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n-cash Component" sheetId="1" r:id="rId3"/>
    <sheet state="hidden" name="OI limit reached" sheetId="2" r:id="rId4"/>
    <sheet state="visible" name="Cash Component" sheetId="3" r:id="rId5"/>
  </sheets>
  <definedNames>
    <definedName hidden="1" localSheetId="0" name="Z_FF61C264_5AD6_4E52_A375_24B3E7A218D9_.wvu.FilterData">'Non-cash Component'!$A$6:$G$1127</definedName>
    <definedName hidden="1" localSheetId="0" name="Z_705FB94B_EA87_400D_9A2E_919DAA6F4CA6_.wvu.FilterData">'Non-cash Component'!$A$6:$F$1127</definedName>
    <definedName hidden="1" localSheetId="0" name="Z_7CE9DE67_5233_4F6F_8296_EFA207D141FA_.wvu.FilterData">'Non-cash Component'!$A$4:$F$1142</definedName>
    <definedName hidden="1" localSheetId="0" name="Z_56B271B1_8627_46CB_92F6_9BD56F086148_.wvu.FilterData">'Non-cash Component'!$B$1408:$G$3940</definedName>
  </definedNames>
  <calcPr/>
  <customWorkbookViews>
    <customWorkbookView activeSheetId="0" maximized="1" windowHeight="0" windowWidth="0" guid="{7CE9DE67-5233-4F6F-8296-EFA207D141FA}" name="Filter 4"/>
    <customWorkbookView activeSheetId="0" maximized="1" windowHeight="0" windowWidth="0" guid="{FF61C264-5AD6-4E52-A375-24B3E7A218D9}" name="Filter 2"/>
    <customWorkbookView activeSheetId="0" maximized="1" windowHeight="0" windowWidth="0" guid="{705FB94B-EA87-400D-9A2E-919DAA6F4CA6}" name="Filter 3"/>
    <customWorkbookView activeSheetId="0" maximized="1" windowHeight="0" windowWidth="0" guid="{56B271B1-8627-46CB-92F6-9BD56F086148}" name="Filter 1"/>
  </customWorkbookViews>
</workbook>
</file>

<file path=xl/sharedStrings.xml><?xml version="1.0" encoding="utf-8"?>
<sst xmlns="http://schemas.openxmlformats.org/spreadsheetml/2006/main" count="15862" uniqueCount="11109">
  <si>
    <t>Approved Securities List for the Month of September 2022</t>
  </si>
  <si>
    <t>Equity Shares</t>
  </si>
  <si>
    <t>Sr. No.</t>
  </si>
  <si>
    <t>Security Name</t>
  </si>
  <si>
    <t>ISIN</t>
  </si>
  <si>
    <t xml:space="preserve">Haircut % </t>
  </si>
  <si>
    <t>For every Rs 100 worth of stock pledged, you'll receive collateral margin of Rs.</t>
  </si>
  <si>
    <t>Broker limit reached</t>
  </si>
  <si>
    <t>ADANIPORTS</t>
  </si>
  <si>
    <t>INE742F01042</t>
  </si>
  <si>
    <t>No</t>
  </si>
  <si>
    <t>APOLLOHOSP</t>
  </si>
  <si>
    <t>INE437A01024</t>
  </si>
  <si>
    <t>ASIANPAINT</t>
  </si>
  <si>
    <t>INE021A01026</t>
  </si>
  <si>
    <t>AXISBANK</t>
  </si>
  <si>
    <t>INE238A01034</t>
  </si>
  <si>
    <t>BAJAJ-AUTO</t>
  </si>
  <si>
    <t>INE917I01010</t>
  </si>
  <si>
    <t>BAJAJFINSV</t>
  </si>
  <si>
    <t>INE918I01018</t>
  </si>
  <si>
    <t>BAJFINANCE</t>
  </si>
  <si>
    <t>INE296A01024</t>
  </si>
  <si>
    <t>BHARTIARTL</t>
  </si>
  <si>
    <t>INE397D01024</t>
  </si>
  <si>
    <t>BPCL</t>
  </si>
  <si>
    <t>INE029A01011</t>
  </si>
  <si>
    <t>BRITANNIA</t>
  </si>
  <si>
    <t>INE216A01030</t>
  </si>
  <si>
    <t>CIPLA</t>
  </si>
  <si>
    <t>INE059A01026</t>
  </si>
  <si>
    <t>COALINDIA</t>
  </si>
  <si>
    <t>INE522F01014</t>
  </si>
  <si>
    <t>DIVISLAB</t>
  </si>
  <si>
    <t>INE361B01024</t>
  </si>
  <si>
    <t>DRREDDY</t>
  </si>
  <si>
    <t>INE089A01023</t>
  </si>
  <si>
    <t>EICHERMOT</t>
  </si>
  <si>
    <t>INE066A01021</t>
  </si>
  <si>
    <t>GRASIM</t>
  </si>
  <si>
    <t>INE047A01021</t>
  </si>
  <si>
    <t>HCLTECH</t>
  </si>
  <si>
    <t>INE860A01027</t>
  </si>
  <si>
    <t>HDFC</t>
  </si>
  <si>
    <t>INE001A01036</t>
  </si>
  <si>
    <t>HDFCBANK</t>
  </si>
  <si>
    <t>INE040A01034</t>
  </si>
  <si>
    <t>HDFCLIFE</t>
  </si>
  <si>
    <t>INE795G01014</t>
  </si>
  <si>
    <t>HEROMOTOCO</t>
  </si>
  <si>
    <t>INE158A01026</t>
  </si>
  <si>
    <t>HINDALCO</t>
  </si>
  <si>
    <t>INE038A01020</t>
  </si>
  <si>
    <t>HINDUNILVR</t>
  </si>
  <si>
    <t>INE030A01027</t>
  </si>
  <si>
    <t>ICICIBANK</t>
  </si>
  <si>
    <t>INE090A01021</t>
  </si>
  <si>
    <t>INDUSINDBK</t>
  </si>
  <si>
    <t>INE095A01012</t>
  </si>
  <si>
    <t>INFY</t>
  </si>
  <si>
    <t>INE009A01021</t>
  </si>
  <si>
    <t>ITC</t>
  </si>
  <si>
    <t>INE154A01025</t>
  </si>
  <si>
    <t>JSWSTEEL</t>
  </si>
  <si>
    <t>INE019A01038</t>
  </si>
  <si>
    <t>KOTAKBANK</t>
  </si>
  <si>
    <t>INE237A01028</t>
  </si>
  <si>
    <t>LT</t>
  </si>
  <si>
    <t>INE018A01030</t>
  </si>
  <si>
    <t>M&amp;M</t>
  </si>
  <si>
    <t>INE101A01026</t>
  </si>
  <si>
    <t>MARUTI</t>
  </si>
  <si>
    <t>INE585B01010</t>
  </si>
  <si>
    <t>NESTLEIND</t>
  </si>
  <si>
    <t>INE239A01016</t>
  </si>
  <si>
    <t>NTPC</t>
  </si>
  <si>
    <t>INE733E01010</t>
  </si>
  <si>
    <t>ONGC</t>
  </si>
  <si>
    <t>INE213A01029</t>
  </si>
  <si>
    <t>POWERGRID</t>
  </si>
  <si>
    <t>INE752E01010</t>
  </si>
  <si>
    <t>RELIANCE</t>
  </si>
  <si>
    <t>INE002A01018</t>
  </si>
  <si>
    <t>SBILIFE</t>
  </si>
  <si>
    <t>INE123W01016</t>
  </si>
  <si>
    <t>SBIN</t>
  </si>
  <si>
    <t>INE062A01020</t>
  </si>
  <si>
    <t>SHREECEM</t>
  </si>
  <si>
    <t>INE070A01015</t>
  </si>
  <si>
    <t>SUNPHARMA</t>
  </si>
  <si>
    <t>INE044A01036</t>
  </si>
  <si>
    <t>TATACONSUM</t>
  </si>
  <si>
    <t>INE192A01025</t>
  </si>
  <si>
    <t>TATAMOTORS</t>
  </si>
  <si>
    <t>INE155A01022</t>
  </si>
  <si>
    <t>TATASTEEL</t>
  </si>
  <si>
    <t>INE081A01020</t>
  </si>
  <si>
    <t>TCS</t>
  </si>
  <si>
    <t>INE467B01029</t>
  </si>
  <si>
    <t>TECHM</t>
  </si>
  <si>
    <t>INE669C01036</t>
  </si>
  <si>
    <t>TITAN</t>
  </si>
  <si>
    <t>INE280A01028</t>
  </si>
  <si>
    <t>ULTRACEMCO</t>
  </si>
  <si>
    <t>INE481G01011</t>
  </si>
  <si>
    <t>UPL</t>
  </si>
  <si>
    <t>INE628A01036</t>
  </si>
  <si>
    <t>WIPRO</t>
  </si>
  <si>
    <t>INE075A01022</t>
  </si>
  <si>
    <t>ACC</t>
  </si>
  <si>
    <t>INE012A01025</t>
  </si>
  <si>
    <t>ADANIENT</t>
  </si>
  <si>
    <t>INE423A01024</t>
  </si>
  <si>
    <t>ADANIGREEN</t>
  </si>
  <si>
    <t>INE364U01010</t>
  </si>
  <si>
    <t>ADANITRANS</t>
  </si>
  <si>
    <t>INE931S01010</t>
  </si>
  <si>
    <t>AMBUJACEM</t>
  </si>
  <si>
    <t>INE079A01024</t>
  </si>
  <si>
    <t>BAJAJHLDNG</t>
  </si>
  <si>
    <t>INE118A01012</t>
  </si>
  <si>
    <t>BANDHANBNK</t>
  </si>
  <si>
    <t>INE545U01014</t>
  </si>
  <si>
    <t>BANKBARODA</t>
  </si>
  <si>
    <t>INE028A01039</t>
  </si>
  <si>
    <t>BERGEPAINT</t>
  </si>
  <si>
    <t>INE463A01038</t>
  </si>
  <si>
    <t>BIOCON</t>
  </si>
  <si>
    <t>INE376G01013</t>
  </si>
  <si>
    <t>BOSCHLTD</t>
  </si>
  <si>
    <t>INE323A01026</t>
  </si>
  <si>
    <t>CHOLAFIN</t>
  </si>
  <si>
    <t>INE121A01024</t>
  </si>
  <si>
    <t>COLPAL</t>
  </si>
  <si>
    <t>INE259A01022</t>
  </si>
  <si>
    <t>DABUR</t>
  </si>
  <si>
    <t>INE016A01026</t>
  </si>
  <si>
    <t>DLF</t>
  </si>
  <si>
    <t>INE271C01023</t>
  </si>
  <si>
    <t>DMART</t>
  </si>
  <si>
    <t>INE192R01011</t>
  </si>
  <si>
    <t>GAIL</t>
  </si>
  <si>
    <t>INE129A01019</t>
  </si>
  <si>
    <t>GLAND</t>
  </si>
  <si>
    <t>INE068V01023</t>
  </si>
  <si>
    <t>GODREJCP</t>
  </si>
  <si>
    <t>INE102D01028</t>
  </si>
  <si>
    <t>HAVELLS</t>
  </si>
  <si>
    <t>INE176B01034</t>
  </si>
  <si>
    <t>HDFCAMC</t>
  </si>
  <si>
    <t>INE127D01025</t>
  </si>
  <si>
    <t>ICICIGI</t>
  </si>
  <si>
    <t>INE765G01017</t>
  </si>
  <si>
    <t>ICICIPRULI</t>
  </si>
  <si>
    <t>INE726G01019</t>
  </si>
  <si>
    <t>INDIGO</t>
  </si>
  <si>
    <t>INE646L01027</t>
  </si>
  <si>
    <t>INDUSTOWER</t>
  </si>
  <si>
    <t>INE121J01017</t>
  </si>
  <si>
    <t>IOC</t>
  </si>
  <si>
    <t>INE242A01010</t>
  </si>
  <si>
    <t>JUBLFOOD</t>
  </si>
  <si>
    <t>INE797F01020</t>
  </si>
  <si>
    <t>LICI</t>
  </si>
  <si>
    <t>INE0J1Y01017</t>
  </si>
  <si>
    <t>LTI</t>
  </si>
  <si>
    <t>INE214T01019</t>
  </si>
  <si>
    <t>LUPIN</t>
  </si>
  <si>
    <t>INE326A01037</t>
  </si>
  <si>
    <t>MARICO</t>
  </si>
  <si>
    <t>INE196A01026</t>
  </si>
  <si>
    <t>MCDOWELL-N</t>
  </si>
  <si>
    <t>INE854D01024</t>
  </si>
  <si>
    <t>MINDTREE</t>
  </si>
  <si>
    <t>INE018I01017</t>
  </si>
  <si>
    <t>MUTHOOTFIN</t>
  </si>
  <si>
    <t>INE414G01012</t>
  </si>
  <si>
    <t>NAUKRI</t>
  </si>
  <si>
    <t>INE663F01024</t>
  </si>
  <si>
    <t>NYKAA</t>
  </si>
  <si>
    <t>INE388Y01029</t>
  </si>
  <si>
    <t>PAYTM</t>
  </si>
  <si>
    <t>INE982J01020</t>
  </si>
  <si>
    <t>PGHH</t>
  </si>
  <si>
    <t>INE179A01014</t>
  </si>
  <si>
    <t>PIDILITIND</t>
  </si>
  <si>
    <t>INE318A01026</t>
  </si>
  <si>
    <t>PIIND</t>
  </si>
  <si>
    <t>INE603J01030</t>
  </si>
  <si>
    <t>PNB</t>
  </si>
  <si>
    <t>INE160A01022</t>
  </si>
  <si>
    <t>SAIL</t>
  </si>
  <si>
    <t>INE114A01011</t>
  </si>
  <si>
    <t>SBICARD</t>
  </si>
  <si>
    <t>INE018E01016</t>
  </si>
  <si>
    <t>SIEMENS</t>
  </si>
  <si>
    <t>INE003A01024</t>
  </si>
  <si>
    <t>SRF</t>
  </si>
  <si>
    <t>INE647A01010</t>
  </si>
  <si>
    <t>TATAPOWER</t>
  </si>
  <si>
    <t>INE245A01021</t>
  </si>
  <si>
    <t>TORNTPHARM</t>
  </si>
  <si>
    <t>INE685A01028</t>
  </si>
  <si>
    <t>VEDL</t>
  </si>
  <si>
    <t>INE205A01025</t>
  </si>
  <si>
    <t>ZOMATO</t>
  </si>
  <si>
    <t>INE758T01015</t>
  </si>
  <si>
    <t>ZYDUSLIFE</t>
  </si>
  <si>
    <t>INE010B01027</t>
  </si>
  <si>
    <t>20MICRONS</t>
  </si>
  <si>
    <t>INE144J01027</t>
  </si>
  <si>
    <t>3IINFOLTD</t>
  </si>
  <si>
    <t>INE748C01038</t>
  </si>
  <si>
    <t>3MINDIA</t>
  </si>
  <si>
    <t>INE470A01017</t>
  </si>
  <si>
    <t>5PAISA</t>
  </si>
  <si>
    <t>INE618L01018</t>
  </si>
  <si>
    <t>Yes</t>
  </si>
  <si>
    <t>AARTIDRUGS</t>
  </si>
  <si>
    <t>INE767A01016</t>
  </si>
  <si>
    <t>AARTIIND</t>
  </si>
  <si>
    <t>INE769A01020</t>
  </si>
  <si>
    <t>AARTISURF</t>
  </si>
  <si>
    <t>INE09EO01013</t>
  </si>
  <si>
    <t>AAVAS</t>
  </si>
  <si>
    <t>INE216P01012</t>
  </si>
  <si>
    <t>ABAN</t>
  </si>
  <si>
    <t>INE421A01028</t>
  </si>
  <si>
    <t>ABB</t>
  </si>
  <si>
    <t>INE117A01022</t>
  </si>
  <si>
    <t>ABBOTINDIA</t>
  </si>
  <si>
    <t>INE358A01014</t>
  </si>
  <si>
    <t>ABCAPITAL</t>
  </si>
  <si>
    <t>INE674K01013</t>
  </si>
  <si>
    <t>ABFRL</t>
  </si>
  <si>
    <t>INE647O01011</t>
  </si>
  <si>
    <t>ABSLAMC</t>
  </si>
  <si>
    <t>INE404A01024</t>
  </si>
  <si>
    <t>ACCELYA</t>
  </si>
  <si>
    <t>INE793A01012</t>
  </si>
  <si>
    <t>ACCURACY</t>
  </si>
  <si>
    <t>INE648Z01015</t>
  </si>
  <si>
    <t>ACE</t>
  </si>
  <si>
    <t>INE731H01025</t>
  </si>
  <si>
    <t>ACRYSIL</t>
  </si>
  <si>
    <t>INE482D01024</t>
  </si>
  <si>
    <t>ADFFOODS</t>
  </si>
  <si>
    <t>INE982B01019</t>
  </si>
  <si>
    <t>ADORWELD</t>
  </si>
  <si>
    <t>INE045A01017</t>
  </si>
  <si>
    <t>ADSL</t>
  </si>
  <si>
    <t>INE102I01027</t>
  </si>
  <si>
    <t>ADVANIHOTR</t>
  </si>
  <si>
    <t>INE199C01026</t>
  </si>
  <si>
    <t>ADVENZYMES</t>
  </si>
  <si>
    <t>INE837H01020</t>
  </si>
  <si>
    <t>AEGISCHEM</t>
  </si>
  <si>
    <t>INE208C01025</t>
  </si>
  <si>
    <t>AETHER</t>
  </si>
  <si>
    <t>INE0BWX01014</t>
  </si>
  <si>
    <t>AFFLE</t>
  </si>
  <si>
    <t>INE00WC01027</t>
  </si>
  <si>
    <t>AGARIND</t>
  </si>
  <si>
    <t>INE204E01012</t>
  </si>
  <si>
    <t>AGI</t>
  </si>
  <si>
    <t>INE415A01038</t>
  </si>
  <si>
    <t>AGSTRA</t>
  </si>
  <si>
    <t>INE583L01014</t>
  </si>
  <si>
    <t>AHLADA</t>
  </si>
  <si>
    <t>INE00PV01013</t>
  </si>
  <si>
    <t>AHLEAST</t>
  </si>
  <si>
    <t>INE926K01017</t>
  </si>
  <si>
    <t>AHLUCONT</t>
  </si>
  <si>
    <t>INE758C01029</t>
  </si>
  <si>
    <t>AIAENG</t>
  </si>
  <si>
    <t>INE212H01026</t>
  </si>
  <si>
    <t>AIRAN</t>
  </si>
  <si>
    <t>INE645W01026</t>
  </si>
  <si>
    <t>AJANTPHARM</t>
  </si>
  <si>
    <t>INE031B01049</t>
  </si>
  <si>
    <t>AJMERA</t>
  </si>
  <si>
    <t>INE298G01027</t>
  </si>
  <si>
    <t>AJOONI</t>
  </si>
  <si>
    <t>INE820Y01013</t>
  </si>
  <si>
    <t>AKSHARCHEM</t>
  </si>
  <si>
    <t>INE542B01011</t>
  </si>
  <si>
    <t>AKSHOPTFBR</t>
  </si>
  <si>
    <t>INE523B01011</t>
  </si>
  <si>
    <t>AKZOINDIA</t>
  </si>
  <si>
    <t>INE133A01011</t>
  </si>
  <si>
    <t>ALANKIT</t>
  </si>
  <si>
    <t>INE914E01040</t>
  </si>
  <si>
    <t>ALBERTDAVD</t>
  </si>
  <si>
    <t>INE155C01010</t>
  </si>
  <si>
    <t>ALEMBICLTD</t>
  </si>
  <si>
    <t>INE426A01027</t>
  </si>
  <si>
    <t>ALICON</t>
  </si>
  <si>
    <t>INE062D01024</t>
  </si>
  <si>
    <t>ALKEM</t>
  </si>
  <si>
    <t>INE540L01014</t>
  </si>
  <si>
    <t>ALKYLAMINE</t>
  </si>
  <si>
    <t>INE150B01039</t>
  </si>
  <si>
    <t>ALLCARGO</t>
  </si>
  <si>
    <t>INE418H01029</t>
  </si>
  <si>
    <t>ALLSEC</t>
  </si>
  <si>
    <t>INE835G01018</t>
  </si>
  <si>
    <t>ALPA</t>
  </si>
  <si>
    <t>INE385I01010</t>
  </si>
  <si>
    <t>ALPHAGEO</t>
  </si>
  <si>
    <t>INE137C01018</t>
  </si>
  <si>
    <t>AMARAJABAT</t>
  </si>
  <si>
    <t>INE885A01032</t>
  </si>
  <si>
    <t>AMBER</t>
  </si>
  <si>
    <t>INE371P01015</t>
  </si>
  <si>
    <t>AMBIKCO</t>
  </si>
  <si>
    <t>INE540G01014</t>
  </si>
  <si>
    <t>AMIORG</t>
  </si>
  <si>
    <t>INE00FF01017</t>
  </si>
  <si>
    <t>AMRUTANJAN</t>
  </si>
  <si>
    <t>INE098F01031</t>
  </si>
  <si>
    <t>ANANDRATHI</t>
  </si>
  <si>
    <t>INE463V01026</t>
  </si>
  <si>
    <t>ANANTRAJ</t>
  </si>
  <si>
    <t>INE242C01024</t>
  </si>
  <si>
    <t>ANDHRAPAP</t>
  </si>
  <si>
    <t>INE435A01028</t>
  </si>
  <si>
    <t>ANDHRSUGAR</t>
  </si>
  <si>
    <t>INE715B01021</t>
  </si>
  <si>
    <t>ANDREWYU</t>
  </si>
  <si>
    <t>INE449C01025</t>
  </si>
  <si>
    <t>ANGELONE</t>
  </si>
  <si>
    <t>INE732I01013</t>
  </si>
  <si>
    <t>ANMOL</t>
  </si>
  <si>
    <t>INE02AR01019</t>
  </si>
  <si>
    <t>ANUP</t>
  </si>
  <si>
    <t>INE294Z01018</t>
  </si>
  <si>
    <t>ANURAS</t>
  </si>
  <si>
    <t>INE930P01018</t>
  </si>
  <si>
    <t>APCL</t>
  </si>
  <si>
    <t>INE071F01012</t>
  </si>
  <si>
    <t>APCOTEXIND</t>
  </si>
  <si>
    <t>INE116A01032</t>
  </si>
  <si>
    <t>APEX</t>
  </si>
  <si>
    <t>INE346W01013</t>
  </si>
  <si>
    <t>APLAPOLLO</t>
  </si>
  <si>
    <t>INE702C01027</t>
  </si>
  <si>
    <t>APLLTD</t>
  </si>
  <si>
    <t>INE901L01018</t>
  </si>
  <si>
    <t>APOLLO</t>
  </si>
  <si>
    <t>INE713T01010</t>
  </si>
  <si>
    <t>APOLLOPIPE</t>
  </si>
  <si>
    <t>INE126J01016</t>
  </si>
  <si>
    <t>APOLLOTYRE</t>
  </si>
  <si>
    <t>INE438A01022</t>
  </si>
  <si>
    <t>APOLSINHOT</t>
  </si>
  <si>
    <t>INE451F01024</t>
  </si>
  <si>
    <t>APTECHT</t>
  </si>
  <si>
    <t>INE266F01018</t>
  </si>
  <si>
    <t>APTUS</t>
  </si>
  <si>
    <t>INE852O01025</t>
  </si>
  <si>
    <t>ARIES</t>
  </si>
  <si>
    <t>INE298I01015</t>
  </si>
  <si>
    <t>ARIHANTSUP</t>
  </si>
  <si>
    <t>INE643K01018</t>
  </si>
  <si>
    <t>ARMANFIN</t>
  </si>
  <si>
    <t>INE109C01017</t>
  </si>
  <si>
    <t>AROGRANITE</t>
  </si>
  <si>
    <t>INE210C01013</t>
  </si>
  <si>
    <t>ARTEMISMED</t>
  </si>
  <si>
    <t>INE025R01021</t>
  </si>
  <si>
    <t>ARVIND</t>
  </si>
  <si>
    <t>INE034A01011</t>
  </si>
  <si>
    <t>ARVINDFASN</t>
  </si>
  <si>
    <t>INE955V01021</t>
  </si>
  <si>
    <t>ARVSMART</t>
  </si>
  <si>
    <t>INE034S01021</t>
  </si>
  <si>
    <t>ASAHIINDIA</t>
  </si>
  <si>
    <t>INE439A01020</t>
  </si>
  <si>
    <t>ASAHISONG</t>
  </si>
  <si>
    <t>INE228I01012</t>
  </si>
  <si>
    <t>ASALCBR</t>
  </si>
  <si>
    <t>INE073G01016</t>
  </si>
  <si>
    <t>ASHAPURMIN</t>
  </si>
  <si>
    <t>INE348A01023</t>
  </si>
  <si>
    <t>ASHIANA</t>
  </si>
  <si>
    <t>INE365D01021</t>
  </si>
  <si>
    <t>ASHOKA</t>
  </si>
  <si>
    <t>INE442H01029</t>
  </si>
  <si>
    <t>ASHOKLEY</t>
  </si>
  <si>
    <t>INE208A01029</t>
  </si>
  <si>
    <t>ASIANENE</t>
  </si>
  <si>
    <t>INE276G01015</t>
  </si>
  <si>
    <t>ASTEC</t>
  </si>
  <si>
    <t>INE563J01010</t>
  </si>
  <si>
    <t>ASTERDM</t>
  </si>
  <si>
    <t>INE914M01019</t>
  </si>
  <si>
    <t>ASTRAL</t>
  </si>
  <si>
    <t>INE006I01046</t>
  </si>
  <si>
    <t>ASTRAMICRO</t>
  </si>
  <si>
    <t>INE386C01029</t>
  </si>
  <si>
    <t>ASTRAZEN</t>
  </si>
  <si>
    <t>INE203A01020</t>
  </si>
  <si>
    <t>ASTRON</t>
  </si>
  <si>
    <t>INE646X01014</t>
  </si>
  <si>
    <t>ATFL</t>
  </si>
  <si>
    <t>INE209A01019</t>
  </si>
  <si>
    <t>ATGL</t>
  </si>
  <si>
    <t>INE399L01023</t>
  </si>
  <si>
    <t>ATUL</t>
  </si>
  <si>
    <t>INE100A01010</t>
  </si>
  <si>
    <t>ATULAUTO</t>
  </si>
  <si>
    <t>INE951D01028</t>
  </si>
  <si>
    <t>AUBANK</t>
  </si>
  <si>
    <t>INE949L01017</t>
  </si>
  <si>
    <t>AURIONPRO</t>
  </si>
  <si>
    <t>INE132H01018</t>
  </si>
  <si>
    <t>AUROPHARMA</t>
  </si>
  <si>
    <t>INE406A01037</t>
  </si>
  <si>
    <t>AUTOAXLES</t>
  </si>
  <si>
    <t>INE449A01011</t>
  </si>
  <si>
    <t>AVADHSUGAR</t>
  </si>
  <si>
    <t>INE349W01017</t>
  </si>
  <si>
    <t>AVANTIFEED</t>
  </si>
  <si>
    <t>INE871C01038</t>
  </si>
  <si>
    <t>AVTNPL</t>
  </si>
  <si>
    <t>INE488D01021</t>
  </si>
  <si>
    <t>AWHCL</t>
  </si>
  <si>
    <t>INE01BK01022</t>
  </si>
  <si>
    <t>AYMSYNTEX</t>
  </si>
  <si>
    <t>INE193B01039</t>
  </si>
  <si>
    <t>BAJAJCON</t>
  </si>
  <si>
    <t>INE933K01021</t>
  </si>
  <si>
    <t>BAJAJELEC</t>
  </si>
  <si>
    <t>INE193E01025</t>
  </si>
  <si>
    <t>BAJAJHCARE</t>
  </si>
  <si>
    <t>INE411U01027</t>
  </si>
  <si>
    <t>BAJAJHIND</t>
  </si>
  <si>
    <t>INE306A01021</t>
  </si>
  <si>
    <t>BALAJITELE</t>
  </si>
  <si>
    <t>INE794B01026</t>
  </si>
  <si>
    <t>BALAMINES</t>
  </si>
  <si>
    <t>INE050E01027</t>
  </si>
  <si>
    <t>BALAXI</t>
  </si>
  <si>
    <t>INE618N01014</t>
  </si>
  <si>
    <t>BALKRISIND</t>
  </si>
  <si>
    <t>INE787D01026</t>
  </si>
  <si>
    <t>BALMLAWRIE</t>
  </si>
  <si>
    <t>INE164A01016</t>
  </si>
  <si>
    <t>BALPHARMA</t>
  </si>
  <si>
    <t>INE083D01012</t>
  </si>
  <si>
    <t>BALRAMCHIN</t>
  </si>
  <si>
    <t>INE119A01028</t>
  </si>
  <si>
    <t>BANARISUG</t>
  </si>
  <si>
    <t>INE459A01010</t>
  </si>
  <si>
    <t>BANCOINDIA</t>
  </si>
  <si>
    <t>INE213C01025</t>
  </si>
  <si>
    <t>BANKINDIA</t>
  </si>
  <si>
    <t>INE084A01016</t>
  </si>
  <si>
    <t>BANSWRAS</t>
  </si>
  <si>
    <t>INE629D01012</t>
  </si>
  <si>
    <t>BARBEQUE</t>
  </si>
  <si>
    <t>INE382M01027</t>
  </si>
  <si>
    <t>BASF</t>
  </si>
  <si>
    <t>INE373A01013</t>
  </si>
  <si>
    <t>BASML</t>
  </si>
  <si>
    <t>INE186H01022</t>
  </si>
  <si>
    <t>BATAINDIA</t>
  </si>
  <si>
    <t>INE176A01028</t>
  </si>
  <si>
    <t>BAYERCROP</t>
  </si>
  <si>
    <t>INE462A01022</t>
  </si>
  <si>
    <t>BBL</t>
  </si>
  <si>
    <t>INE464A01028</t>
  </si>
  <si>
    <t>BBOX</t>
  </si>
  <si>
    <t>INE676A01027</t>
  </si>
  <si>
    <t>BBTC</t>
  </si>
  <si>
    <t>INE050A01025</t>
  </si>
  <si>
    <t>BCLIND</t>
  </si>
  <si>
    <t>INE412G01016</t>
  </si>
  <si>
    <t>BDL</t>
  </si>
  <si>
    <t>INE171Z01018</t>
  </si>
  <si>
    <t>BECTORFOOD</t>
  </si>
  <si>
    <t>INE495P01012</t>
  </si>
  <si>
    <t>BEL</t>
  </si>
  <si>
    <t>INE263A01024</t>
  </si>
  <si>
    <t>BEML</t>
  </si>
  <si>
    <t>INE258A01016</t>
  </si>
  <si>
    <t>BEPL</t>
  </si>
  <si>
    <t>INE922A01025</t>
  </si>
  <si>
    <t>BESTAGRO</t>
  </si>
  <si>
    <t>INE052T01013</t>
  </si>
  <si>
    <t>BFINVEST</t>
  </si>
  <si>
    <t>INE878K01010</t>
  </si>
  <si>
    <t>BFUTILITIE</t>
  </si>
  <si>
    <t>INE243D01012</t>
  </si>
  <si>
    <t>BGRENERGY</t>
  </si>
  <si>
    <t>INE661I01014</t>
  </si>
  <si>
    <t>BHAGCHEM</t>
  </si>
  <si>
    <t>INE414D01019</t>
  </si>
  <si>
    <t>BHAGERIA</t>
  </si>
  <si>
    <t>INE354C01027</t>
  </si>
  <si>
    <t>BHARATFORG</t>
  </si>
  <si>
    <t>INE465A01025</t>
  </si>
  <si>
    <t>BHARATGEAR</t>
  </si>
  <si>
    <t>INE561C01019</t>
  </si>
  <si>
    <t>BHARATRAS</t>
  </si>
  <si>
    <t>INE838B01013</t>
  </si>
  <si>
    <t>BHARATWIRE</t>
  </si>
  <si>
    <t>INE316L01019</t>
  </si>
  <si>
    <t>BHEL</t>
  </si>
  <si>
    <t>INE257A01026</t>
  </si>
  <si>
    <t>BINDALAGRO</t>
  </si>
  <si>
    <t>INE143A01010</t>
  </si>
  <si>
    <t>BIRLACABLE</t>
  </si>
  <si>
    <t>INE800A01015</t>
  </si>
  <si>
    <t>BIRLACORPN</t>
  </si>
  <si>
    <t>INE340A01012</t>
  </si>
  <si>
    <t>BIRLAMONEY</t>
  </si>
  <si>
    <t>INE865C01022</t>
  </si>
  <si>
    <t>BLISSGVS</t>
  </si>
  <si>
    <t>INE416D01022</t>
  </si>
  <si>
    <t>BLS</t>
  </si>
  <si>
    <t>INE153T01027</t>
  </si>
  <si>
    <t>BLUEDART</t>
  </si>
  <si>
    <t>INE233B01017</t>
  </si>
  <si>
    <t>BLUESTARCO</t>
  </si>
  <si>
    <t>INE472A01039</t>
  </si>
  <si>
    <t>BODALCHEM</t>
  </si>
  <si>
    <t>INE338D01028</t>
  </si>
  <si>
    <t>BOMDYEING</t>
  </si>
  <si>
    <t>INE032A01023</t>
  </si>
  <si>
    <t>BOROLTD</t>
  </si>
  <si>
    <t>INE02PY01013</t>
  </si>
  <si>
    <t>BORORENEW</t>
  </si>
  <si>
    <t>INE666D01022</t>
  </si>
  <si>
    <t>BRIGADE</t>
  </si>
  <si>
    <t>INE791I01019</t>
  </si>
  <si>
    <t>BSE</t>
  </si>
  <si>
    <t>INE118H01025</t>
  </si>
  <si>
    <t>BSOFT</t>
  </si>
  <si>
    <t>INE836A01035</t>
  </si>
  <si>
    <t>BUTTERFLY</t>
  </si>
  <si>
    <t>INE295F01017</t>
  </si>
  <si>
    <t>CAMLINFINE</t>
  </si>
  <si>
    <t>INE052I01032</t>
  </si>
  <si>
    <t>CAMPUS</t>
  </si>
  <si>
    <t>INE278Y01022</t>
  </si>
  <si>
    <t>CAMS</t>
  </si>
  <si>
    <t>INE596I01012</t>
  </si>
  <si>
    <t>CANBK</t>
  </si>
  <si>
    <t>INE476A01014</t>
  </si>
  <si>
    <t>CANFINHOME</t>
  </si>
  <si>
    <t>INE477A01020</t>
  </si>
  <si>
    <t>CAPACITE</t>
  </si>
  <si>
    <t>INE264T01014</t>
  </si>
  <si>
    <t>CAPLIPOINT</t>
  </si>
  <si>
    <t>INE475E01026</t>
  </si>
  <si>
    <t>CARBORUNIV</t>
  </si>
  <si>
    <t>INE120A01034</t>
  </si>
  <si>
    <t>CAREERP</t>
  </si>
  <si>
    <t>INE521J01018</t>
  </si>
  <si>
    <t>CARERATING</t>
  </si>
  <si>
    <t>INE752H01013</t>
  </si>
  <si>
    <t>CARTRADE</t>
  </si>
  <si>
    <t>INE290S01011</t>
  </si>
  <si>
    <t>CASTROLIND</t>
  </si>
  <si>
    <t>INE172A01027</t>
  </si>
  <si>
    <t>CCL</t>
  </si>
  <si>
    <t>INE421D01022</t>
  </si>
  <si>
    <t>CDSL</t>
  </si>
  <si>
    <t>INE736A01011</t>
  </si>
  <si>
    <t>CEATLTD</t>
  </si>
  <si>
    <t>INE482A01020</t>
  </si>
  <si>
    <t>CENTENKA</t>
  </si>
  <si>
    <t>INE485A01015</t>
  </si>
  <si>
    <t>CENTRALBK</t>
  </si>
  <si>
    <t>INE483A01010</t>
  </si>
  <si>
    <t>CENTRUM</t>
  </si>
  <si>
    <t>INE660C01027</t>
  </si>
  <si>
    <t>CENTUM</t>
  </si>
  <si>
    <t>INE320B01020</t>
  </si>
  <si>
    <t>CENTURYPLY</t>
  </si>
  <si>
    <t>INE348B01021</t>
  </si>
  <si>
    <t>CENTURYTEX</t>
  </si>
  <si>
    <t>INE055A01016</t>
  </si>
  <si>
    <t>CERA</t>
  </si>
  <si>
    <t>INE739E01017</t>
  </si>
  <si>
    <t>CEREBRAINT</t>
  </si>
  <si>
    <t>INE345B01019</t>
  </si>
  <si>
    <t>CESC</t>
  </si>
  <si>
    <t>INE486A01021</t>
  </si>
  <si>
    <t>CGCL</t>
  </si>
  <si>
    <t>INE180C01026</t>
  </si>
  <si>
    <t>CGPOWER</t>
  </si>
  <si>
    <t>INE067A01029</t>
  </si>
  <si>
    <t>CHALET</t>
  </si>
  <si>
    <t>INE427F01016</t>
  </si>
  <si>
    <t>CHAMBLFERT</t>
  </si>
  <si>
    <t>INE085A01013</t>
  </si>
  <si>
    <t>CHEMBOND</t>
  </si>
  <si>
    <t>INE995D01025</t>
  </si>
  <si>
    <t>CHEMCON</t>
  </si>
  <si>
    <t>INE03YM01018</t>
  </si>
  <si>
    <t>CHEMPLASTS</t>
  </si>
  <si>
    <t>INE488A01050</t>
  </si>
  <si>
    <t>CHENNPETRO</t>
  </si>
  <si>
    <t>INE178A01016</t>
  </si>
  <si>
    <t>CHEVIOT</t>
  </si>
  <si>
    <t>INE974B01016</t>
  </si>
  <si>
    <t>CHOICEIN</t>
  </si>
  <si>
    <t>INE102B01014</t>
  </si>
  <si>
    <t>CHOLAHLDNG</t>
  </si>
  <si>
    <t>INE149A01033</t>
  </si>
  <si>
    <t>CIGNITITEC</t>
  </si>
  <si>
    <t>INE675C01017</t>
  </si>
  <si>
    <t>CLEAN</t>
  </si>
  <si>
    <t>INE227W01023</t>
  </si>
  <si>
    <t>CLEDUCATE</t>
  </si>
  <si>
    <t>INE201M01029</t>
  </si>
  <si>
    <t>CLNINDIA</t>
  </si>
  <si>
    <t>INE492A01029</t>
  </si>
  <si>
    <t>CLSEL</t>
  </si>
  <si>
    <t>INE419D01026</t>
  </si>
  <si>
    <t>CMSINFO</t>
  </si>
  <si>
    <t>INE925R01014</t>
  </si>
  <si>
    <t>COASTCORP</t>
  </si>
  <si>
    <t>INE377E01016</t>
  </si>
  <si>
    <t>COCHINSHIP</t>
  </si>
  <si>
    <t>INE704P01017</t>
  </si>
  <si>
    <t>COFFEEDAY</t>
  </si>
  <si>
    <t>INE335K01011</t>
  </si>
  <si>
    <t>COFORGE</t>
  </si>
  <si>
    <t>INE591G01017</t>
  </si>
  <si>
    <t>COMPINFO</t>
  </si>
  <si>
    <t>INE070C01037</t>
  </si>
  <si>
    <t>CONCOR</t>
  </si>
  <si>
    <t>INE111A01025</t>
  </si>
  <si>
    <t>CONFIPET</t>
  </si>
  <si>
    <t>INE552D01024</t>
  </si>
  <si>
    <t>CONTROLPR</t>
  </si>
  <si>
    <t>INE663B01015</t>
  </si>
  <si>
    <t>CORDSCABLE</t>
  </si>
  <si>
    <t>INE792I01017</t>
  </si>
  <si>
    <t>COROMANDEL</t>
  </si>
  <si>
    <t>INE169A01031</t>
  </si>
  <si>
    <t>COSMOFIRST</t>
  </si>
  <si>
    <t>INE757A01017</t>
  </si>
  <si>
    <t>CRAFTSMAN</t>
  </si>
  <si>
    <t>INE00LO01017</t>
  </si>
  <si>
    <t>CREATIVE</t>
  </si>
  <si>
    <t>INE985W01018</t>
  </si>
  <si>
    <t>CREDITACC</t>
  </si>
  <si>
    <t>INE741K01010</t>
  </si>
  <si>
    <t>CRISIL</t>
  </si>
  <si>
    <t>INE007A01025</t>
  </si>
  <si>
    <t>CROMPTON</t>
  </si>
  <si>
    <t>INE299U01018</t>
  </si>
  <si>
    <t>CSBBANK</t>
  </si>
  <si>
    <t>INE679A01013</t>
  </si>
  <si>
    <t>CSLFINANCE</t>
  </si>
  <si>
    <t>INE718F01018</t>
  </si>
  <si>
    <t>CUB</t>
  </si>
  <si>
    <t>INE491A01021</t>
  </si>
  <si>
    <t>CUMMINSIND</t>
  </si>
  <si>
    <t>INE298A01020</t>
  </si>
  <si>
    <t>CUPID</t>
  </si>
  <si>
    <t>INE509F01011</t>
  </si>
  <si>
    <t>CYBERTECH</t>
  </si>
  <si>
    <t>INE214A01019</t>
  </si>
  <si>
    <t>CYIENT</t>
  </si>
  <si>
    <t>INE136B01020</t>
  </si>
  <si>
    <t>DAAWAT</t>
  </si>
  <si>
    <t>INE818H01020</t>
  </si>
  <si>
    <t>DALBHARAT</t>
  </si>
  <si>
    <t>INE00R701025</t>
  </si>
  <si>
    <t>DALMIASUG</t>
  </si>
  <si>
    <t>INE495A01022</t>
  </si>
  <si>
    <t>DANGEE</t>
  </si>
  <si>
    <t>INE688Y01014</t>
  </si>
  <si>
    <t>DATAMATICS</t>
  </si>
  <si>
    <t>INE365B01017</t>
  </si>
  <si>
    <t>DATAPATTNS</t>
  </si>
  <si>
    <t>INE0IX101010</t>
  </si>
  <si>
    <t>DBCORP</t>
  </si>
  <si>
    <t>INE950I01011</t>
  </si>
  <si>
    <t>DBL</t>
  </si>
  <si>
    <t>INE917M01012</t>
  </si>
  <si>
    <t>DCAL</t>
  </si>
  <si>
    <t>INE385W01011</t>
  </si>
  <si>
    <t>DCBBANK</t>
  </si>
  <si>
    <t>INE503A01015</t>
  </si>
  <si>
    <t>DCMNVL</t>
  </si>
  <si>
    <t>INE08KP01019</t>
  </si>
  <si>
    <t>DCMSHRIRAM</t>
  </si>
  <si>
    <t>INE499A01024</t>
  </si>
  <si>
    <t>DCMSRIND</t>
  </si>
  <si>
    <t>INE843D01027</t>
  </si>
  <si>
    <t>DCW</t>
  </si>
  <si>
    <t>INE500A01029</t>
  </si>
  <si>
    <t>DECCANCE</t>
  </si>
  <si>
    <t>INE583C01021</t>
  </si>
  <si>
    <t>DEEPAKFERT</t>
  </si>
  <si>
    <t>INE501A01019</t>
  </si>
  <si>
    <t>DEEPAKNTR</t>
  </si>
  <si>
    <t>INE288B01029</t>
  </si>
  <si>
    <t>DEEPINDS</t>
  </si>
  <si>
    <t>INE0FHS01016</t>
  </si>
  <si>
    <t>DELHIVERY</t>
  </si>
  <si>
    <t>INE148O01028</t>
  </si>
  <si>
    <t>DELTACORP</t>
  </si>
  <si>
    <t>INE124G01033</t>
  </si>
  <si>
    <t>DEN</t>
  </si>
  <si>
    <t>INE947J01015</t>
  </si>
  <si>
    <t>DEVYANI</t>
  </si>
  <si>
    <t>INE872J01023</t>
  </si>
  <si>
    <t>DFMFOODS</t>
  </si>
  <si>
    <t>INE456C01020</t>
  </si>
  <si>
    <t>DHANBANK</t>
  </si>
  <si>
    <t>INE680A01011</t>
  </si>
  <si>
    <t>DHANUKA</t>
  </si>
  <si>
    <t>INE435G01025</t>
  </si>
  <si>
    <t>DHANVARSHA</t>
  </si>
  <si>
    <t>INE615R01029</t>
  </si>
  <si>
    <t>DHARAMSI</t>
  </si>
  <si>
    <t>INE505A01010</t>
  </si>
  <si>
    <t>DIAMONDYD</t>
  </si>
  <si>
    <t>INE393P01035</t>
  </si>
  <si>
    <t>DICIND</t>
  </si>
  <si>
    <t>INE303A01010</t>
  </si>
  <si>
    <t>DIGISPICE</t>
  </si>
  <si>
    <t>INE927C01020</t>
  </si>
  <si>
    <t>DISHTV</t>
  </si>
  <si>
    <t>INE836F01026</t>
  </si>
  <si>
    <t>DIXON</t>
  </si>
  <si>
    <t>INE935N01020</t>
  </si>
  <si>
    <t>DLINKINDIA</t>
  </si>
  <si>
    <t>INE250K01012</t>
  </si>
  <si>
    <t>DODLA</t>
  </si>
  <si>
    <t>INE021O01019</t>
  </si>
  <si>
    <t>DOLATALGO</t>
  </si>
  <si>
    <t>INE966A01022</t>
  </si>
  <si>
    <t>DOLLAR</t>
  </si>
  <si>
    <t>INE325C01035</t>
  </si>
  <si>
    <t>DPABHUSHAN</t>
  </si>
  <si>
    <t>INE266Y01019</t>
  </si>
  <si>
    <t>DPWIRES</t>
  </si>
  <si>
    <t>INE864X01013</t>
  </si>
  <si>
    <t>DREDGECORP</t>
  </si>
  <si>
    <t>INE506A01018</t>
  </si>
  <si>
    <t>DTIL</t>
  </si>
  <si>
    <t>INE341R01014</t>
  </si>
  <si>
    <t>DVL</t>
  </si>
  <si>
    <t>INE477B01010</t>
  </si>
  <si>
    <t>DWARKESH</t>
  </si>
  <si>
    <t>INE366A01041</t>
  </si>
  <si>
    <t>DYNAMATECH</t>
  </si>
  <si>
    <t>INE221B01012</t>
  </si>
  <si>
    <t>DYNPRO</t>
  </si>
  <si>
    <t>INE256H01015</t>
  </si>
  <si>
    <t>EASEMYTRIP</t>
  </si>
  <si>
    <t>INE07O001018</t>
  </si>
  <si>
    <t>ECLERX</t>
  </si>
  <si>
    <t>INE738I01010</t>
  </si>
  <si>
    <t>EDELWEISS</t>
  </si>
  <si>
    <t>INE532F01054</t>
  </si>
  <si>
    <t>EIDPARRY</t>
  </si>
  <si>
    <t>INE126A01031</t>
  </si>
  <si>
    <t>EIHAHOTELS</t>
  </si>
  <si>
    <t>INE276C01014</t>
  </si>
  <si>
    <t>EIHOTEL</t>
  </si>
  <si>
    <t>INE230A01023</t>
  </si>
  <si>
    <t>EIMCOELECO</t>
  </si>
  <si>
    <t>INE158B01016</t>
  </si>
  <si>
    <t>ELECTCAST</t>
  </si>
  <si>
    <t>INE086A01029</t>
  </si>
  <si>
    <t>ELECTHERM</t>
  </si>
  <si>
    <t>INE822G01016</t>
  </si>
  <si>
    <t>ELGIEQUIP</t>
  </si>
  <si>
    <t>INE285A01027</t>
  </si>
  <si>
    <t>EMAMILTD</t>
  </si>
  <si>
    <t>INE548C01032</t>
  </si>
  <si>
    <t>EMAMIPAP</t>
  </si>
  <si>
    <t>INE830C01026</t>
  </si>
  <si>
    <t>EMAMIREAL</t>
  </si>
  <si>
    <t>INE778K01012</t>
  </si>
  <si>
    <t>EMKAY</t>
  </si>
  <si>
    <t>INE296H01011</t>
  </si>
  <si>
    <t>EMMBI</t>
  </si>
  <si>
    <t>INE753K01015</t>
  </si>
  <si>
    <t>EMUDHRA</t>
  </si>
  <si>
    <t>INE01QM01018</t>
  </si>
  <si>
    <t>ENDURANCE</t>
  </si>
  <si>
    <t>INE913H01037</t>
  </si>
  <si>
    <t>ENGINERSIN</t>
  </si>
  <si>
    <t>INE510A01028</t>
  </si>
  <si>
    <t>ENIL</t>
  </si>
  <si>
    <t>INE265F01028</t>
  </si>
  <si>
    <t>EPL</t>
  </si>
  <si>
    <t>INE255A01020</t>
  </si>
  <si>
    <t>EQUITAS</t>
  </si>
  <si>
    <t>INE988K01017</t>
  </si>
  <si>
    <t>EQUITASBNK</t>
  </si>
  <si>
    <t>INE063P01018</t>
  </si>
  <si>
    <t>ERIS</t>
  </si>
  <si>
    <t>INE406M01024</t>
  </si>
  <si>
    <t>ESABINDIA</t>
  </si>
  <si>
    <t>INE284A01012</t>
  </si>
  <si>
    <t>ESCORTS</t>
  </si>
  <si>
    <t>INE042A01014</t>
  </si>
  <si>
    <t>ESTER</t>
  </si>
  <si>
    <t>INE778B01029</t>
  </si>
  <si>
    <t>ETHOSLTD</t>
  </si>
  <si>
    <t>INE04TZ01018</t>
  </si>
  <si>
    <t>EVEREADY</t>
  </si>
  <si>
    <t>INE128A01029</t>
  </si>
  <si>
    <t>EVERESTIND</t>
  </si>
  <si>
    <t>INE295A01018</t>
  </si>
  <si>
    <t>EXCELINDUS</t>
  </si>
  <si>
    <t>INE369A01029</t>
  </si>
  <si>
    <t>EXIDEIND</t>
  </si>
  <si>
    <t>INE302A01020</t>
  </si>
  <si>
    <t>EXPLEOSOL</t>
  </si>
  <si>
    <t>INE201K01015</t>
  </si>
  <si>
    <t>EXXARO</t>
  </si>
  <si>
    <t>INE0GFE01018</t>
  </si>
  <si>
    <t>FACT</t>
  </si>
  <si>
    <t>INE188A01015</t>
  </si>
  <si>
    <t>FAIRCHEMOR</t>
  </si>
  <si>
    <t>INE0DNW01011</t>
  </si>
  <si>
    <t>FCL</t>
  </si>
  <si>
    <t>INE045J01026</t>
  </si>
  <si>
    <t>FDC</t>
  </si>
  <si>
    <t>INE258B01022</t>
  </si>
  <si>
    <t>FEDERALBNK</t>
  </si>
  <si>
    <t>INE171A01029</t>
  </si>
  <si>
    <t>FIEMIND</t>
  </si>
  <si>
    <t>INE737H01014</t>
  </si>
  <si>
    <t>FILATEX</t>
  </si>
  <si>
    <t>INE816B01027</t>
  </si>
  <si>
    <t>FINCABLES</t>
  </si>
  <si>
    <t>INE235A01022</t>
  </si>
  <si>
    <t>FINEORG</t>
  </si>
  <si>
    <t>INE686Y01026</t>
  </si>
  <si>
    <t>FINOPB</t>
  </si>
  <si>
    <t>INE02NC01014</t>
  </si>
  <si>
    <t>FINPIPE</t>
  </si>
  <si>
    <t>INE183A01024</t>
  </si>
  <si>
    <t>FLUOROCHEM</t>
  </si>
  <si>
    <t>INE09N301011</t>
  </si>
  <si>
    <t>FMGOETZE</t>
  </si>
  <si>
    <t>INE529A01010</t>
  </si>
  <si>
    <t>FOODSIN</t>
  </si>
  <si>
    <t>INE976E01023</t>
  </si>
  <si>
    <t>FORCEMOT</t>
  </si>
  <si>
    <t>INE451A01017</t>
  </si>
  <si>
    <t>FORTIS</t>
  </si>
  <si>
    <t>INE061F01013</t>
  </si>
  <si>
    <t>FOSECOIND</t>
  </si>
  <si>
    <t>INE519A01011</t>
  </si>
  <si>
    <t>FSL</t>
  </si>
  <si>
    <t>INE684F01012</t>
  </si>
  <si>
    <t>GABRIEL</t>
  </si>
  <si>
    <t>INE524A01029</t>
  </si>
  <si>
    <t>GAEL</t>
  </si>
  <si>
    <t>INE036B01030</t>
  </si>
  <si>
    <t>GALAXYSURF</t>
  </si>
  <si>
    <t>INE600K01018</t>
  </si>
  <si>
    <t>GANDHITUBE</t>
  </si>
  <si>
    <t>INE524B01027</t>
  </si>
  <si>
    <t>GANECOS</t>
  </si>
  <si>
    <t>INE845D01014</t>
  </si>
  <si>
    <t>GANESHBE</t>
  </si>
  <si>
    <t>INE388A01029</t>
  </si>
  <si>
    <t>GANESHHOUC</t>
  </si>
  <si>
    <t>INE460C01014</t>
  </si>
  <si>
    <t>GARFIBRES</t>
  </si>
  <si>
    <t>INE276A01018</t>
  </si>
  <si>
    <t>GATEWAY</t>
  </si>
  <si>
    <t>INE079J01017</t>
  </si>
  <si>
    <t>GATI</t>
  </si>
  <si>
    <t>INE152B01027</t>
  </si>
  <si>
    <t>GAYAPROJ</t>
  </si>
  <si>
    <t>INE336H01023</t>
  </si>
  <si>
    <t>GEECEE</t>
  </si>
  <si>
    <t>INE916G01016</t>
  </si>
  <si>
    <t>GENUSPOWER</t>
  </si>
  <si>
    <t>INE955D01029</t>
  </si>
  <si>
    <t>GEOJITFSL</t>
  </si>
  <si>
    <t>INE007B01023</t>
  </si>
  <si>
    <t>GEPIL</t>
  </si>
  <si>
    <t>INE878A01011</t>
  </si>
  <si>
    <t>GESHIP</t>
  </si>
  <si>
    <t>INE017A01032</t>
  </si>
  <si>
    <t>GET&amp;D</t>
  </si>
  <si>
    <t>INE200A01026</t>
  </si>
  <si>
    <t>GFLLIMITED</t>
  </si>
  <si>
    <t>INE538A01037</t>
  </si>
  <si>
    <t>GHCL</t>
  </si>
  <si>
    <t>INE539A01019</t>
  </si>
  <si>
    <t>GICHSGFIN</t>
  </si>
  <si>
    <t>INE289B01019</t>
  </si>
  <si>
    <t>GICRE</t>
  </si>
  <si>
    <t>INE481Y01014</t>
  </si>
  <si>
    <t>GILLETTE</t>
  </si>
  <si>
    <t>INE322A01010</t>
  </si>
  <si>
    <t>GINNIFILA</t>
  </si>
  <si>
    <t>INE424C01010</t>
  </si>
  <si>
    <t>GIPCL</t>
  </si>
  <si>
    <t>INE162A01010</t>
  </si>
  <si>
    <t>GLAXO</t>
  </si>
  <si>
    <t>INE159A01016</t>
  </si>
  <si>
    <t>GLENMARK</t>
  </si>
  <si>
    <t>INE935A01035</t>
  </si>
  <si>
    <t>GLOBE</t>
  </si>
  <si>
    <t>INE581X01021</t>
  </si>
  <si>
    <t>GLOBUSSPR</t>
  </si>
  <si>
    <t>INE615I01010</t>
  </si>
  <si>
    <t>GLS</t>
  </si>
  <si>
    <t>INE03Q201024</t>
  </si>
  <si>
    <t>GMBREW</t>
  </si>
  <si>
    <t>INE075D01018</t>
  </si>
  <si>
    <t>GMDCLTD</t>
  </si>
  <si>
    <t>INE131A01031</t>
  </si>
  <si>
    <t>GMMPFAUDLR</t>
  </si>
  <si>
    <t>INE541A01023</t>
  </si>
  <si>
    <t>GMRINFRA</t>
  </si>
  <si>
    <t>INE776C01039</t>
  </si>
  <si>
    <t>GNA</t>
  </si>
  <si>
    <t>INE934S01014</t>
  </si>
  <si>
    <t>GNFC</t>
  </si>
  <si>
    <t>INE113A01013</t>
  </si>
  <si>
    <t>GOACARBON</t>
  </si>
  <si>
    <t>INE426D01013</t>
  </si>
  <si>
    <t>GOCLCORP</t>
  </si>
  <si>
    <t>INE077F01035</t>
  </si>
  <si>
    <t>GOCOLORS</t>
  </si>
  <si>
    <t>INE0BJS01011</t>
  </si>
  <si>
    <t>GODFRYPHLP</t>
  </si>
  <si>
    <t>INE260B01028</t>
  </si>
  <si>
    <t>GODREJAGRO</t>
  </si>
  <si>
    <t>INE850D01014</t>
  </si>
  <si>
    <t>GODREJIND</t>
  </si>
  <si>
    <t>INE233A01035</t>
  </si>
  <si>
    <t>GODREJPROP</t>
  </si>
  <si>
    <t>INE484J01027</t>
  </si>
  <si>
    <t>GOKEX</t>
  </si>
  <si>
    <t>INE887G01027</t>
  </si>
  <si>
    <t>GOKUL</t>
  </si>
  <si>
    <t>INE020J01029</t>
  </si>
  <si>
    <t>GOLDIAM</t>
  </si>
  <si>
    <t>INE025B01025</t>
  </si>
  <si>
    <t>GOODLUCK</t>
  </si>
  <si>
    <t>INE127I01024</t>
  </si>
  <si>
    <t>GOODYEAR</t>
  </si>
  <si>
    <t>INE533A01012</t>
  </si>
  <si>
    <t>GPIL</t>
  </si>
  <si>
    <t>INE177H01021</t>
  </si>
  <si>
    <t>GPPL</t>
  </si>
  <si>
    <t>INE517F01014</t>
  </si>
  <si>
    <t>GPTINFRA</t>
  </si>
  <si>
    <t>INE390G01014</t>
  </si>
  <si>
    <t>GRANULES</t>
  </si>
  <si>
    <t>INE101D01020</t>
  </si>
  <si>
    <t>GRAPHITE</t>
  </si>
  <si>
    <t>INE371A01025</t>
  </si>
  <si>
    <t>GRAUWEIL</t>
  </si>
  <si>
    <t>INE266D01021</t>
  </si>
  <si>
    <t>GRAVITA</t>
  </si>
  <si>
    <t>INE024L01027</t>
  </si>
  <si>
    <t>GREAVESCOT</t>
  </si>
  <si>
    <t>INE224A01026</t>
  </si>
  <si>
    <t>GREENLAM</t>
  </si>
  <si>
    <t>INE544R01021</t>
  </si>
  <si>
    <t>GREENPANEL</t>
  </si>
  <si>
    <t>INE08ZM01014</t>
  </si>
  <si>
    <t>GREENPLY</t>
  </si>
  <si>
    <t>INE461C01038</t>
  </si>
  <si>
    <t>GRINDWELL</t>
  </si>
  <si>
    <t>INE536A01023</t>
  </si>
  <si>
    <t>GRINFRA</t>
  </si>
  <si>
    <t>INE201P01022</t>
  </si>
  <si>
    <t>GRSE</t>
  </si>
  <si>
    <t>INE382Z01011</t>
  </si>
  <si>
    <t>GRWRHITECH</t>
  </si>
  <si>
    <t>INE291A01017</t>
  </si>
  <si>
    <t>GSCLCEMENT</t>
  </si>
  <si>
    <t>INE542A01039</t>
  </si>
  <si>
    <t>GSFC</t>
  </si>
  <si>
    <t>INE026A01025</t>
  </si>
  <si>
    <t>GSPL</t>
  </si>
  <si>
    <t>INE246F01010</t>
  </si>
  <si>
    <t>GSS</t>
  </si>
  <si>
    <t>INE871H01011</t>
  </si>
  <si>
    <t>GTL</t>
  </si>
  <si>
    <t>INE043A01012</t>
  </si>
  <si>
    <t>GTPL</t>
  </si>
  <si>
    <t>INE869I01013</t>
  </si>
  <si>
    <t>GUFICBIO</t>
  </si>
  <si>
    <t>INE742B01025</t>
  </si>
  <si>
    <t>GUJALKALI</t>
  </si>
  <si>
    <t>INE186A01019</t>
  </si>
  <si>
    <t>GUJGASLTD</t>
  </si>
  <si>
    <t>INE844O01030</t>
  </si>
  <si>
    <t>GULFOILLUB</t>
  </si>
  <si>
    <t>INE635Q01029</t>
  </si>
  <si>
    <t>GULFPETRO</t>
  </si>
  <si>
    <t>INE586G01017</t>
  </si>
  <si>
    <t>GULPOLY</t>
  </si>
  <si>
    <t>INE255D01024</t>
  </si>
  <si>
    <t>HAL</t>
  </si>
  <si>
    <t>INE066F01012</t>
  </si>
  <si>
    <t>HAPPSTMNDS</t>
  </si>
  <si>
    <t>INE419U01012</t>
  </si>
  <si>
    <t>HARIOMPIPE</t>
  </si>
  <si>
    <t>INE00EV01017</t>
  </si>
  <si>
    <t>HARRMALAYA</t>
  </si>
  <si>
    <t>INE544A01019</t>
  </si>
  <si>
    <t>HATHWAY</t>
  </si>
  <si>
    <t>INE982F01036</t>
  </si>
  <si>
    <t>HATSUN</t>
  </si>
  <si>
    <t>INE473B01035</t>
  </si>
  <si>
    <t>HBLPOWER</t>
  </si>
  <si>
    <t>INE292B01021</t>
  </si>
  <si>
    <t>HCC</t>
  </si>
  <si>
    <t>INE549A01026</t>
  </si>
  <si>
    <t>HCG</t>
  </si>
  <si>
    <t>INE075I01017</t>
  </si>
  <si>
    <t>HCL-INSYS</t>
  </si>
  <si>
    <t>INE236A01020</t>
  </si>
  <si>
    <t>HEG</t>
  </si>
  <si>
    <t>INE545A01016</t>
  </si>
  <si>
    <t>HEIDELBERG</t>
  </si>
  <si>
    <t>INE578A01017</t>
  </si>
  <si>
    <t>HEMIPROP</t>
  </si>
  <si>
    <t>INE0AJG01018</t>
  </si>
  <si>
    <t>HERANBA</t>
  </si>
  <si>
    <t>INE694N01015</t>
  </si>
  <si>
    <t>HERCULES</t>
  </si>
  <si>
    <t>INE688E01024</t>
  </si>
  <si>
    <t>HERITGFOOD</t>
  </si>
  <si>
    <t>INE978A01027</t>
  </si>
  <si>
    <t>HESTERBIO</t>
  </si>
  <si>
    <t>INE782E01017</t>
  </si>
  <si>
    <t>HFCL</t>
  </si>
  <si>
    <t>INE548A01028</t>
  </si>
  <si>
    <t>HGINFRA</t>
  </si>
  <si>
    <t>INE926X01010</t>
  </si>
  <si>
    <t>HGS</t>
  </si>
  <si>
    <t>INE170I01016</t>
  </si>
  <si>
    <t>HIKAL</t>
  </si>
  <si>
    <t>INE475B01022</t>
  </si>
  <si>
    <t>HIL</t>
  </si>
  <si>
    <t>INE557A01011</t>
  </si>
  <si>
    <t>HIMATSEIDE</t>
  </si>
  <si>
    <t>INE049A01027</t>
  </si>
  <si>
    <t>HINDCOMPOS</t>
  </si>
  <si>
    <t>INE310C01029</t>
  </si>
  <si>
    <t>HINDCOPPER</t>
  </si>
  <si>
    <t>INE531E01026</t>
  </si>
  <si>
    <t>HINDOILEXP</t>
  </si>
  <si>
    <t>INE345A01011</t>
  </si>
  <si>
    <t>HINDPETRO</t>
  </si>
  <si>
    <t>INE094A01015</t>
  </si>
  <si>
    <t>HINDWAREAP</t>
  </si>
  <si>
    <t>INE05AN01011</t>
  </si>
  <si>
    <t>HINDZINC</t>
  </si>
  <si>
    <t>INE267A01025</t>
  </si>
  <si>
    <t>HISARMETAL</t>
  </si>
  <si>
    <t>INE598C01011</t>
  </si>
  <si>
    <t>HITECH</t>
  </si>
  <si>
    <t>INE106T01017</t>
  </si>
  <si>
    <t>HITECHCORP</t>
  </si>
  <si>
    <t>INE120D01012</t>
  </si>
  <si>
    <t>HITECHGEAR</t>
  </si>
  <si>
    <t>INE127B01011</t>
  </si>
  <si>
    <t>HLEGLAS</t>
  </si>
  <si>
    <t>INE461D01010</t>
  </si>
  <si>
    <t>HLVLTD</t>
  </si>
  <si>
    <t>INE102A01024</t>
  </si>
  <si>
    <t>HMVL</t>
  </si>
  <si>
    <t>INE871K01015</t>
  </si>
  <si>
    <t>HNDFDS</t>
  </si>
  <si>
    <t>INE254N01026</t>
  </si>
  <si>
    <t>HOMEFIRST</t>
  </si>
  <si>
    <t>INE481N01025</t>
  </si>
  <si>
    <t>HONAUT</t>
  </si>
  <si>
    <t>INE671A01010</t>
  </si>
  <si>
    <t>HONDAPOWER</t>
  </si>
  <si>
    <t>INE634A01018</t>
  </si>
  <si>
    <t>HPAL</t>
  </si>
  <si>
    <t>INE0GSL01016</t>
  </si>
  <si>
    <t>HPL</t>
  </si>
  <si>
    <t>INE495S01016</t>
  </si>
  <si>
    <t>HSCL</t>
  </si>
  <si>
    <t>INE019C01026</t>
  </si>
  <si>
    <t>HTMEDIA</t>
  </si>
  <si>
    <t>INE501G01024</t>
  </si>
  <si>
    <t>HUDCO</t>
  </si>
  <si>
    <t>INE031A01017</t>
  </si>
  <si>
    <t>HUHTAMAKI</t>
  </si>
  <si>
    <t>INE275B01026</t>
  </si>
  <si>
    <t>IBREALEST</t>
  </si>
  <si>
    <t>INE069I01010</t>
  </si>
  <si>
    <t>IBULHSGFIN</t>
  </si>
  <si>
    <t>INE148I01020</t>
  </si>
  <si>
    <t>ICIL</t>
  </si>
  <si>
    <t>INE483B01026</t>
  </si>
  <si>
    <t>ICRA</t>
  </si>
  <si>
    <t>INE725G01011</t>
  </si>
  <si>
    <t>IDBI</t>
  </si>
  <si>
    <t>INE008A01015</t>
  </si>
  <si>
    <t>IDEA</t>
  </si>
  <si>
    <t>INE669E01016</t>
  </si>
  <si>
    <t>IDFC</t>
  </si>
  <si>
    <t>INE043D01016</t>
  </si>
  <si>
    <t>IDFCFIRSTB</t>
  </si>
  <si>
    <t>INE092T01019</t>
  </si>
  <si>
    <t>IEX</t>
  </si>
  <si>
    <t>INE022Q01020</t>
  </si>
  <si>
    <t>IFBAGRO</t>
  </si>
  <si>
    <t>INE076C01018</t>
  </si>
  <si>
    <t>IFBIND</t>
  </si>
  <si>
    <t>INE559A01017</t>
  </si>
  <si>
    <t>IFCI</t>
  </si>
  <si>
    <t>INE039A01010</t>
  </si>
  <si>
    <t>IFGLEXPOR</t>
  </si>
  <si>
    <t>INE133Y01011</t>
  </si>
  <si>
    <t>IGARASHI</t>
  </si>
  <si>
    <t>INE188B01013</t>
  </si>
  <si>
    <t>IGL</t>
  </si>
  <si>
    <t>INE203G01027</t>
  </si>
  <si>
    <t>IGPL</t>
  </si>
  <si>
    <t>INE204A01010</t>
  </si>
  <si>
    <t>IIFL</t>
  </si>
  <si>
    <t>INE530B01024</t>
  </si>
  <si>
    <t>IIFLSEC</t>
  </si>
  <si>
    <t>INE489L01022</t>
  </si>
  <si>
    <t>IIFLWAM</t>
  </si>
  <si>
    <t>INE466L01020</t>
  </si>
  <si>
    <t>IMFA</t>
  </si>
  <si>
    <t>INE919H01018</t>
  </si>
  <si>
    <t>IMPAL</t>
  </si>
  <si>
    <t>INE547E01014</t>
  </si>
  <si>
    <t>INDBANK</t>
  </si>
  <si>
    <t>INE841B01017</t>
  </si>
  <si>
    <t>INDHOTEL</t>
  </si>
  <si>
    <t>INE053A01029</t>
  </si>
  <si>
    <t>INDIACEM</t>
  </si>
  <si>
    <t>INE383A01012</t>
  </si>
  <si>
    <t>INDIAGLYCO</t>
  </si>
  <si>
    <t>INE560A01015</t>
  </si>
  <si>
    <t>INDIAMART</t>
  </si>
  <si>
    <t>INE933S01016</t>
  </si>
  <si>
    <t>INDIANB</t>
  </si>
  <si>
    <t>INE562A01011</t>
  </si>
  <si>
    <t>INDIANHUME</t>
  </si>
  <si>
    <t>INE323C01030</t>
  </si>
  <si>
    <t>INDIGOPNTS</t>
  </si>
  <si>
    <t>INE09VQ01012</t>
  </si>
  <si>
    <t>INDNIPPON</t>
  </si>
  <si>
    <t>INE092B01025</t>
  </si>
  <si>
    <t>INDOAMIN</t>
  </si>
  <si>
    <t>INE760F01028</t>
  </si>
  <si>
    <t>INDOBORAX</t>
  </si>
  <si>
    <t>INE803D01021</t>
  </si>
  <si>
    <t>INDOCO</t>
  </si>
  <si>
    <t>INE873D01024</t>
  </si>
  <si>
    <t>INDORAMA</t>
  </si>
  <si>
    <t>INE156A01020</t>
  </si>
  <si>
    <t>INDOSTAR</t>
  </si>
  <si>
    <t>INE896L01010</t>
  </si>
  <si>
    <t>INDOTECH</t>
  </si>
  <si>
    <t>INE332H01014</t>
  </si>
  <si>
    <t>INDRAMEDCO</t>
  </si>
  <si>
    <t>INE681B01017</t>
  </si>
  <si>
    <t>INDSWFTLAB</t>
  </si>
  <si>
    <t>INE915B01019</t>
  </si>
  <si>
    <t>INDTERRAIN</t>
  </si>
  <si>
    <t>INE611L01021</t>
  </si>
  <si>
    <t>INEOSSTYRO</t>
  </si>
  <si>
    <t>INE189B01011</t>
  </si>
  <si>
    <t>INFIBEAM</t>
  </si>
  <si>
    <t>INE483S01020</t>
  </si>
  <si>
    <t>INFOBEAN</t>
  </si>
  <si>
    <t>INE344S01016</t>
  </si>
  <si>
    <t>INGERRAND</t>
  </si>
  <si>
    <t>INE177A01018</t>
  </si>
  <si>
    <t>INOXLEISUR</t>
  </si>
  <si>
    <t>INE312H01016</t>
  </si>
  <si>
    <t>INOXWIND</t>
  </si>
  <si>
    <t>INE066P01011</t>
  </si>
  <si>
    <t>INSECTICID</t>
  </si>
  <si>
    <t>INE070I01018</t>
  </si>
  <si>
    <t>INTELLECT</t>
  </si>
  <si>
    <t>INE306R01017</t>
  </si>
  <si>
    <t>INTENTECH</t>
  </si>
  <si>
    <t>INE781A01025</t>
  </si>
  <si>
    <t>INTLCONV</t>
  </si>
  <si>
    <t>INE575C01027</t>
  </si>
  <si>
    <t>IOB</t>
  </si>
  <si>
    <t>INE565A01014</t>
  </si>
  <si>
    <t>IOLCP</t>
  </si>
  <si>
    <t>INE485C01011</t>
  </si>
  <si>
    <t>IONEXCHANG</t>
  </si>
  <si>
    <t>INE570A01014</t>
  </si>
  <si>
    <t>IPCALAB</t>
  </si>
  <si>
    <t>INE571A01038</t>
  </si>
  <si>
    <t>IPL</t>
  </si>
  <si>
    <t>INE0D6701023</t>
  </si>
  <si>
    <t>IRB</t>
  </si>
  <si>
    <t>INE821I01014</t>
  </si>
  <si>
    <t>IRCON</t>
  </si>
  <si>
    <t>INE962Y01021</t>
  </si>
  <si>
    <t>IRCTC</t>
  </si>
  <si>
    <t>INE335Y01020</t>
  </si>
  <si>
    <t>IRFC</t>
  </si>
  <si>
    <t>INE053F01010</t>
  </si>
  <si>
    <t>IRISDOREME</t>
  </si>
  <si>
    <t>INE01GN01017</t>
  </si>
  <si>
    <t>ISEC</t>
  </si>
  <si>
    <t>INE763G01038</t>
  </si>
  <si>
    <t>ISFT</t>
  </si>
  <si>
    <t>INE566K01011</t>
  </si>
  <si>
    <t>ISGEC</t>
  </si>
  <si>
    <t>INE858B01029</t>
  </si>
  <si>
    <t>ITDC</t>
  </si>
  <si>
    <t>INE353K01014</t>
  </si>
  <si>
    <t>ITDCEM</t>
  </si>
  <si>
    <t>INE686A01026</t>
  </si>
  <si>
    <t>ITI</t>
  </si>
  <si>
    <t>INE248A01017</t>
  </si>
  <si>
    <t>IVP</t>
  </si>
  <si>
    <t>INE043C01018</t>
  </si>
  <si>
    <t>IZMO</t>
  </si>
  <si>
    <t>INE848A01014</t>
  </si>
  <si>
    <t>J&amp;KBANK</t>
  </si>
  <si>
    <t>INE168A01041</t>
  </si>
  <si>
    <t>JAGRAN</t>
  </si>
  <si>
    <t>INE199G01027</t>
  </si>
  <si>
    <t>JAGSNPHARM</t>
  </si>
  <si>
    <t>INE048B01027</t>
  </si>
  <si>
    <t>JAIBALAJI</t>
  </si>
  <si>
    <t>INE091G01018</t>
  </si>
  <si>
    <t>JAICORPLTD</t>
  </si>
  <si>
    <t>INE070D01027</t>
  </si>
  <si>
    <t>JAMNAAUTO</t>
  </si>
  <si>
    <t>INE039C01032</t>
  </si>
  <si>
    <t>JASH</t>
  </si>
  <si>
    <t>INE039O01011</t>
  </si>
  <si>
    <t>JAYAGROGN</t>
  </si>
  <si>
    <t>INE785A01026</t>
  </si>
  <si>
    <t>JAYBARMARU</t>
  </si>
  <si>
    <t>INE571B01028</t>
  </si>
  <si>
    <t>JAYSREETEA</t>
  </si>
  <si>
    <t>INE364A01020</t>
  </si>
  <si>
    <t>JBCHEPHARM</t>
  </si>
  <si>
    <t>INE572A01028</t>
  </si>
  <si>
    <t>JCHAC</t>
  </si>
  <si>
    <t>INE782A01015</t>
  </si>
  <si>
    <t>JHS</t>
  </si>
  <si>
    <t>INE544H01014</t>
  </si>
  <si>
    <t>JINDALPHOT</t>
  </si>
  <si>
    <t>INE796G01012</t>
  </si>
  <si>
    <t>JINDALPOLY</t>
  </si>
  <si>
    <t>INE197D01010</t>
  </si>
  <si>
    <t>JINDALSAW</t>
  </si>
  <si>
    <t>INE324A01024</t>
  </si>
  <si>
    <t>JINDALSTEL</t>
  </si>
  <si>
    <t>INE749A01030</t>
  </si>
  <si>
    <t>JINDRILL</t>
  </si>
  <si>
    <t>INE742C01031</t>
  </si>
  <si>
    <t>JISLJALEQS</t>
  </si>
  <si>
    <t>INE175A01038</t>
  </si>
  <si>
    <t>JKCEMENT</t>
  </si>
  <si>
    <t>INE823G01014</t>
  </si>
  <si>
    <t>JKIL</t>
  </si>
  <si>
    <t>INE576I01022</t>
  </si>
  <si>
    <t>JKLAKSHMI</t>
  </si>
  <si>
    <t>INE786A01032</t>
  </si>
  <si>
    <t>JKPAPER</t>
  </si>
  <si>
    <t>INE789E01012</t>
  </si>
  <si>
    <t>JKTYRE</t>
  </si>
  <si>
    <t>INE573A01042</t>
  </si>
  <si>
    <t>JMA</t>
  </si>
  <si>
    <t>INE412C01023</t>
  </si>
  <si>
    <t>JMCPROJECT</t>
  </si>
  <si>
    <t>INE890A01024</t>
  </si>
  <si>
    <t>JMFINANCIL</t>
  </si>
  <si>
    <t>INE780C01023</t>
  </si>
  <si>
    <t>JOCIL</t>
  </si>
  <si>
    <t>INE839G01010</t>
  </si>
  <si>
    <t>JPASSOCIAT</t>
  </si>
  <si>
    <t>INE455F01025</t>
  </si>
  <si>
    <t>JPPOWER</t>
  </si>
  <si>
    <t>INE351F01018</t>
  </si>
  <si>
    <t>JSL</t>
  </si>
  <si>
    <t>INE220G01021</t>
  </si>
  <si>
    <t>JSLHISAR</t>
  </si>
  <si>
    <t>INE455T01018</t>
  </si>
  <si>
    <t>JSWENERGY</t>
  </si>
  <si>
    <t>INE121E01018</t>
  </si>
  <si>
    <t>JSWHL</t>
  </si>
  <si>
    <t>INE824G01012</t>
  </si>
  <si>
    <t>JSWISPL</t>
  </si>
  <si>
    <t>INE743C01021</t>
  </si>
  <si>
    <t>JTEKTINDIA</t>
  </si>
  <si>
    <t>INE643A01035</t>
  </si>
  <si>
    <t>JTLINFRA</t>
  </si>
  <si>
    <t>INE391J01024</t>
  </si>
  <si>
    <t>JUBLINDS</t>
  </si>
  <si>
    <t>INE645L01011</t>
  </si>
  <si>
    <t>JUBLINGREA</t>
  </si>
  <si>
    <t>INE0BY001018</t>
  </si>
  <si>
    <t>JUBLPHARMA</t>
  </si>
  <si>
    <t>INE700A01033</t>
  </si>
  <si>
    <t>JUSTDIAL</t>
  </si>
  <si>
    <t>INE599M01018</t>
  </si>
  <si>
    <t>JWL</t>
  </si>
  <si>
    <t>INE209L01016</t>
  </si>
  <si>
    <t>JYOTHYLAB</t>
  </si>
  <si>
    <t>INE668F01031</t>
  </si>
  <si>
    <t>KABRAEXTRU</t>
  </si>
  <si>
    <t>INE900B01029</t>
  </si>
  <si>
    <t>KAJARIACER</t>
  </si>
  <si>
    <t>INE217B01036</t>
  </si>
  <si>
    <t>KAKATCEM</t>
  </si>
  <si>
    <t>INE437B01014</t>
  </si>
  <si>
    <t>KALPATPOWR</t>
  </si>
  <si>
    <t>INE220B01022</t>
  </si>
  <si>
    <t>KALYANKJIL</t>
  </si>
  <si>
    <t>INE303R01014</t>
  </si>
  <si>
    <t>KAMDHENU</t>
  </si>
  <si>
    <t>INE390H01012</t>
  </si>
  <si>
    <t>KANPRPLA</t>
  </si>
  <si>
    <t>INE694E01014</t>
  </si>
  <si>
    <t>KANSAINER</t>
  </si>
  <si>
    <t>INE531A01024</t>
  </si>
  <si>
    <t>KARURVYSYA</t>
  </si>
  <si>
    <t>INE036D01028</t>
  </si>
  <si>
    <t>KAYA</t>
  </si>
  <si>
    <t>INE587G01015</t>
  </si>
  <si>
    <t>KCP</t>
  </si>
  <si>
    <t>INE805C01028</t>
  </si>
  <si>
    <t>KCPSUGIND</t>
  </si>
  <si>
    <t>INE790B01024</t>
  </si>
  <si>
    <t>KDDL</t>
  </si>
  <si>
    <t>INE291D01011</t>
  </si>
  <si>
    <t>KEC</t>
  </si>
  <si>
    <t>INE389H01022</t>
  </si>
  <si>
    <t>KEI</t>
  </si>
  <si>
    <t>INE878B01027</t>
  </si>
  <si>
    <t>KELLTONTEC</t>
  </si>
  <si>
    <t>INE164B01022</t>
  </si>
  <si>
    <t>KENNAMET</t>
  </si>
  <si>
    <t>INE717A01029</t>
  </si>
  <si>
    <t>KESORAMIND</t>
  </si>
  <si>
    <t>INE087A01019</t>
  </si>
  <si>
    <t>KHAICHEM</t>
  </si>
  <si>
    <t>INE745B01028</t>
  </si>
  <si>
    <t>KICL</t>
  </si>
  <si>
    <t>INE029L01018</t>
  </si>
  <si>
    <t>KIMS</t>
  </si>
  <si>
    <t>INE967H01017</t>
  </si>
  <si>
    <t>KINGFA</t>
  </si>
  <si>
    <t>INE473D01015</t>
  </si>
  <si>
    <t>KIOCL</t>
  </si>
  <si>
    <t>INE880L01014</t>
  </si>
  <si>
    <t>KIRIINDUS</t>
  </si>
  <si>
    <t>INE415I01015</t>
  </si>
  <si>
    <t>KIRLFER</t>
  </si>
  <si>
    <t>INE884B01025</t>
  </si>
  <si>
    <t>KIRLOSBROS</t>
  </si>
  <si>
    <t>INE732A01036</t>
  </si>
  <si>
    <t>KIRLOSENG</t>
  </si>
  <si>
    <t>INE146L01010</t>
  </si>
  <si>
    <t>KIRLOSIND</t>
  </si>
  <si>
    <t>INE250A01039</t>
  </si>
  <si>
    <t>KITEX</t>
  </si>
  <si>
    <t>INE602G01020</t>
  </si>
  <si>
    <t>KKCL</t>
  </si>
  <si>
    <t>INE401H01017</t>
  </si>
  <si>
    <t>KMSUGAR</t>
  </si>
  <si>
    <t>INE157H01023</t>
  </si>
  <si>
    <t>KNRCON</t>
  </si>
  <si>
    <t>INE634I01029</t>
  </si>
  <si>
    <t>KOKUYOCMLN</t>
  </si>
  <si>
    <t>INE760A01029</t>
  </si>
  <si>
    <t>KOLTEPATIL</t>
  </si>
  <si>
    <t>INE094I01018</t>
  </si>
  <si>
    <t>KOPRAN</t>
  </si>
  <si>
    <t>INE082A01010</t>
  </si>
  <si>
    <t>KOTARISUG</t>
  </si>
  <si>
    <t>INE419A01022</t>
  </si>
  <si>
    <t>KOTHARIPET</t>
  </si>
  <si>
    <t>INE720A01015</t>
  </si>
  <si>
    <t>KOVAI</t>
  </si>
  <si>
    <t>INE177F01017</t>
  </si>
  <si>
    <t>KPIGREEN</t>
  </si>
  <si>
    <t>INE542W01017</t>
  </si>
  <si>
    <t>KPITTECH</t>
  </si>
  <si>
    <t>INE04I401011</t>
  </si>
  <si>
    <t>KPRMILL</t>
  </si>
  <si>
    <t>INE930H01031</t>
  </si>
  <si>
    <t>KRBL</t>
  </si>
  <si>
    <t>INE001B01026</t>
  </si>
  <si>
    <t>KREBSBIO</t>
  </si>
  <si>
    <t>INE268B01013</t>
  </si>
  <si>
    <t>KRISHANA</t>
  </si>
  <si>
    <t>INE506W01012</t>
  </si>
  <si>
    <t>KRITI</t>
  </si>
  <si>
    <t>INE479D01038</t>
  </si>
  <si>
    <t>KRSNAA</t>
  </si>
  <si>
    <t>INE08LI01020</t>
  </si>
  <si>
    <t>KSB</t>
  </si>
  <si>
    <t>INE999A01015</t>
  </si>
  <si>
    <t>KSCL</t>
  </si>
  <si>
    <t>INE455I01029</t>
  </si>
  <si>
    <t>KSL</t>
  </si>
  <si>
    <t>INE907A01026</t>
  </si>
  <si>
    <t>KTKBANK</t>
  </si>
  <si>
    <t>INE614B01018</t>
  </si>
  <si>
    <t>KUANTUM</t>
  </si>
  <si>
    <t>INE529I01021</t>
  </si>
  <si>
    <t>L&amp;TFH</t>
  </si>
  <si>
    <t>INE498L01015</t>
  </si>
  <si>
    <t>LALPATHLAB</t>
  </si>
  <si>
    <t>INE600L01024</t>
  </si>
  <si>
    <t>LANCER</t>
  </si>
  <si>
    <t>INE359U01010</t>
  </si>
  <si>
    <t>LAOPALA</t>
  </si>
  <si>
    <t>INE059D01020</t>
  </si>
  <si>
    <t>LATENTVIEW</t>
  </si>
  <si>
    <t>INE0I7C01011</t>
  </si>
  <si>
    <t>LAURUSLABS</t>
  </si>
  <si>
    <t>INE947Q01028</t>
  </si>
  <si>
    <t>LAXMIMACH</t>
  </si>
  <si>
    <t>INE269B01029</t>
  </si>
  <si>
    <t>LEMONTREE</t>
  </si>
  <si>
    <t>INE970X01018</t>
  </si>
  <si>
    <t>LGBBROSLTD</t>
  </si>
  <si>
    <t>INE337A01034</t>
  </si>
  <si>
    <t>LIBAS</t>
  </si>
  <si>
    <t>INE908V01012</t>
  </si>
  <si>
    <t>LIBERTSHOE</t>
  </si>
  <si>
    <t>INE557B01019</t>
  </si>
  <si>
    <t>LICHSGFIN</t>
  </si>
  <si>
    <t>INE115A01026</t>
  </si>
  <si>
    <t>LIKHITHA</t>
  </si>
  <si>
    <t>INE060901019</t>
  </si>
  <si>
    <t>LINC</t>
  </si>
  <si>
    <t>INE802B01019</t>
  </si>
  <si>
    <t>LINCOLN</t>
  </si>
  <si>
    <t>INE405C01035</t>
  </si>
  <si>
    <t>LINDEINDIA</t>
  </si>
  <si>
    <t>INE473A01011</t>
  </si>
  <si>
    <t>LODHA</t>
  </si>
  <si>
    <t>INE670K01029</t>
  </si>
  <si>
    <t>LOKESHMACH</t>
  </si>
  <si>
    <t>INE397H01017</t>
  </si>
  <si>
    <t>LOVABLE</t>
  </si>
  <si>
    <t>INE597L01014</t>
  </si>
  <si>
    <t>LTTS</t>
  </si>
  <si>
    <t>INE010V01017</t>
  </si>
  <si>
    <t>LUMAXIND</t>
  </si>
  <si>
    <t>INE162B01018</t>
  </si>
  <si>
    <t>LUMAXTECH</t>
  </si>
  <si>
    <t>INE872H01027</t>
  </si>
  <si>
    <t>LUXIND</t>
  </si>
  <si>
    <t>INE150G01020</t>
  </si>
  <si>
    <t>LXCHEM</t>
  </si>
  <si>
    <t>INE576O01020</t>
  </si>
  <si>
    <t>M&amp;MFIN</t>
  </si>
  <si>
    <t>INE774D01024</t>
  </si>
  <si>
    <t>MAANALU</t>
  </si>
  <si>
    <t>INE215I01019</t>
  </si>
  <si>
    <t>MACPOWER</t>
  </si>
  <si>
    <t>INE155Z01011</t>
  </si>
  <si>
    <t>MADRASFERT</t>
  </si>
  <si>
    <t>INE414A01015</t>
  </si>
  <si>
    <t>MAGADSUGAR</t>
  </si>
  <si>
    <t>INE347W01011</t>
  </si>
  <si>
    <t>MAHABANK</t>
  </si>
  <si>
    <t>INE457A01014</t>
  </si>
  <si>
    <t>MAHEPC</t>
  </si>
  <si>
    <t>INE215D01010</t>
  </si>
  <si>
    <t>MAHESHWARI</t>
  </si>
  <si>
    <t>INE263W01010</t>
  </si>
  <si>
    <t>MAHINDCIE</t>
  </si>
  <si>
    <t>INE536H01010</t>
  </si>
  <si>
    <t>MAHLIFE</t>
  </si>
  <si>
    <t>INE813A01018</t>
  </si>
  <si>
    <t>MAHLOG</t>
  </si>
  <si>
    <t>INE766P01016</t>
  </si>
  <si>
    <t>MAHSCOOTER</t>
  </si>
  <si>
    <t>INE288A01013</t>
  </si>
  <si>
    <t>MAHSEAMLES</t>
  </si>
  <si>
    <t>INE271B01025</t>
  </si>
  <si>
    <t>MAITHANALL</t>
  </si>
  <si>
    <t>INE683C01011</t>
  </si>
  <si>
    <t>MANAKSIA</t>
  </si>
  <si>
    <t>INE015D01022</t>
  </si>
  <si>
    <t>MANAKSTEEL</t>
  </si>
  <si>
    <t>INE824Q01011</t>
  </si>
  <si>
    <t>MANALIPETC</t>
  </si>
  <si>
    <t>INE201A01024</t>
  </si>
  <si>
    <t>MANAPPURAM</t>
  </si>
  <si>
    <t>INE522D01027</t>
  </si>
  <si>
    <t>MANGALAM</t>
  </si>
  <si>
    <t>INE584F01014</t>
  </si>
  <si>
    <t>MANGCHEFER</t>
  </si>
  <si>
    <t>INE558B01017</t>
  </si>
  <si>
    <t>MANGLMCEM</t>
  </si>
  <si>
    <t>INE347A01017</t>
  </si>
  <si>
    <t>MANINDS</t>
  </si>
  <si>
    <t>INE993A01026</t>
  </si>
  <si>
    <t>MANINFRA</t>
  </si>
  <si>
    <t>INE949H01023</t>
  </si>
  <si>
    <t>MANORAMA</t>
  </si>
  <si>
    <t>INE00VM01010</t>
  </si>
  <si>
    <t>MANORG</t>
  </si>
  <si>
    <t>INE370D01013</t>
  </si>
  <si>
    <t>MANYAVAR</t>
  </si>
  <si>
    <t>INE825V01034</t>
  </si>
  <si>
    <t>MAPMYINDIA</t>
  </si>
  <si>
    <t>INE0BV301023</t>
  </si>
  <si>
    <t>MARATHON</t>
  </si>
  <si>
    <t>INE182D01020</t>
  </si>
  <si>
    <t>MARINE</t>
  </si>
  <si>
    <t>INE01JE01028</t>
  </si>
  <si>
    <t>MARKSANS</t>
  </si>
  <si>
    <t>INE750C01026</t>
  </si>
  <si>
    <t>MASFIN</t>
  </si>
  <si>
    <t>INE348L01012</t>
  </si>
  <si>
    <t>MASTEK</t>
  </si>
  <si>
    <t>INE759A01021</t>
  </si>
  <si>
    <t>MATRIMONY</t>
  </si>
  <si>
    <t>INE866R01028</t>
  </si>
  <si>
    <t>MAWANASUG</t>
  </si>
  <si>
    <t>INE636A01039</t>
  </si>
  <si>
    <t>MAXHEALTH</t>
  </si>
  <si>
    <t>INE027H01010</t>
  </si>
  <si>
    <t>MAXIND</t>
  </si>
  <si>
    <t>INE0CG601016</t>
  </si>
  <si>
    <t>MAXVIL</t>
  </si>
  <si>
    <t>INE154U01015</t>
  </si>
  <si>
    <t>MAYURUNIQ</t>
  </si>
  <si>
    <t>INE040D01038</t>
  </si>
  <si>
    <t>MAZDA</t>
  </si>
  <si>
    <t>INE885E01034</t>
  </si>
  <si>
    <t>MAZDOCK</t>
  </si>
  <si>
    <t>INE249Z01012</t>
  </si>
  <si>
    <t>MCLEODRUSS</t>
  </si>
  <si>
    <t>INE942G01012</t>
  </si>
  <si>
    <t>MCX</t>
  </si>
  <si>
    <t>INE745G01035</t>
  </si>
  <si>
    <t>MEDICAMEQ</t>
  </si>
  <si>
    <t>INE646B01010</t>
  </si>
  <si>
    <t>MEDPLUS</t>
  </si>
  <si>
    <t>INE804L01022</t>
  </si>
  <si>
    <t>MENONBE</t>
  </si>
  <si>
    <t>INE071D01033</t>
  </si>
  <si>
    <t>METROBRAND</t>
  </si>
  <si>
    <t>INE317I01021</t>
  </si>
  <si>
    <t>METROPOLIS</t>
  </si>
  <si>
    <t>INE112L01020</t>
  </si>
  <si>
    <t>MFL</t>
  </si>
  <si>
    <t>INE071N01016</t>
  </si>
  <si>
    <t>MFSL</t>
  </si>
  <si>
    <t>INE180A01020</t>
  </si>
  <si>
    <t>MGL</t>
  </si>
  <si>
    <t>INE002S01010</t>
  </si>
  <si>
    <t>MHRIL</t>
  </si>
  <si>
    <t>INE998I01010</t>
  </si>
  <si>
    <t>MIDHANI</t>
  </si>
  <si>
    <t>INE099Z01011</t>
  </si>
  <si>
    <t>MINDACORP</t>
  </si>
  <si>
    <t>INE842C01021</t>
  </si>
  <si>
    <t>MMFL</t>
  </si>
  <si>
    <t>INE227C01017</t>
  </si>
  <si>
    <t>MMP</t>
  </si>
  <si>
    <t>INE511Y01018</t>
  </si>
  <si>
    <t>MMTC</t>
  </si>
  <si>
    <t>INE123F01029</t>
  </si>
  <si>
    <t>MODISONLTD</t>
  </si>
  <si>
    <t>INE737D01021</t>
  </si>
  <si>
    <t>MOIL</t>
  </si>
  <si>
    <t>INE490G01020</t>
  </si>
  <si>
    <t>MOL</t>
  </si>
  <si>
    <t>INE0CT101020</t>
  </si>
  <si>
    <t>MOLDTECH</t>
  </si>
  <si>
    <t>INE835B01035</t>
  </si>
  <si>
    <t>MOLDTKPAC</t>
  </si>
  <si>
    <t>INE893J01029</t>
  </si>
  <si>
    <t>MONARCH</t>
  </si>
  <si>
    <t>INE903D01011</t>
  </si>
  <si>
    <t>MONTECARLO</t>
  </si>
  <si>
    <t>INE950M01013</t>
  </si>
  <si>
    <t>MOREPENLAB</t>
  </si>
  <si>
    <t>INE083A01026</t>
  </si>
  <si>
    <t>MOTHERSON</t>
  </si>
  <si>
    <t>INE775A01035</t>
  </si>
  <si>
    <t>MOTILALOFS</t>
  </si>
  <si>
    <t>INE338I01027</t>
  </si>
  <si>
    <t>MPHASIS</t>
  </si>
  <si>
    <t>INE356A01018</t>
  </si>
  <si>
    <t>MPSLTD</t>
  </si>
  <si>
    <t>INE943D01017</t>
  </si>
  <si>
    <t>MRF</t>
  </si>
  <si>
    <t>INE883A01011</t>
  </si>
  <si>
    <t>MRPL</t>
  </si>
  <si>
    <t>INE103A01014</t>
  </si>
  <si>
    <t>MSPL</t>
  </si>
  <si>
    <t>INE752G01015</t>
  </si>
  <si>
    <t>MSTCLTD</t>
  </si>
  <si>
    <t>INE255X01014</t>
  </si>
  <si>
    <t>MSUMI</t>
  </si>
  <si>
    <t>INE0FS801015</t>
  </si>
  <si>
    <t>MTARTECH</t>
  </si>
  <si>
    <t>INE864I01014</t>
  </si>
  <si>
    <t>MTNL</t>
  </si>
  <si>
    <t>INE153A01019</t>
  </si>
  <si>
    <t>MUKANDLTD</t>
  </si>
  <si>
    <t>INE304A01026</t>
  </si>
  <si>
    <t>MUNJALAU</t>
  </si>
  <si>
    <t>INE672B01032</t>
  </si>
  <si>
    <t>MUNJALSHOW</t>
  </si>
  <si>
    <t>INE577A01027</t>
  </si>
  <si>
    <t>MUTHOOTCAP</t>
  </si>
  <si>
    <t>INE296G01013</t>
  </si>
  <si>
    <t>NACLIND</t>
  </si>
  <si>
    <t>INE295D01020</t>
  </si>
  <si>
    <t>NAHARCAP</t>
  </si>
  <si>
    <t>INE049I01012</t>
  </si>
  <si>
    <t>NAHARINDUS</t>
  </si>
  <si>
    <t>INE289A01011</t>
  </si>
  <si>
    <t>NAHARPOLY</t>
  </si>
  <si>
    <t>INE308A01027</t>
  </si>
  <si>
    <t>NAM-INDIA</t>
  </si>
  <si>
    <t>INE298J01013</t>
  </si>
  <si>
    <t>NATCOPHARM</t>
  </si>
  <si>
    <t>INE987B01026</t>
  </si>
  <si>
    <t>NATIONALUM</t>
  </si>
  <si>
    <t>INE139A01034</t>
  </si>
  <si>
    <t>NAVA</t>
  </si>
  <si>
    <t>INE725A01022</t>
  </si>
  <si>
    <t>NAVINFLUOR</t>
  </si>
  <si>
    <t>INE048G01026</t>
  </si>
  <si>
    <t>NAVKARCORP</t>
  </si>
  <si>
    <t>INE278M01019</t>
  </si>
  <si>
    <t>NAVNETEDUL</t>
  </si>
  <si>
    <t>INE060A01024</t>
  </si>
  <si>
    <t>NAZARA</t>
  </si>
  <si>
    <t>INE418L01021</t>
  </si>
  <si>
    <t>NBCC</t>
  </si>
  <si>
    <t>INE095N01031</t>
  </si>
  <si>
    <t>NCC</t>
  </si>
  <si>
    <t>INE868B01028</t>
  </si>
  <si>
    <t>NCLIND</t>
  </si>
  <si>
    <t>INE732C01016</t>
  </si>
  <si>
    <t>NDL</t>
  </si>
  <si>
    <t>INE875G01030</t>
  </si>
  <si>
    <t>NDRAUTO</t>
  </si>
  <si>
    <t>INE07OG01012</t>
  </si>
  <si>
    <t>NECCLTD</t>
  </si>
  <si>
    <t>INE553C01016</t>
  </si>
  <si>
    <t>NECLIFE</t>
  </si>
  <si>
    <t>INE023H01027</t>
  </si>
  <si>
    <t>NELCAST</t>
  </si>
  <si>
    <t>INE189I01024</t>
  </si>
  <si>
    <t>NELCO</t>
  </si>
  <si>
    <t>INE045B01015</t>
  </si>
  <si>
    <t>NEOGEN</t>
  </si>
  <si>
    <t>INE136S01016</t>
  </si>
  <si>
    <t>NESCO</t>
  </si>
  <si>
    <t>INE317F01035</t>
  </si>
  <si>
    <t>NETWORK18</t>
  </si>
  <si>
    <t>INE870H01013</t>
  </si>
  <si>
    <t>NEULANDLAB</t>
  </si>
  <si>
    <t>INE794A01010</t>
  </si>
  <si>
    <t>NEWGEN</t>
  </si>
  <si>
    <t>INE619B01017</t>
  </si>
  <si>
    <t>NFL</t>
  </si>
  <si>
    <t>INE870D01012</t>
  </si>
  <si>
    <t>NGLFINE</t>
  </si>
  <si>
    <t>INE887E01022</t>
  </si>
  <si>
    <t>NH</t>
  </si>
  <si>
    <t>INE410P01011</t>
  </si>
  <si>
    <t>NHPC</t>
  </si>
  <si>
    <t>INE848E01016</t>
  </si>
  <si>
    <t>NIACL</t>
  </si>
  <si>
    <t>INE470Y01017</t>
  </si>
  <si>
    <t>NIITLTD</t>
  </si>
  <si>
    <t>INE161A01038</t>
  </si>
  <si>
    <t>NILKAMAL</t>
  </si>
  <si>
    <t>INE310A01015</t>
  </si>
  <si>
    <t>NIPPOBATRY</t>
  </si>
  <si>
    <t>INE567A01028</t>
  </si>
  <si>
    <t>NITINSPIN</t>
  </si>
  <si>
    <t>INE229H01012</t>
  </si>
  <si>
    <t>NLCINDIA</t>
  </si>
  <si>
    <t>INE589A01014</t>
  </si>
  <si>
    <t>NMDC</t>
  </si>
  <si>
    <t>INE584A01023</t>
  </si>
  <si>
    <t>NOCIL</t>
  </si>
  <si>
    <t>INE163A01018</t>
  </si>
  <si>
    <t>NOVARTIND</t>
  </si>
  <si>
    <t>INE234A01025</t>
  </si>
  <si>
    <t>NRAIL</t>
  </si>
  <si>
    <t>INE740D01017</t>
  </si>
  <si>
    <t>NRBBEARING</t>
  </si>
  <si>
    <t>INE349A01021</t>
  </si>
  <si>
    <t>NSIL</t>
  </si>
  <si>
    <t>INE023A01030</t>
  </si>
  <si>
    <t>NUCLEUS</t>
  </si>
  <si>
    <t>INE096B01018</t>
  </si>
  <si>
    <t>NURECA</t>
  </si>
  <si>
    <t>INE0DSF01015</t>
  </si>
  <si>
    <t>NUVOCO</t>
  </si>
  <si>
    <t>INE118D01016</t>
  </si>
  <si>
    <t>NXTDIGITAL</t>
  </si>
  <si>
    <t>INE353A01023</t>
  </si>
  <si>
    <t>OAL</t>
  </si>
  <si>
    <t>INE959C01023</t>
  </si>
  <si>
    <t>OBEROIRLTY</t>
  </si>
  <si>
    <t>INE093I01010</t>
  </si>
  <si>
    <t>OCCL</t>
  </si>
  <si>
    <t>INE321D01016</t>
  </si>
  <si>
    <t>OFSS</t>
  </si>
  <si>
    <t>INE881D01027</t>
  </si>
  <si>
    <t>OIL</t>
  </si>
  <si>
    <t>INE274J01014</t>
  </si>
  <si>
    <t>OLECTRA</t>
  </si>
  <si>
    <t>INE260D01016</t>
  </si>
  <si>
    <t>OMAXE</t>
  </si>
  <si>
    <t>INE800H01010</t>
  </si>
  <si>
    <t>OMINFRAL</t>
  </si>
  <si>
    <t>INE239D01028</t>
  </si>
  <si>
    <t>ONMOBILE</t>
  </si>
  <si>
    <t>INE809I01019</t>
  </si>
  <si>
    <t>ONWARDTEC</t>
  </si>
  <si>
    <t>INE229A01017</t>
  </si>
  <si>
    <t>OPTIEMUS</t>
  </si>
  <si>
    <t>INE350C01017</t>
  </si>
  <si>
    <t>ORBTEXP</t>
  </si>
  <si>
    <t>INE231G01010</t>
  </si>
  <si>
    <t>ORICONENT</t>
  </si>
  <si>
    <t>INE730A01022</t>
  </si>
  <si>
    <t>ORIENTABRA</t>
  </si>
  <si>
    <t>INE569C01020</t>
  </si>
  <si>
    <t>ORIENTBELL</t>
  </si>
  <si>
    <t>INE607D01018</t>
  </si>
  <si>
    <t>ORIENTCEM</t>
  </si>
  <si>
    <t>INE876N01018</t>
  </si>
  <si>
    <t>ORIENTELEC</t>
  </si>
  <si>
    <t>INE142Z01019</t>
  </si>
  <si>
    <t>ORIENTHOT</t>
  </si>
  <si>
    <t>INE750A01020</t>
  </si>
  <si>
    <t>ORIENTPPR</t>
  </si>
  <si>
    <t>INE592A01026</t>
  </si>
  <si>
    <t>PAGEIND</t>
  </si>
  <si>
    <t>INE761H01022</t>
  </si>
  <si>
    <t>PAISALO</t>
  </si>
  <si>
    <t>INE420C01059</t>
  </si>
  <si>
    <t>PANACEABIO</t>
  </si>
  <si>
    <t>INE922B01023</t>
  </si>
  <si>
    <t>PANAMAPET</t>
  </si>
  <si>
    <t>INE305C01029</t>
  </si>
  <si>
    <t>PAR</t>
  </si>
  <si>
    <t>INE04LG01015</t>
  </si>
  <si>
    <t>PARADEEP</t>
  </si>
  <si>
    <t>INE088F01024</t>
  </si>
  <si>
    <t>PARAGMILK</t>
  </si>
  <si>
    <t>INE883N01014</t>
  </si>
  <si>
    <t>PARAS</t>
  </si>
  <si>
    <t>INE045601015</t>
  </si>
  <si>
    <t>PASUPTAC</t>
  </si>
  <si>
    <t>INE818B01023</t>
  </si>
  <si>
    <t>PATELENG</t>
  </si>
  <si>
    <t>INE244B01030</t>
  </si>
  <si>
    <t>PCBL</t>
  </si>
  <si>
    <t>INE602A01031</t>
  </si>
  <si>
    <t>PDMJEPAPER</t>
  </si>
  <si>
    <t>INE865T01018</t>
  </si>
  <si>
    <t>PDSL</t>
  </si>
  <si>
    <t>INE111Q01021</t>
  </si>
  <si>
    <t>PEL</t>
  </si>
  <si>
    <t>INE140A01024</t>
  </si>
  <si>
    <t>PENIND</t>
  </si>
  <si>
    <t>INE932A01024</t>
  </si>
  <si>
    <t>PERSISTENT</t>
  </si>
  <si>
    <t>INE262H01013</t>
  </si>
  <si>
    <t>PETRONET</t>
  </si>
  <si>
    <t>INE347G01014</t>
  </si>
  <si>
    <t>PFC</t>
  </si>
  <si>
    <t>INE134E01011</t>
  </si>
  <si>
    <t>PFIZER</t>
  </si>
  <si>
    <t>INE182A01018</t>
  </si>
  <si>
    <t>PFS</t>
  </si>
  <si>
    <t>INE560K01014</t>
  </si>
  <si>
    <t>PGHL</t>
  </si>
  <si>
    <t>INE199A01012</t>
  </si>
  <si>
    <t>PGIL</t>
  </si>
  <si>
    <t>INE940H01014</t>
  </si>
  <si>
    <t>PHOENIXLTD</t>
  </si>
  <si>
    <t>INE211B01039</t>
  </si>
  <si>
    <t>PILANIINVS</t>
  </si>
  <si>
    <t>INE417C01014</t>
  </si>
  <si>
    <t>PIONEEREMB</t>
  </si>
  <si>
    <t>INE156C01018</t>
  </si>
  <si>
    <t>PITTIENG</t>
  </si>
  <si>
    <t>INE450D01021</t>
  </si>
  <si>
    <t>PIXTRANS</t>
  </si>
  <si>
    <t>INE751B01018</t>
  </si>
  <si>
    <t>PLASTIBLEN</t>
  </si>
  <si>
    <t>INE083C01022</t>
  </si>
  <si>
    <t>PNBGILTS</t>
  </si>
  <si>
    <t>INE859A01011</t>
  </si>
  <si>
    <t>PNBHOUSING</t>
  </si>
  <si>
    <t>INE572E01012</t>
  </si>
  <si>
    <t>PNCINFRA</t>
  </si>
  <si>
    <t>INE195J01029</t>
  </si>
  <si>
    <t>PODDARMENT</t>
  </si>
  <si>
    <t>INE371C01013</t>
  </si>
  <si>
    <t>POKARNA</t>
  </si>
  <si>
    <t>INE637C01025</t>
  </si>
  <si>
    <t>POLICYBZR</t>
  </si>
  <si>
    <t>INE417T01026</t>
  </si>
  <si>
    <t>POLYCAB</t>
  </si>
  <si>
    <t>INE455K01017</t>
  </si>
  <si>
    <t>POLYMED</t>
  </si>
  <si>
    <t>INE205C01021</t>
  </si>
  <si>
    <t>POLYPLEX</t>
  </si>
  <si>
    <t>INE633B01018</t>
  </si>
  <si>
    <t>PONNIERODE</t>
  </si>
  <si>
    <t>INE838E01017</t>
  </si>
  <si>
    <t>POONAWALLA</t>
  </si>
  <si>
    <t>INE511C01022</t>
  </si>
  <si>
    <t>POWERINDIA</t>
  </si>
  <si>
    <t>INE07Y701011</t>
  </si>
  <si>
    <t>POWERMECH</t>
  </si>
  <si>
    <t>INE211R01019</t>
  </si>
  <si>
    <t>PPAP</t>
  </si>
  <si>
    <t>INE095I01015</t>
  </si>
  <si>
    <t>PPL</t>
  </si>
  <si>
    <t>INE050001010</t>
  </si>
  <si>
    <t>PRAJIND</t>
  </si>
  <si>
    <t>INE074A01025</t>
  </si>
  <si>
    <t>PRAKASH</t>
  </si>
  <si>
    <t>INE603A01013</t>
  </si>
  <si>
    <t>PRECAM</t>
  </si>
  <si>
    <t>INE484I01029</t>
  </si>
  <si>
    <t>PRECOT</t>
  </si>
  <si>
    <t>INE283A01014</t>
  </si>
  <si>
    <t>PRECWIRE</t>
  </si>
  <si>
    <t>INE372C01037</t>
  </si>
  <si>
    <t>PRESTIGE</t>
  </si>
  <si>
    <t>INE811K01011</t>
  </si>
  <si>
    <t>PRICOLLTD</t>
  </si>
  <si>
    <t>INE726V01018</t>
  </si>
  <si>
    <t>PRIMESECU</t>
  </si>
  <si>
    <t>INE032B01021</t>
  </si>
  <si>
    <t>PRINCEPIPE</t>
  </si>
  <si>
    <t>INE689W01016</t>
  </si>
  <si>
    <t>PRITIKAUTO</t>
  </si>
  <si>
    <t>INE583R01029</t>
  </si>
  <si>
    <t>PRIVISCL</t>
  </si>
  <si>
    <t>INE959A01019</t>
  </si>
  <si>
    <t>PROZONINTU</t>
  </si>
  <si>
    <t>INE195N01013</t>
  </si>
  <si>
    <t>PRSMJOHNSN</t>
  </si>
  <si>
    <t>INE010A01011</t>
  </si>
  <si>
    <t>PRUDENT</t>
  </si>
  <si>
    <t>INE00F201020</t>
  </si>
  <si>
    <t>PSB</t>
  </si>
  <si>
    <t>INE608A01012</t>
  </si>
  <si>
    <t>PSPPROJECT</t>
  </si>
  <si>
    <t>INE488V01015</t>
  </si>
  <si>
    <t>PTC</t>
  </si>
  <si>
    <t>INE877F01012</t>
  </si>
  <si>
    <t>PTL</t>
  </si>
  <si>
    <t>INE034D01049</t>
  </si>
  <si>
    <t>PUNJABCHEM</t>
  </si>
  <si>
    <t>INE277B01014</t>
  </si>
  <si>
    <t>PURVA</t>
  </si>
  <si>
    <t>INE323I01011</t>
  </si>
  <si>
    <t>PVR</t>
  </si>
  <si>
    <t>INE191H01014</t>
  </si>
  <si>
    <t>QUESS</t>
  </si>
  <si>
    <t>INE615P01015</t>
  </si>
  <si>
    <t>QUICKHEAL</t>
  </si>
  <si>
    <t>INE306L01010</t>
  </si>
  <si>
    <t>RADHIKAJWE</t>
  </si>
  <si>
    <t>INE583V01013</t>
  </si>
  <si>
    <t>RADICO</t>
  </si>
  <si>
    <t>INE944F01028</t>
  </si>
  <si>
    <t>RADIOCITY</t>
  </si>
  <si>
    <t>INE919I01024</t>
  </si>
  <si>
    <t>RAILTEL</t>
  </si>
  <si>
    <t>INE0DD101019</t>
  </si>
  <si>
    <t>RAIN</t>
  </si>
  <si>
    <t>INE855B01025</t>
  </si>
  <si>
    <t>RAINBOW</t>
  </si>
  <si>
    <t>INE961O01016</t>
  </si>
  <si>
    <t>RAJESHEXPO</t>
  </si>
  <si>
    <t>INE343B01030</t>
  </si>
  <si>
    <t>RALLIS</t>
  </si>
  <si>
    <t>INE613A01020</t>
  </si>
  <si>
    <t>RAMAPHO</t>
  </si>
  <si>
    <t>INE809A01024</t>
  </si>
  <si>
    <t>RAMASTEEL</t>
  </si>
  <si>
    <t>INE230R01035</t>
  </si>
  <si>
    <t>RAMCOCEM</t>
  </si>
  <si>
    <t>INE331A01037</t>
  </si>
  <si>
    <t>RAMCOIND</t>
  </si>
  <si>
    <t>INE614A01028</t>
  </si>
  <si>
    <t>RAMCOSYS</t>
  </si>
  <si>
    <t>INE246B01019</t>
  </si>
  <si>
    <t>RAMKY</t>
  </si>
  <si>
    <t>INE874I01013</t>
  </si>
  <si>
    <t>RAMRAT</t>
  </si>
  <si>
    <t>INE207E01023</t>
  </si>
  <si>
    <t>RANASUG</t>
  </si>
  <si>
    <t>INE625B01014</t>
  </si>
  <si>
    <t>RANEHOLDIN</t>
  </si>
  <si>
    <t>INE384A01010</t>
  </si>
  <si>
    <t>RATEGAIN</t>
  </si>
  <si>
    <t>INE0CLI01024</t>
  </si>
  <si>
    <t>RATNAMANI</t>
  </si>
  <si>
    <t>INE703B01027</t>
  </si>
  <si>
    <t>RBA</t>
  </si>
  <si>
    <t>INE07T201019</t>
  </si>
  <si>
    <t>RBL</t>
  </si>
  <si>
    <t>INE244J01017</t>
  </si>
  <si>
    <t>RBLBANK</t>
  </si>
  <si>
    <t>INE976G01028</t>
  </si>
  <si>
    <t>RCF</t>
  </si>
  <si>
    <t>INE027A01015</t>
  </si>
  <si>
    <t>RECLTD</t>
  </si>
  <si>
    <t>INE020B01018</t>
  </si>
  <si>
    <t>REDINGTON</t>
  </si>
  <si>
    <t>INE891D01026</t>
  </si>
  <si>
    <t>REFEX</t>
  </si>
  <si>
    <t>INE056I01017</t>
  </si>
  <si>
    <t>RELAXO</t>
  </si>
  <si>
    <t>INE131B01039</t>
  </si>
  <si>
    <t>RELIGARE</t>
  </si>
  <si>
    <t>INE621H01010</t>
  </si>
  <si>
    <t>RELINFRA</t>
  </si>
  <si>
    <t>INE036A01016</t>
  </si>
  <si>
    <t>RENUKA</t>
  </si>
  <si>
    <t>INE087H01022</t>
  </si>
  <si>
    <t>REPCOHOME</t>
  </si>
  <si>
    <t>INE612J01015</t>
  </si>
  <si>
    <t>REPL</t>
  </si>
  <si>
    <t>INE364Z01019</t>
  </si>
  <si>
    <t>REPRO</t>
  </si>
  <si>
    <t>INE461B01014</t>
  </si>
  <si>
    <t>RESPONIND</t>
  </si>
  <si>
    <t>INE688D01026</t>
  </si>
  <si>
    <t>REVATHI</t>
  </si>
  <si>
    <t>INE617A01013</t>
  </si>
  <si>
    <t>RGL</t>
  </si>
  <si>
    <t>INE722H01024</t>
  </si>
  <si>
    <t>RHIM</t>
  </si>
  <si>
    <t>INE743M01012</t>
  </si>
  <si>
    <t>RICOAUTO</t>
  </si>
  <si>
    <t>INE209B01025</t>
  </si>
  <si>
    <t>RIIL</t>
  </si>
  <si>
    <t>INE046A01015</t>
  </si>
  <si>
    <t>RITES</t>
  </si>
  <si>
    <t>INE320J01015</t>
  </si>
  <si>
    <t>RKFORGE</t>
  </si>
  <si>
    <t>INE399G01023</t>
  </si>
  <si>
    <t>RML</t>
  </si>
  <si>
    <t>INE050H01012</t>
  </si>
  <si>
    <t>ROHLTD</t>
  </si>
  <si>
    <t>INE283H01019</t>
  </si>
  <si>
    <t>ROLEXRINGS</t>
  </si>
  <si>
    <t>INE645S01016</t>
  </si>
  <si>
    <t>ROSSARI</t>
  </si>
  <si>
    <t>INE02A801020</t>
  </si>
  <si>
    <t>ROSSELLIND</t>
  </si>
  <si>
    <t>INE847C01020</t>
  </si>
  <si>
    <t>ROTO</t>
  </si>
  <si>
    <t>INE535D01029</t>
  </si>
  <si>
    <t>ROUTE</t>
  </si>
  <si>
    <t>INE450U01017</t>
  </si>
  <si>
    <t>RPGLIFE</t>
  </si>
  <si>
    <t>INE105J01010</t>
  </si>
  <si>
    <t>RPOWER</t>
  </si>
  <si>
    <t>INE614G01033</t>
  </si>
  <si>
    <t>RPPINFRA</t>
  </si>
  <si>
    <t>INE324L01013</t>
  </si>
  <si>
    <t>RPPL</t>
  </si>
  <si>
    <t>INE760W01015</t>
  </si>
  <si>
    <t>RPSGVENT</t>
  </si>
  <si>
    <t>INE425Y01011</t>
  </si>
  <si>
    <t>RSSOFTWARE</t>
  </si>
  <si>
    <t>INE165B01029</t>
  </si>
  <si>
    <t>RSWM</t>
  </si>
  <si>
    <t>INE611A01016</t>
  </si>
  <si>
    <t>RSYSTEMS</t>
  </si>
  <si>
    <t>INE411H01032</t>
  </si>
  <si>
    <t>RTNINDIA</t>
  </si>
  <si>
    <t>INE834M01019</t>
  </si>
  <si>
    <t>RUBYMILLS</t>
  </si>
  <si>
    <t>INE301D01026</t>
  </si>
  <si>
    <t>RUCHIRA</t>
  </si>
  <si>
    <t>INE803H01014</t>
  </si>
  <si>
    <t>RUPA</t>
  </si>
  <si>
    <t>INE895B01021</t>
  </si>
  <si>
    <t>RUSHIL</t>
  </si>
  <si>
    <t>INE573K01017</t>
  </si>
  <si>
    <t>RVNL</t>
  </si>
  <si>
    <t>INE415G01027</t>
  </si>
  <si>
    <t>SAFARI</t>
  </si>
  <si>
    <t>INE429E01023</t>
  </si>
  <si>
    <t>SAGCEM</t>
  </si>
  <si>
    <t>INE229C01021</t>
  </si>
  <si>
    <t>SAKSOFT</t>
  </si>
  <si>
    <t>INE667G01015</t>
  </si>
  <si>
    <t>SAKUMA</t>
  </si>
  <si>
    <t>INE190H01024</t>
  </si>
  <si>
    <t>SALASAR</t>
  </si>
  <si>
    <t>INE170V01027</t>
  </si>
  <si>
    <t>SALZERELEC</t>
  </si>
  <si>
    <t>INE457F01013</t>
  </si>
  <si>
    <t>SANDESH</t>
  </si>
  <si>
    <t>INE583B01015</t>
  </si>
  <si>
    <t>SANDHAR</t>
  </si>
  <si>
    <t>INE278H01035</t>
  </si>
  <si>
    <t>SANGAMIND</t>
  </si>
  <si>
    <t>INE495C01010</t>
  </si>
  <si>
    <t>SANGHIIND</t>
  </si>
  <si>
    <t>INE999B01013</t>
  </si>
  <si>
    <t>SANGHVIMOV</t>
  </si>
  <si>
    <t>INE989A01024</t>
  </si>
  <si>
    <t>SANOFI</t>
  </si>
  <si>
    <t>INE058A01010</t>
  </si>
  <si>
    <t>SANSERA</t>
  </si>
  <si>
    <t>INE953O01021</t>
  </si>
  <si>
    <t>SAPPHIRE</t>
  </si>
  <si>
    <t>INE806T01012</t>
  </si>
  <si>
    <t>SARDAEN</t>
  </si>
  <si>
    <t>INE385C01013</t>
  </si>
  <si>
    <t>SAREGAMA</t>
  </si>
  <si>
    <t>INE979A01025</t>
  </si>
  <si>
    <t>SARLAPOLY</t>
  </si>
  <si>
    <t>INE453D01025</t>
  </si>
  <si>
    <t>SASKEN</t>
  </si>
  <si>
    <t>INE231F01020</t>
  </si>
  <si>
    <t>SASTASUNDR</t>
  </si>
  <si>
    <t>INE019J01013</t>
  </si>
  <si>
    <t>SATIA</t>
  </si>
  <si>
    <t>INE170E01023</t>
  </si>
  <si>
    <t>SATIN</t>
  </si>
  <si>
    <t>INE836B01017</t>
  </si>
  <si>
    <t>SBCL</t>
  </si>
  <si>
    <t>INE386D01027</t>
  </si>
  <si>
    <t>SCHAEFFLER</t>
  </si>
  <si>
    <t>INE513A01022</t>
  </si>
  <si>
    <t>SCHAND</t>
  </si>
  <si>
    <t>INE807K01035</t>
  </si>
  <si>
    <t>SCHNEIDER</t>
  </si>
  <si>
    <t>INE839M01018</t>
  </si>
  <si>
    <t>SCI</t>
  </si>
  <si>
    <t>INE109A01011</t>
  </si>
  <si>
    <t>SEAMECLTD</t>
  </si>
  <si>
    <t>INE497B01018</t>
  </si>
  <si>
    <t>SELAN</t>
  </si>
  <si>
    <t>INE818A01017</t>
  </si>
  <si>
    <t>SEPC</t>
  </si>
  <si>
    <t>INE964H01014</t>
  </si>
  <si>
    <t>SEQUENT</t>
  </si>
  <si>
    <t>INE807F01027</t>
  </si>
  <si>
    <t>SESHAPAPER</t>
  </si>
  <si>
    <t>INE630A01024</t>
  </si>
  <si>
    <t>SFL</t>
  </si>
  <si>
    <t>INE916U01025</t>
  </si>
  <si>
    <t>SHAILY</t>
  </si>
  <si>
    <t>INE151G01010</t>
  </si>
  <si>
    <t>SHAKTIPUMP</t>
  </si>
  <si>
    <t>INE908D01010</t>
  </si>
  <si>
    <t>SHALBY</t>
  </si>
  <si>
    <t>INE597J01018</t>
  </si>
  <si>
    <t>SHALPAINTS</t>
  </si>
  <si>
    <t>INE849C01026</t>
  </si>
  <si>
    <t>SHANKARA</t>
  </si>
  <si>
    <t>INE274V01019</t>
  </si>
  <si>
    <t>SHANTIGEAR</t>
  </si>
  <si>
    <t>INE631A01022</t>
  </si>
  <si>
    <t>SHARDACROP</t>
  </si>
  <si>
    <t>INE221J01015</t>
  </si>
  <si>
    <t>SHARDAMOTR</t>
  </si>
  <si>
    <t>INE597I01028</t>
  </si>
  <si>
    <t>SHAREINDIA</t>
  </si>
  <si>
    <t>INE932X01018</t>
  </si>
  <si>
    <t>SHEMAROO</t>
  </si>
  <si>
    <t>INE363M01019</t>
  </si>
  <si>
    <t>SHILPAMED</t>
  </si>
  <si>
    <t>INE790G01031</t>
  </si>
  <si>
    <t>SHIVALIK</t>
  </si>
  <si>
    <t>INE788J01021</t>
  </si>
  <si>
    <t>SHIVATEX</t>
  </si>
  <si>
    <t>INE705C01020</t>
  </si>
  <si>
    <t>SHK</t>
  </si>
  <si>
    <t>INE500L01026</t>
  </si>
  <si>
    <t>SHOPERSTOP</t>
  </si>
  <si>
    <t>INE498B01024</t>
  </si>
  <si>
    <t>SHREDIGCEM</t>
  </si>
  <si>
    <t>INE232A01011</t>
  </si>
  <si>
    <t>SHREEPUSHK</t>
  </si>
  <si>
    <t>INE712K01011</t>
  </si>
  <si>
    <t>SHREYANIND</t>
  </si>
  <si>
    <t>INE231C01019</t>
  </si>
  <si>
    <t>SHREYAS</t>
  </si>
  <si>
    <t>INE757B01015</t>
  </si>
  <si>
    <t>SHRIRAMCIT</t>
  </si>
  <si>
    <t>INE722A01011</t>
  </si>
  <si>
    <t>SHRIRAMPPS</t>
  </si>
  <si>
    <t>INE217L01019</t>
  </si>
  <si>
    <t>SHYAMMETL</t>
  </si>
  <si>
    <t>INE810G01011</t>
  </si>
  <si>
    <t>SIGACHI</t>
  </si>
  <si>
    <t>INE0D0K01014</t>
  </si>
  <si>
    <t>SIRCA</t>
  </si>
  <si>
    <t>INE792Z01011</t>
  </si>
  <si>
    <t>SIS</t>
  </si>
  <si>
    <t>INE285J01028</t>
  </si>
  <si>
    <t>SIYSIL</t>
  </si>
  <si>
    <t>INE076B01028</t>
  </si>
  <si>
    <t>SJS</t>
  </si>
  <si>
    <t>INE284S01014</t>
  </si>
  <si>
    <t>SJVN</t>
  </si>
  <si>
    <t>INE002L01015</t>
  </si>
  <si>
    <t>SKFINDIA</t>
  </si>
  <si>
    <t>INE640A01023</t>
  </si>
  <si>
    <t>SKIPPER</t>
  </si>
  <si>
    <t>INE439E01022</t>
  </si>
  <si>
    <t>SKMEGGPROD</t>
  </si>
  <si>
    <t>INE411D01015</t>
  </si>
  <si>
    <t>SMCGLOBAL</t>
  </si>
  <si>
    <t>INE103C01036</t>
  </si>
  <si>
    <t>SMLISUZU</t>
  </si>
  <si>
    <t>INE294B01019</t>
  </si>
  <si>
    <t>SMLT</t>
  </si>
  <si>
    <t>INE017W01010</t>
  </si>
  <si>
    <t>SMSLIFE</t>
  </si>
  <si>
    <t>INE320X01016</t>
  </si>
  <si>
    <t>SMSPHARMA</t>
  </si>
  <si>
    <t>INE812G01025</t>
  </si>
  <si>
    <t>SNOWMAN</t>
  </si>
  <si>
    <t>INE734N01019</t>
  </si>
  <si>
    <t>SOBHA</t>
  </si>
  <si>
    <t>INE671H01015</t>
  </si>
  <si>
    <t>SOLARINDS</t>
  </si>
  <si>
    <t>INE343H01029</t>
  </si>
  <si>
    <t>SOMANYCERA</t>
  </si>
  <si>
    <t>INE355A01028</t>
  </si>
  <si>
    <t>SONACOMS</t>
  </si>
  <si>
    <t>INE073K01018</t>
  </si>
  <si>
    <t>SONATSOFTW</t>
  </si>
  <si>
    <t>INE269A01021</t>
  </si>
  <si>
    <t>SOTL</t>
  </si>
  <si>
    <t>INE035D01012</t>
  </si>
  <si>
    <t>SOUTHBANK</t>
  </si>
  <si>
    <t>INE683A01023</t>
  </si>
  <si>
    <t>SPAL</t>
  </si>
  <si>
    <t>INE212I01016</t>
  </si>
  <si>
    <t>SPANDANA</t>
  </si>
  <si>
    <t>INE572J01011</t>
  </si>
  <si>
    <t>SPARC</t>
  </si>
  <si>
    <t>INE232I01014</t>
  </si>
  <si>
    <t>SPECIALITY</t>
  </si>
  <si>
    <t>INE247M01014</t>
  </si>
  <si>
    <t>SPENCERS</t>
  </si>
  <si>
    <t>INE020801028</t>
  </si>
  <si>
    <t>SPIC</t>
  </si>
  <si>
    <t>INE147A01011</t>
  </si>
  <si>
    <t>SPICEJET</t>
  </si>
  <si>
    <t>INE285B01017</t>
  </si>
  <si>
    <t>SPLIL</t>
  </si>
  <si>
    <t>INE978G01016</t>
  </si>
  <si>
    <t>SPLPETRO</t>
  </si>
  <si>
    <t>INE663A01025</t>
  </si>
  <si>
    <t>SREEL</t>
  </si>
  <si>
    <t>INE099F01013</t>
  </si>
  <si>
    <t>SRHHYPOLTD</t>
  </si>
  <si>
    <t>INE917H01012</t>
  </si>
  <si>
    <t>SRTRANSFIN</t>
  </si>
  <si>
    <t>INE721A01013</t>
  </si>
  <si>
    <t>SSWL</t>
  </si>
  <si>
    <t>INE802C01025</t>
  </si>
  <si>
    <t>STAR</t>
  </si>
  <si>
    <t>INE939A01011</t>
  </si>
  <si>
    <t>STARCEMENT</t>
  </si>
  <si>
    <t>INE460H01021</t>
  </si>
  <si>
    <t>STARHEALTH</t>
  </si>
  <si>
    <t>INE575P01011</t>
  </si>
  <si>
    <t>STARPAPER</t>
  </si>
  <si>
    <t>INE733A01018</t>
  </si>
  <si>
    <t>STCINDIA</t>
  </si>
  <si>
    <t>INE655A01013</t>
  </si>
  <si>
    <t>STEELCAS</t>
  </si>
  <si>
    <t>INE124E01020</t>
  </si>
  <si>
    <t>STEELCITY</t>
  </si>
  <si>
    <t>INE395H01011</t>
  </si>
  <si>
    <t>STEL</t>
  </si>
  <si>
    <t>INE577L01016</t>
  </si>
  <si>
    <t>STLTECH</t>
  </si>
  <si>
    <t>INE089C01029</t>
  </si>
  <si>
    <t>STOVEKRAFT</t>
  </si>
  <si>
    <t>INE00IN01015</t>
  </si>
  <si>
    <t>STYLAMIND</t>
  </si>
  <si>
    <t>INE239C01020</t>
  </si>
  <si>
    <t>SUBEXLTD</t>
  </si>
  <si>
    <t>INE754A01055</t>
  </si>
  <si>
    <t>SUBROS</t>
  </si>
  <si>
    <t>INE287B01021</t>
  </si>
  <si>
    <t>SUDARSCHEM</t>
  </si>
  <si>
    <t>INE659A01023</t>
  </si>
  <si>
    <t>SUMICHEM</t>
  </si>
  <si>
    <t>INE258G01013</t>
  </si>
  <si>
    <t>SUMMITSEC</t>
  </si>
  <si>
    <t>INE519C01017</t>
  </si>
  <si>
    <t>SUNCLAYLTD</t>
  </si>
  <si>
    <t>INE105A01035</t>
  </si>
  <si>
    <t>SUNDARMFIN</t>
  </si>
  <si>
    <t>INE660A01013</t>
  </si>
  <si>
    <t>SUNDARMHLD</t>
  </si>
  <si>
    <t>INE202Z01029</t>
  </si>
  <si>
    <t>SUNDRMFAST</t>
  </si>
  <si>
    <t>INE387A01021</t>
  </si>
  <si>
    <t>SUNFLAG</t>
  </si>
  <si>
    <t>INE947A01014</t>
  </si>
  <si>
    <t>SUNTECK</t>
  </si>
  <si>
    <t>INE805D01034</t>
  </si>
  <si>
    <t>SUNTV</t>
  </si>
  <si>
    <t>INE424H01027</t>
  </si>
  <si>
    <t>SUPERHOUSE</t>
  </si>
  <si>
    <t>INE712B01010</t>
  </si>
  <si>
    <t>SUPRAJIT</t>
  </si>
  <si>
    <t>INE399C01030</t>
  </si>
  <si>
    <t>SUPREMEIND</t>
  </si>
  <si>
    <t>INE195A01028</t>
  </si>
  <si>
    <t>SUPRIYA</t>
  </si>
  <si>
    <t>INE07RO01027</t>
  </si>
  <si>
    <t>SURYAROSNI</t>
  </si>
  <si>
    <t>INE335A01012</t>
  </si>
  <si>
    <t>SURYODAY</t>
  </si>
  <si>
    <t>INE428Q01011</t>
  </si>
  <si>
    <t>SUTLEJTEX</t>
  </si>
  <si>
    <t>INE645H01027</t>
  </si>
  <si>
    <t>SUVEN</t>
  </si>
  <si>
    <t>INE495B01038</t>
  </si>
  <si>
    <t>SUVENPHAR</t>
  </si>
  <si>
    <t>INE03QK01018</t>
  </si>
  <si>
    <t>SUZLON</t>
  </si>
  <si>
    <t>INE040H01021</t>
  </si>
  <si>
    <t>SVPGLOB</t>
  </si>
  <si>
    <t>INE308E01029</t>
  </si>
  <si>
    <t>SWANENERGY</t>
  </si>
  <si>
    <t>INE665A01038</t>
  </si>
  <si>
    <t>SWARAJENG</t>
  </si>
  <si>
    <t>INE277A01016</t>
  </si>
  <si>
    <t>SWSOLAR</t>
  </si>
  <si>
    <t>INE00M201021</t>
  </si>
  <si>
    <t>SYMPHONY</t>
  </si>
  <si>
    <t>INE225D01027</t>
  </si>
  <si>
    <t>SYNGENE</t>
  </si>
  <si>
    <t>INE398R01022</t>
  </si>
  <si>
    <t>TAJGVK</t>
  </si>
  <si>
    <t>INE586B01026</t>
  </si>
  <si>
    <t>TAKE</t>
  </si>
  <si>
    <t>INE142I01023</t>
  </si>
  <si>
    <t>TALBROAUTO</t>
  </si>
  <si>
    <t>INE187D01011</t>
  </si>
  <si>
    <t>TANLA</t>
  </si>
  <si>
    <t>INE483C01032</t>
  </si>
  <si>
    <t>TARC</t>
  </si>
  <si>
    <t>INE0EK901012</t>
  </si>
  <si>
    <t>TARSONS</t>
  </si>
  <si>
    <t>INE144Z01023</t>
  </si>
  <si>
    <t>TASTYBITE</t>
  </si>
  <si>
    <t>INE488B01017</t>
  </si>
  <si>
    <t>TATACHEM</t>
  </si>
  <si>
    <t>INE092A01019</t>
  </si>
  <si>
    <t>TATACOFFEE</t>
  </si>
  <si>
    <t>INE493A01027</t>
  </si>
  <si>
    <t>TATACOMM</t>
  </si>
  <si>
    <t>INE151A01013</t>
  </si>
  <si>
    <t>TATAELXSI</t>
  </si>
  <si>
    <t>INE670A01012</t>
  </si>
  <si>
    <t>TATAINVEST</t>
  </si>
  <si>
    <t>INE672A01018</t>
  </si>
  <si>
    <t>TATAMETALI</t>
  </si>
  <si>
    <t>INE056C01010</t>
  </si>
  <si>
    <t>TATAMTRDVR</t>
  </si>
  <si>
    <t>IN9155A01020</t>
  </si>
  <si>
    <t>TATASTLLP</t>
  </si>
  <si>
    <t>INE674A01014</t>
  </si>
  <si>
    <t>TATVA</t>
  </si>
  <si>
    <t>INE0GK401011</t>
  </si>
  <si>
    <t>TBZ</t>
  </si>
  <si>
    <t>INE760L01018</t>
  </si>
  <si>
    <t>TCI</t>
  </si>
  <si>
    <t>INE688A01022</t>
  </si>
  <si>
    <t>TCIEXP</t>
  </si>
  <si>
    <t>INE586V01016</t>
  </si>
  <si>
    <t>TCNSBRANDS</t>
  </si>
  <si>
    <t>INE778U01029</t>
  </si>
  <si>
    <t>TCPLPACK</t>
  </si>
  <si>
    <t>INE822C01015</t>
  </si>
  <si>
    <t>TDPOWERSYS</t>
  </si>
  <si>
    <t>INE419M01019</t>
  </si>
  <si>
    <t>TEAMLEASE</t>
  </si>
  <si>
    <t>INE985S01024</t>
  </si>
  <si>
    <t>TECHNOE</t>
  </si>
  <si>
    <t>INE285K01026</t>
  </si>
  <si>
    <t>TEGA</t>
  </si>
  <si>
    <t>INE011K01018</t>
  </si>
  <si>
    <t>TEJASNET</t>
  </si>
  <si>
    <t>INE010J01012</t>
  </si>
  <si>
    <t>TEXINFRA</t>
  </si>
  <si>
    <t>INE435C01024</t>
  </si>
  <si>
    <t>TEXMOPIPES</t>
  </si>
  <si>
    <t>INE141K01013</t>
  </si>
  <si>
    <t>TEXRAIL</t>
  </si>
  <si>
    <t>INE621L01012</t>
  </si>
  <si>
    <t>TFCILTD</t>
  </si>
  <si>
    <t>INE305A01015</t>
  </si>
  <si>
    <t>THANGAMAYL</t>
  </si>
  <si>
    <t>INE085J01014</t>
  </si>
  <si>
    <t>THEMISMED</t>
  </si>
  <si>
    <t>INE083B01016</t>
  </si>
  <si>
    <t>THERMAX</t>
  </si>
  <si>
    <t>INE152A01029</t>
  </si>
  <si>
    <t>THOMASCOOK</t>
  </si>
  <si>
    <t>INE332A01027</t>
  </si>
  <si>
    <t>THYROCARE</t>
  </si>
  <si>
    <t>INE594H01019</t>
  </si>
  <si>
    <t>TI</t>
  </si>
  <si>
    <t>INE133E01013</t>
  </si>
  <si>
    <t>TIDEWATER</t>
  </si>
  <si>
    <t>INE484C01030</t>
  </si>
  <si>
    <t>TIIL</t>
  </si>
  <si>
    <t>INE545H01011</t>
  </si>
  <si>
    <t>TIINDIA</t>
  </si>
  <si>
    <t>INE974X01010</t>
  </si>
  <si>
    <t>TIMETECHNO</t>
  </si>
  <si>
    <t>INE508G01029</t>
  </si>
  <si>
    <t>TIMKEN</t>
  </si>
  <si>
    <t>INE325A01013</t>
  </si>
  <si>
    <t>TINPLATE</t>
  </si>
  <si>
    <t>INE422C01014</t>
  </si>
  <si>
    <t>TIPSINDLTD</t>
  </si>
  <si>
    <t>INE716B01011</t>
  </si>
  <si>
    <t>TIRUMALCHM</t>
  </si>
  <si>
    <t>INE338A01024</t>
  </si>
  <si>
    <t>TNPETRO</t>
  </si>
  <si>
    <t>INE148A01019</t>
  </si>
  <si>
    <t>TNPL</t>
  </si>
  <si>
    <t>INE107A01015</t>
  </si>
  <si>
    <t>TORNTPOWER</t>
  </si>
  <si>
    <t>INE813H01021</t>
  </si>
  <si>
    <t>TPLPLASTEH</t>
  </si>
  <si>
    <t>INE413G01014</t>
  </si>
  <si>
    <t>TRENT</t>
  </si>
  <si>
    <t>INE849A01020</t>
  </si>
  <si>
    <t>TRIDENT</t>
  </si>
  <si>
    <t>INE064C01022</t>
  </si>
  <si>
    <t>TRIGYN</t>
  </si>
  <si>
    <t>INE948A01012</t>
  </si>
  <si>
    <t>TRIL</t>
  </si>
  <si>
    <t>INE763I01026</t>
  </si>
  <si>
    <t>TRITURBINE</t>
  </si>
  <si>
    <t>INE152M01016</t>
  </si>
  <si>
    <t>TRIVENI</t>
  </si>
  <si>
    <t>INE256C01024</t>
  </si>
  <si>
    <t>TTKHLTCARE</t>
  </si>
  <si>
    <t>INE910C01018</t>
  </si>
  <si>
    <t>TTKPRESTIG</t>
  </si>
  <si>
    <t>INE690A01028</t>
  </si>
  <si>
    <t>TTL</t>
  </si>
  <si>
    <t>INE592B01016</t>
  </si>
  <si>
    <t>TV18BRDCST</t>
  </si>
  <si>
    <t>INE886H01027</t>
  </si>
  <si>
    <t>TVSELECT</t>
  </si>
  <si>
    <t>INE236G01019</t>
  </si>
  <si>
    <t>TVSMOTOR</t>
  </si>
  <si>
    <t>INE494B01023</t>
  </si>
  <si>
    <t>TVSSRICHAK</t>
  </si>
  <si>
    <t>INE421C01016</t>
  </si>
  <si>
    <t>TVTODAY</t>
  </si>
  <si>
    <t>INE038F01029</t>
  </si>
  <si>
    <t>TWL</t>
  </si>
  <si>
    <t>INE615H01020</t>
  </si>
  <si>
    <t>UBL</t>
  </si>
  <si>
    <t>INE686F01025</t>
  </si>
  <si>
    <t>UCALFUEL</t>
  </si>
  <si>
    <t>INE139B01016</t>
  </si>
  <si>
    <t>UCOBANK</t>
  </si>
  <si>
    <t>INE691A01018</t>
  </si>
  <si>
    <t>UDAICEMENT</t>
  </si>
  <si>
    <t>INE225C01029</t>
  </si>
  <si>
    <t>UFLEX</t>
  </si>
  <si>
    <t>INE516A01017</t>
  </si>
  <si>
    <t>UFO</t>
  </si>
  <si>
    <t>INE527H01019</t>
  </si>
  <si>
    <t>UGROCAP</t>
  </si>
  <si>
    <t>INE583D01011</t>
  </si>
  <si>
    <t>UJJIVAN</t>
  </si>
  <si>
    <t>INE334L01012</t>
  </si>
  <si>
    <t>UJJIVANSFB</t>
  </si>
  <si>
    <t>INE551W01018</t>
  </si>
  <si>
    <t>UMAEXPORTS</t>
  </si>
  <si>
    <t>INE0GIU01018</t>
  </si>
  <si>
    <t>UNICHEMLAB</t>
  </si>
  <si>
    <t>INE351A01035</t>
  </si>
  <si>
    <t>UNIDT</t>
  </si>
  <si>
    <t>INE961D01019</t>
  </si>
  <si>
    <t>UNIONBANK</t>
  </si>
  <si>
    <t>INE692A01016</t>
  </si>
  <si>
    <t>UNIVASTU</t>
  </si>
  <si>
    <t>INE562X01013</t>
  </si>
  <si>
    <t>UNIVCABLES</t>
  </si>
  <si>
    <t>INE279A01012</t>
  </si>
  <si>
    <t>UNOMINDA</t>
  </si>
  <si>
    <t>INE405E01023</t>
  </si>
  <si>
    <t>USHAMART</t>
  </si>
  <si>
    <t>INE228A01035</t>
  </si>
  <si>
    <t>UTIAMC</t>
  </si>
  <si>
    <t>INE094J01016</t>
  </si>
  <si>
    <t>UTTAMSUGAR</t>
  </si>
  <si>
    <t>INE786F01031</t>
  </si>
  <si>
    <t>V2RETAIL</t>
  </si>
  <si>
    <t>INE945H01013</t>
  </si>
  <si>
    <t>VAIBHAVGBL</t>
  </si>
  <si>
    <t>INE884A01027</t>
  </si>
  <si>
    <t>VAISHALI</t>
  </si>
  <si>
    <t>INE972X01014</t>
  </si>
  <si>
    <t>VAKRANGEE</t>
  </si>
  <si>
    <t>INE051B01021</t>
  </si>
  <si>
    <t>VALIANTORG</t>
  </si>
  <si>
    <t>INE565V01010</t>
  </si>
  <si>
    <t>VARDHACRLC</t>
  </si>
  <si>
    <t>INE116G01013</t>
  </si>
  <si>
    <t>VARROC</t>
  </si>
  <si>
    <t>INE665L01035</t>
  </si>
  <si>
    <t>VASCONEQ</t>
  </si>
  <si>
    <t>INE893I01013</t>
  </si>
  <si>
    <t>VBL</t>
  </si>
  <si>
    <t>INE200M01013</t>
  </si>
  <si>
    <t>VENKEYS</t>
  </si>
  <si>
    <t>INE398A01010</t>
  </si>
  <si>
    <t>VENUSPIPES</t>
  </si>
  <si>
    <t>INE0JA001018</t>
  </si>
  <si>
    <t>VENUSREM</t>
  </si>
  <si>
    <t>INE411B01019</t>
  </si>
  <si>
    <t>VERTOZ</t>
  </si>
  <si>
    <t>INE188Y01015</t>
  </si>
  <si>
    <t>VESUVIUS</t>
  </si>
  <si>
    <t>INE386A01015</t>
  </si>
  <si>
    <t>VETO</t>
  </si>
  <si>
    <t>INE918N01018</t>
  </si>
  <si>
    <t>VGUARD</t>
  </si>
  <si>
    <t>INE951I01027</t>
  </si>
  <si>
    <t>VHL</t>
  </si>
  <si>
    <t>INE701A01023</t>
  </si>
  <si>
    <t>VIDHIING</t>
  </si>
  <si>
    <t>INE632C01026</t>
  </si>
  <si>
    <t>VIJAYA</t>
  </si>
  <si>
    <t>INE043W01024</t>
  </si>
  <si>
    <t>VIMTALABS</t>
  </si>
  <si>
    <t>INE579C01029</t>
  </si>
  <si>
    <t>VINATIORGA</t>
  </si>
  <si>
    <t>INE410B01037</t>
  </si>
  <si>
    <t>VINDHYATEL</t>
  </si>
  <si>
    <t>INE707A01012</t>
  </si>
  <si>
    <t>VINYLINDIA</t>
  </si>
  <si>
    <t>INE250B01029</t>
  </si>
  <si>
    <t>VIPIND</t>
  </si>
  <si>
    <t>INE054A01027</t>
  </si>
  <si>
    <t>VISAKAIND</t>
  </si>
  <si>
    <t>INE392A01013</t>
  </si>
  <si>
    <t>VISHAL</t>
  </si>
  <si>
    <t>INE755Q01025</t>
  </si>
  <si>
    <t>VISHNU</t>
  </si>
  <si>
    <t>INE270I01014</t>
  </si>
  <si>
    <t>VISHWARAJ</t>
  </si>
  <si>
    <t>INE430N01022</t>
  </si>
  <si>
    <t>VLSFINANCE</t>
  </si>
  <si>
    <t>INE709A01018</t>
  </si>
  <si>
    <t>VMART</t>
  </si>
  <si>
    <t>INE665J01013</t>
  </si>
  <si>
    <t>VOLTAMP</t>
  </si>
  <si>
    <t>INE540H01012</t>
  </si>
  <si>
    <t>VOLTAS</t>
  </si>
  <si>
    <t>INE226A01021</t>
  </si>
  <si>
    <t>VRLLOG</t>
  </si>
  <si>
    <t>INE366I01010</t>
  </si>
  <si>
    <t>VSSL</t>
  </si>
  <si>
    <t>INE050M01012</t>
  </si>
  <si>
    <t>VSTIND</t>
  </si>
  <si>
    <t>INE710A01016</t>
  </si>
  <si>
    <t>VSTTILLERS</t>
  </si>
  <si>
    <t>INE764D01017</t>
  </si>
  <si>
    <t>VTL</t>
  </si>
  <si>
    <t>INE825A01020</t>
  </si>
  <si>
    <t>WABAG</t>
  </si>
  <si>
    <t>INE956G01038</t>
  </si>
  <si>
    <t>WALCHANNAG</t>
  </si>
  <si>
    <t>INE711A01022</t>
  </si>
  <si>
    <t>WATERBASE</t>
  </si>
  <si>
    <t>INE054C01015</t>
  </si>
  <si>
    <t>WELCORP</t>
  </si>
  <si>
    <t>INE191B01025</t>
  </si>
  <si>
    <t>WELENT</t>
  </si>
  <si>
    <t>INE625G01013</t>
  </si>
  <si>
    <t>WELSPUNIND</t>
  </si>
  <si>
    <t>INE192B01031</t>
  </si>
  <si>
    <t>WENDT</t>
  </si>
  <si>
    <t>INE274C01019</t>
  </si>
  <si>
    <t>WESTLIFE</t>
  </si>
  <si>
    <t>INE274F01020</t>
  </si>
  <si>
    <t>WHEELS</t>
  </si>
  <si>
    <t>INE715A01015</t>
  </si>
  <si>
    <t>WHIRLPOOL</t>
  </si>
  <si>
    <t>INE716A01013</t>
  </si>
  <si>
    <t>WINDLAS</t>
  </si>
  <si>
    <t>INE0H5O01029</t>
  </si>
  <si>
    <t>WINDMACHIN</t>
  </si>
  <si>
    <t>INE052A01021</t>
  </si>
  <si>
    <t>WOCKPHARMA</t>
  </si>
  <si>
    <t>INE049B01025</t>
  </si>
  <si>
    <t>WONDERLA</t>
  </si>
  <si>
    <t>INE066O01014</t>
  </si>
  <si>
    <t>WORTH</t>
  </si>
  <si>
    <t>INE196Y01018</t>
  </si>
  <si>
    <t>WSTCSTPAPR</t>
  </si>
  <si>
    <t>INE976A01021</t>
  </si>
  <si>
    <t>XCHANGING</t>
  </si>
  <si>
    <t>INE692G01013</t>
  </si>
  <si>
    <t>XELPMOC</t>
  </si>
  <si>
    <t>INE01P501012</t>
  </si>
  <si>
    <t>YESBANK</t>
  </si>
  <si>
    <t>INE528G01035</t>
  </si>
  <si>
    <t>YUKEN</t>
  </si>
  <si>
    <t>INE384C01016</t>
  </si>
  <si>
    <t>ZEEL</t>
  </si>
  <si>
    <t>INE256A01028</t>
  </si>
  <si>
    <t>ZEELEARN</t>
  </si>
  <si>
    <t>INE565L01011</t>
  </si>
  <si>
    <t>ZENSARTECH</t>
  </si>
  <si>
    <t>INE520A01027</t>
  </si>
  <si>
    <t>ZENTEC</t>
  </si>
  <si>
    <t>INE251B01027</t>
  </si>
  <si>
    <t>ZFCVINDIA</t>
  </si>
  <si>
    <t>INE342J01019</t>
  </si>
  <si>
    <t>ZODIACLOTH</t>
  </si>
  <si>
    <t>INE206B01013</t>
  </si>
  <si>
    <t>ZOTA</t>
  </si>
  <si>
    <t>INE358U01012</t>
  </si>
  <si>
    <t>ZUARI</t>
  </si>
  <si>
    <t>INE840M01016</t>
  </si>
  <si>
    <t>ZUARIIND</t>
  </si>
  <si>
    <t>INE217A01012</t>
  </si>
  <si>
    <t>ZYDUSWELL</t>
  </si>
  <si>
    <t>INE768C01010</t>
  </si>
  <si>
    <t xml:space="preserve">List of ETFs </t>
  </si>
  <si>
    <t>Haircut %</t>
  </si>
  <si>
    <t>ABSLBANETF</t>
  </si>
  <si>
    <t>INF209KB17D5</t>
  </si>
  <si>
    <t>ABSLNN50ET</t>
  </si>
  <si>
    <t>INF209KB16D7</t>
  </si>
  <si>
    <t>AUTOBEES</t>
  </si>
  <si>
    <t>INF204KC1337</t>
  </si>
  <si>
    <t>AXISBNKETF</t>
  </si>
  <si>
    <t>INF846K01X63</t>
  </si>
  <si>
    <t>AXISBPSETF</t>
  </si>
  <si>
    <t>INF846K01Z04</t>
  </si>
  <si>
    <t>AXISCETF</t>
  </si>
  <si>
    <t>INF846K016C7</t>
  </si>
  <si>
    <t>AXISGOLD</t>
  </si>
  <si>
    <t>INF846K01W80</t>
  </si>
  <si>
    <t>AXISNIFTY</t>
  </si>
  <si>
    <t>INF846K01W98</t>
  </si>
  <si>
    <t>AXISTECETF</t>
  </si>
  <si>
    <t>INF846K01Y96</t>
  </si>
  <si>
    <t>BANKBEES</t>
  </si>
  <si>
    <t>INF204KB15I9</t>
  </si>
  <si>
    <t>BBETF0432</t>
  </si>
  <si>
    <t>INF754K01OB1</t>
  </si>
  <si>
    <t>BSLGOLDETF</t>
  </si>
  <si>
    <t>INF209KB18D3</t>
  </si>
  <si>
    <t>BSLNIFTY</t>
  </si>
  <si>
    <t>INF209KB19D1</t>
  </si>
  <si>
    <t>BSLSENETFG</t>
  </si>
  <si>
    <t>INF209KB10E8</t>
  </si>
  <si>
    <t>CONSUMBEES</t>
  </si>
  <si>
    <t>INF204KA1LD7</t>
  </si>
  <si>
    <t>CPSEETF</t>
  </si>
  <si>
    <t>INF457M01133</t>
  </si>
  <si>
    <t>DIVOPPBEES</t>
  </si>
  <si>
    <t>INF204KA1MS3</t>
  </si>
  <si>
    <t>DSPN50ETF</t>
  </si>
  <si>
    <t>INF740KA1CL0</t>
  </si>
  <si>
    <t>DSPNEWETF</t>
  </si>
  <si>
    <t>INF740KA1QK2</t>
  </si>
  <si>
    <t>DSPQ50ETF</t>
  </si>
  <si>
    <t>INF740KA1QL0</t>
  </si>
  <si>
    <t>EBBETF0423</t>
  </si>
  <si>
    <t>INF754K01KN4</t>
  </si>
  <si>
    <t>EBBETF0425</t>
  </si>
  <si>
    <t>INF754K01LD3</t>
  </si>
  <si>
    <t>EBBETF0430</t>
  </si>
  <si>
    <t>INF754K01KO2</t>
  </si>
  <si>
    <t>EBBETF0431</t>
  </si>
  <si>
    <t>INF754K01LE1</t>
  </si>
  <si>
    <t>GOLDBEES</t>
  </si>
  <si>
    <t>INF204KB17I5</t>
  </si>
  <si>
    <t>GOLDSHARE</t>
  </si>
  <si>
    <t>INF789F1AUX7</t>
  </si>
  <si>
    <t>HBANKETF</t>
  </si>
  <si>
    <t>INF179KC1AN8</t>
  </si>
  <si>
    <t>HDFCMFGETF</t>
  </si>
  <si>
    <t>INF179KC1981</t>
  </si>
  <si>
    <t>HDFCNEXT50</t>
  </si>
  <si>
    <t>INF179KC1DA9</t>
  </si>
  <si>
    <t>HDFCNIF100</t>
  </si>
  <si>
    <t>INF179KC1DB7</t>
  </si>
  <si>
    <t>HDFCNIFETF</t>
  </si>
  <si>
    <t>INF179KC1965</t>
  </si>
  <si>
    <t>HDFCSENETF</t>
  </si>
  <si>
    <t>INF179KC1973</t>
  </si>
  <si>
    <t>HEALTHY</t>
  </si>
  <si>
    <t>INF209KB10C2</t>
  </si>
  <si>
    <t>HNGSNGBEES</t>
  </si>
  <si>
    <t>INF204KB19I1</t>
  </si>
  <si>
    <t>ICICI500</t>
  </si>
  <si>
    <t>INF109KC1V59</t>
  </si>
  <si>
    <t>ICICIALPLV</t>
  </si>
  <si>
    <t>INF109KC1N59</t>
  </si>
  <si>
    <t>ICICIAUTO</t>
  </si>
  <si>
    <t>INF109KC1Y49</t>
  </si>
  <si>
    <t>ICICIB22</t>
  </si>
  <si>
    <t>INF109KB15Y7</t>
  </si>
  <si>
    <t>ICICIBANKN</t>
  </si>
  <si>
    <t>INF109KC1E27</t>
  </si>
  <si>
    <t>ICICIBANKP</t>
  </si>
  <si>
    <t>INF109KC1E35</t>
  </si>
  <si>
    <t>ICICICONSU</t>
  </si>
  <si>
    <t>INF109KC1V42</t>
  </si>
  <si>
    <t>ICICIFMCG</t>
  </si>
  <si>
    <t>INF109KC1R48</t>
  </si>
  <si>
    <t>ICICIGOLD</t>
  </si>
  <si>
    <t>INF109KC1NT3</t>
  </si>
  <si>
    <t>ICICILOVOL</t>
  </si>
  <si>
    <t>INF109KB10T8</t>
  </si>
  <si>
    <t>ICICIM150</t>
  </si>
  <si>
    <t>INF109KC1G82</t>
  </si>
  <si>
    <t>ICICIMCAP</t>
  </si>
  <si>
    <t>INF109KB1XT3</t>
  </si>
  <si>
    <t>ICICINF100</t>
  </si>
  <si>
    <t>INF109KA1962</t>
  </si>
  <si>
    <t>ICICINIFTY</t>
  </si>
  <si>
    <t>INF109K012R6</t>
  </si>
  <si>
    <t>ICICINV20</t>
  </si>
  <si>
    <t>INF109KB1WY5</t>
  </si>
  <si>
    <t>ICICINXT50</t>
  </si>
  <si>
    <t>INF109KC1NS5</t>
  </si>
  <si>
    <t>ICICIPHARM</t>
  </si>
  <si>
    <t>INF109KC1Q72</t>
  </si>
  <si>
    <t>ICICISENSX</t>
  </si>
  <si>
    <t>INF346A01034</t>
  </si>
  <si>
    <t>ICICISILVE</t>
  </si>
  <si>
    <t>INF109KC1Y56</t>
  </si>
  <si>
    <t>ICICITECH</t>
  </si>
  <si>
    <t>INF109KC1N67</t>
  </si>
  <si>
    <t>IDBIGOLD</t>
  </si>
  <si>
    <t>INF397L01554</t>
  </si>
  <si>
    <t>IDFNIFTYET</t>
  </si>
  <si>
    <t>INF194KA1U07</t>
  </si>
  <si>
    <t>INFRABEES</t>
  </si>
  <si>
    <t>INF732E01268</t>
  </si>
  <si>
    <t>ITBEES</t>
  </si>
  <si>
    <t>INF204KB15V2</t>
  </si>
  <si>
    <t>IVZINGOLD</t>
  </si>
  <si>
    <t>INF205K01361</t>
  </si>
  <si>
    <t>IVZINNIFTY</t>
  </si>
  <si>
    <t>INF205K01DA9</t>
  </si>
  <si>
    <t>JUNIORBEES</t>
  </si>
  <si>
    <t>INF732E01045</t>
  </si>
  <si>
    <t>KOTAKALPHA</t>
  </si>
  <si>
    <t>INF174KA1IA5</t>
  </si>
  <si>
    <t>KOTAKBKETF</t>
  </si>
  <si>
    <t>INF174K01F59</t>
  </si>
  <si>
    <t>KOTAKCONS</t>
  </si>
  <si>
    <t>INF174KA1JE5</t>
  </si>
  <si>
    <t>KOTAKGOLD</t>
  </si>
  <si>
    <t>INF174KA1HJ8</t>
  </si>
  <si>
    <t>KOTAKIT</t>
  </si>
  <si>
    <t>INF174KA1GC5</t>
  </si>
  <si>
    <t>KOTAKNIFTY</t>
  </si>
  <si>
    <t>INF174K014P6</t>
  </si>
  <si>
    <t>KOTAKNV20</t>
  </si>
  <si>
    <t>INF174K01Z71</t>
  </si>
  <si>
    <t>KOTAKPSUBK</t>
  </si>
  <si>
    <t>INF373I01023</t>
  </si>
  <si>
    <t>LICNETFN50</t>
  </si>
  <si>
    <t>INF767K01OS7</t>
  </si>
  <si>
    <t>LICNETFSEN</t>
  </si>
  <si>
    <t>INF767K01OT5</t>
  </si>
  <si>
    <t>LICNFNHGP</t>
  </si>
  <si>
    <t>INF767K01PC8</t>
  </si>
  <si>
    <t>MAESGETF</t>
  </si>
  <si>
    <t>INF769K01GS9</t>
  </si>
  <si>
    <t>MAFANG</t>
  </si>
  <si>
    <t>INF769K01HF4</t>
  </si>
  <si>
    <t>MAFSETF</t>
  </si>
  <si>
    <t>INF769K01HI8</t>
  </si>
  <si>
    <t>MAHKTECH</t>
  </si>
  <si>
    <t>INF769K01HS7</t>
  </si>
  <si>
    <t>MAM150ETF</t>
  </si>
  <si>
    <t>INF769K01IC9</t>
  </si>
  <si>
    <t>MAMFGETF</t>
  </si>
  <si>
    <t>INF769K01IB1</t>
  </si>
  <si>
    <t>MAN50ETF</t>
  </si>
  <si>
    <t>INF769K01EG9</t>
  </si>
  <si>
    <t>MANXT50</t>
  </si>
  <si>
    <t>INF769K01FN2</t>
  </si>
  <si>
    <t>MASPTOP50</t>
  </si>
  <si>
    <t>INF769K01HP3</t>
  </si>
  <si>
    <t>MID150BEES</t>
  </si>
  <si>
    <t>INF204KB1V68</t>
  </si>
  <si>
    <t>MOM100</t>
  </si>
  <si>
    <t>INF247L01023</t>
  </si>
  <si>
    <t>MOM50</t>
  </si>
  <si>
    <t>INF247L01536</t>
  </si>
  <si>
    <t>MOMOMENTUM</t>
  </si>
  <si>
    <t>INF247L01BK2</t>
  </si>
  <si>
    <t>MON100</t>
  </si>
  <si>
    <t>INF247L01AP3</t>
  </si>
  <si>
    <t>NETF</t>
  </si>
  <si>
    <t>INF277K015R5</t>
  </si>
  <si>
    <t>NIF100BEES</t>
  </si>
  <si>
    <t>INF204K014N5</t>
  </si>
  <si>
    <t>NIFTYBEES</t>
  </si>
  <si>
    <t>INF204KB14I2</t>
  </si>
  <si>
    <t>NPBET</t>
  </si>
  <si>
    <t>INF277K010X4</t>
  </si>
  <si>
    <t>NV20BEES</t>
  </si>
  <si>
    <t>INF204KB18I3</t>
  </si>
  <si>
    <t>PHARMABEES</t>
  </si>
  <si>
    <t>INF204KC1089</t>
  </si>
  <si>
    <t>PSUBNKBEES</t>
  </si>
  <si>
    <t>INF204KB16I7</t>
  </si>
  <si>
    <t>QGOLDHALF</t>
  </si>
  <si>
    <t>INF082J01408</t>
  </si>
  <si>
    <t>QNIFTY</t>
  </si>
  <si>
    <t>INF082J01028</t>
  </si>
  <si>
    <t>SBIETFCON</t>
  </si>
  <si>
    <t>INF200KA1X17</t>
  </si>
  <si>
    <t>SBIETFIT</t>
  </si>
  <si>
    <t>INF200KA1S14</t>
  </si>
  <si>
    <t>SBIETFPB</t>
  </si>
  <si>
    <t>INF200KA1S22</t>
  </si>
  <si>
    <t>SBIETFQLTY</t>
  </si>
  <si>
    <t>INF200KA1WX6</t>
  </si>
  <si>
    <t>SDL24BEES</t>
  </si>
  <si>
    <t>INF204KB18W4</t>
  </si>
  <si>
    <t>SDL26BEES</t>
  </si>
  <si>
    <t>INF204KC1022</t>
  </si>
  <si>
    <t>SETFGOLD</t>
  </si>
  <si>
    <t>INF200KA16D8</t>
  </si>
  <si>
    <t>SETFNIF50</t>
  </si>
  <si>
    <t>INF200KA1FS1</t>
  </si>
  <si>
    <t>SETFNIFBK</t>
  </si>
  <si>
    <t>INF200KA1580</t>
  </si>
  <si>
    <t>SETFNN50</t>
  </si>
  <si>
    <t>INF200KA1598</t>
  </si>
  <si>
    <t>SHARIABEES</t>
  </si>
  <si>
    <t>INF732E01128</t>
  </si>
  <si>
    <t>SILVER</t>
  </si>
  <si>
    <t>INF209KB19F6</t>
  </si>
  <si>
    <t>SILVERBEES</t>
  </si>
  <si>
    <t>INF204KC1402</t>
  </si>
  <si>
    <t>TECH</t>
  </si>
  <si>
    <t>INF209KB11D8</t>
  </si>
  <si>
    <t>TNIDETF</t>
  </si>
  <si>
    <t>INF277KA1364</t>
  </si>
  <si>
    <t>UTIBANKETF</t>
  </si>
  <si>
    <t>INF789F1AUV1</t>
  </si>
  <si>
    <t>UTINEXT50</t>
  </si>
  <si>
    <t>INF789F1AUW9</t>
  </si>
  <si>
    <t>UTINIFTETF</t>
  </si>
  <si>
    <t>INF789FB1X41</t>
  </si>
  <si>
    <t>UTISENSETF</t>
  </si>
  <si>
    <t>INF789FB1X58</t>
  </si>
  <si>
    <t>Mutual Funds (OMF) forming part of Non-cash component.</t>
  </si>
  <si>
    <t>Scheme Name</t>
  </si>
  <si>
    <t>Haircut % As on 30/08/2022</t>
  </si>
  <si>
    <t>Scheme Type</t>
  </si>
  <si>
    <t>INF903J01G00</t>
  </si>
  <si>
    <t>SUNDARAM INFRASTRUCTURE ADVANTAGE FUND DIRECT IDCW PAYOUT</t>
  </si>
  <si>
    <t>DIRECT</t>
  </si>
  <si>
    <t>INF903J01G18</t>
  </si>
  <si>
    <t>SUNDARAM INFRASTRUCTURE ADVANTAGE FUND DIRECT IDCW REINVESTMENT</t>
  </si>
  <si>
    <t>04PD</t>
  </si>
  <si>
    <t>INF903J01MJ3</t>
  </si>
  <si>
    <t>SUNDARAM MID CAP FUND DIRECT GROWTH</t>
  </si>
  <si>
    <t>05PD</t>
  </si>
  <si>
    <t>INF903J01MH7</t>
  </si>
  <si>
    <t>SUNDARAM MID CAP FUND DIRECT IDCW PAYOUT</t>
  </si>
  <si>
    <t>INF903J01MI5</t>
  </si>
  <si>
    <t>SUNDARAM MID CAP FUND DIRECT IDCW REINVESTMENT</t>
  </si>
  <si>
    <t>153DP</t>
  </si>
  <si>
    <t>INF903J01PA5</t>
  </si>
  <si>
    <t>SUNDARAM BANKING AND PSU DEBT FUND DIRECT PLAN GROWTH</t>
  </si>
  <si>
    <t>157DP</t>
  </si>
  <si>
    <t>INF903J01NR4</t>
  </si>
  <si>
    <t>SUNDARAM CORPORATE BOND FUND DIRECT GROWTH</t>
  </si>
  <si>
    <t>71PD</t>
  </si>
  <si>
    <t>INF903J01NI3</t>
  </si>
  <si>
    <t>SUNDARAM SMALL CAP FUND DIRECT IDCW PAYOUT</t>
  </si>
  <si>
    <t>INF903J01NJ1</t>
  </si>
  <si>
    <t>SUNDARAM SMALL CAP FUND DIRECT IDCW REINVESTMENT</t>
  </si>
  <si>
    <t>72PD</t>
  </si>
  <si>
    <t>INF903J01NK9</t>
  </si>
  <si>
    <t>SUNDARAM SMALL CAP FUND DIRECT GROWTH</t>
  </si>
  <si>
    <t>82PD</t>
  </si>
  <si>
    <t>INF903J01F92</t>
  </si>
  <si>
    <t>SUNDARAM INFRASTRUCTURE ADVANTAGE FUND DIRECT GROWTH</t>
  </si>
  <si>
    <t>91PD</t>
  </si>
  <si>
    <t>INF903J01NF9</t>
  </si>
  <si>
    <t>SUNDARAM RURAL AND CONSUMPTION FUND DIRECT IDCW PAYOUT</t>
  </si>
  <si>
    <t>INF903J01NG7</t>
  </si>
  <si>
    <t>SUNDARAM RURAL AND CONSUMPTION FUND DIRECT IDCW REINVESTMENT</t>
  </si>
  <si>
    <t>92PD</t>
  </si>
  <si>
    <t>INF903J01NH5</t>
  </si>
  <si>
    <t>SUNDARAM RURAL AND CONSUMPTION FUND DIRECT GROWTH</t>
  </si>
  <si>
    <t>98PD</t>
  </si>
  <si>
    <t>INF903J01NB8</t>
  </si>
  <si>
    <t>SUNDARAM FINANCIAL SERVICES OPPORTUNITIES FUND DIRECT GROWTH</t>
  </si>
  <si>
    <t>CBFDPGRO</t>
  </si>
  <si>
    <t>INF789F1A538</t>
  </si>
  <si>
    <t>UTI CORPORATE BOND FUND - DIRECT GROWTH PLAN-GROWTH</t>
  </si>
  <si>
    <t>CBFDPQDP</t>
  </si>
  <si>
    <t>INF789F1A546</t>
  </si>
  <si>
    <t>UTI CORPORATE BOND FUND - DIRECT QUARTERLY IDCW PAYOUT</t>
  </si>
  <si>
    <t>CBFDPQDR</t>
  </si>
  <si>
    <t>INF789F1A553</t>
  </si>
  <si>
    <t>UTI CORPORATE BOND FUND - DIRECT QUARTERLY IDCW REINVESTMENT</t>
  </si>
  <si>
    <t>CBFRPGRO</t>
  </si>
  <si>
    <t>INF789F1A447</t>
  </si>
  <si>
    <t>UTI CORPORATE BOND FUND - REGULAR GROWTH PLAN-GROWTH</t>
  </si>
  <si>
    <t>CBFRPQDP</t>
  </si>
  <si>
    <t>INF789F1A454</t>
  </si>
  <si>
    <t>UTI CORPORATE BOND FUND - REGULAR QUARTERLY IDCW PAYOUT</t>
  </si>
  <si>
    <t>CBFRPQDR</t>
  </si>
  <si>
    <t>INF789F1A462</t>
  </si>
  <si>
    <t>UTI CORPORATE BOND FUND - REGULAR QUARTERLY IDCW REINVESTMENT</t>
  </si>
  <si>
    <t>EMDDP</t>
  </si>
  <si>
    <t>INF903J01PP3</t>
  </si>
  <si>
    <t>SUNDARAM LARGE AND MID CAP FUND DIRECT IDCW PAYOUT</t>
  </si>
  <si>
    <t>INF903J01PQ1</t>
  </si>
  <si>
    <t>SUNDARAM LARGE AND MID CAP FUND DIRECT IDCW REINVESTMENT</t>
  </si>
  <si>
    <t>EMGPD</t>
  </si>
  <si>
    <t>INF903J01PR9</t>
  </si>
  <si>
    <t>SUNDARAM LARGE AND MID CAP FUND DIRECT GROWTH</t>
  </si>
  <si>
    <t>FRFRPADP</t>
  </si>
  <si>
    <t>INF789F1ACR7</t>
  </si>
  <si>
    <t>UTI FLOATER FUND-REGULAR ANNUAL DIVIDEND PLAN-IDCW PAYOUT</t>
  </si>
  <si>
    <t>FRFRPADR</t>
  </si>
  <si>
    <t>INF789F1ACS5</t>
  </si>
  <si>
    <t>UTI FLOATER FUND-REGULAR ANNUAL IDCW REINVESTMENT</t>
  </si>
  <si>
    <t>FRFRPGRO</t>
  </si>
  <si>
    <t>INF789F1ACO4</t>
  </si>
  <si>
    <t>UTI FLOATER FUND-REGULAR GROWTH PLAN</t>
  </si>
  <si>
    <t>FRFRPQDP</t>
  </si>
  <si>
    <t>INF789F1ACP1</t>
  </si>
  <si>
    <t>UTI FLOATER FUND-REGULAR QUARTERLY DIVIDEND PLAN-IDCW PAYOUT</t>
  </si>
  <si>
    <t>FRFRPQDR</t>
  </si>
  <si>
    <t>INF789F1ACQ9</t>
  </si>
  <si>
    <t>UTI FLOATER FUND-REGULAR QUARTERLY IDCW REINVESTMENT</t>
  </si>
  <si>
    <t>IP1587</t>
  </si>
  <si>
    <t>INF109K01RT3</t>
  </si>
  <si>
    <t>ICICI PRUDENTIAL BANKING AND PSU DEBT FUND - GROWTH</t>
  </si>
  <si>
    <t>IP1588</t>
  </si>
  <si>
    <t>INF109K01RV9</t>
  </si>
  <si>
    <t>ICICI PRUDENTIAL BANKING AND PSU DEBT FUND - DAILY IDCW REINVESTMENT</t>
  </si>
  <si>
    <t>IP1616P</t>
  </si>
  <si>
    <t>INF109K01PR1</t>
  </si>
  <si>
    <t>ICICI PRUDENTIAL NIFTY NEXT 50 INDEX FUND - IDCW PAYOUT</t>
  </si>
  <si>
    <t>IPRU8086</t>
  </si>
  <si>
    <t>INF109K01O82</t>
  </si>
  <si>
    <t>ICICI PRUDENTIAL SAVINGS FUND - DIRECT PLAN - GROWTH</t>
  </si>
  <si>
    <t>IPRU8087</t>
  </si>
  <si>
    <t>INF109K01P16</t>
  </si>
  <si>
    <t>ICICI PRUDENTIAL SAVINGS FUND - DIRECT PLAN - WEEKLY IDCW PAYOUT</t>
  </si>
  <si>
    <t>IPRU8087P</t>
  </si>
  <si>
    <t>INF109K01P08</t>
  </si>
  <si>
    <t>IPRU8089</t>
  </si>
  <si>
    <t>INF109K01P57</t>
  </si>
  <si>
    <t>ICICI PRUDENTIAL FLOATING INTEREST FUND - DIRECT PLAN - GROWTH</t>
  </si>
  <si>
    <t>IPRU8090</t>
  </si>
  <si>
    <t>INF109K01P81</t>
  </si>
  <si>
    <t>ICICI PRUDENTIAL FLOATING INTEREST FUND - DIRECT PLAN - WEEKLY IDCW PAYOUT</t>
  </si>
  <si>
    <t>IPRU8090P</t>
  </si>
  <si>
    <t>INF109K01P73</t>
  </si>
  <si>
    <t>IPRU8091</t>
  </si>
  <si>
    <t>INF109K01P40</t>
  </si>
  <si>
    <t>ICICI PRUDENTIAL FLOATING INTEREST FUND - DIRECT PLAN - FORTNIGHTLY IDCW REINVESTMENT</t>
  </si>
  <si>
    <t>IPRU8127P</t>
  </si>
  <si>
    <t>INF109K01O90</t>
  </si>
  <si>
    <t>ICICI PRUDENTIAL SAVINGS FUND - DIRECT PLAN - OTHERS IDCW PAYOUT</t>
  </si>
  <si>
    <t>IPRU8185</t>
  </si>
  <si>
    <t>INF109K01S70</t>
  </si>
  <si>
    <t>ICICI PRUDENTIAL REGULAR SAVINGS FUND - DIRECT PLAN - MONTHLY IDCW PAYOUT</t>
  </si>
  <si>
    <t>IPRU8185P</t>
  </si>
  <si>
    <t>INF109K01S62</t>
  </si>
  <si>
    <t>IPRU8186</t>
  </si>
  <si>
    <t>INF109K01S54</t>
  </si>
  <si>
    <t>ICICI PRUDENTIAL REGULAR SAVINGS FUND - DIRECT PLAN - HALF YEARLY IDCW PAYOUT</t>
  </si>
  <si>
    <t>IPRU8186P</t>
  </si>
  <si>
    <t>INF109K01S47</t>
  </si>
  <si>
    <t>IPRU8187</t>
  </si>
  <si>
    <t>INF109K01S96</t>
  </si>
  <si>
    <t>ICICI PRUDENTIAL REGULAR SAVINGS FUND - DIRECT PLAN - QUARTERLY IDCW PAYOUT</t>
  </si>
  <si>
    <t>IPRU8187P</t>
  </si>
  <si>
    <t>INF109K01S88</t>
  </si>
  <si>
    <t>IPRU8188</t>
  </si>
  <si>
    <t>INF109K01S39</t>
  </si>
  <si>
    <t>ICICI PRUDENTIAL REGULAR SAVINGS FUND - DIRECT PLAN - GROWTH</t>
  </si>
  <si>
    <t>IPRUINXNB</t>
  </si>
  <si>
    <t>INF109K01PI0</t>
  </si>
  <si>
    <t>ICICI PRUDENTIAL NIFTY 50 INDEX FUND - GROWTH</t>
  </si>
  <si>
    <t>ITIDPG1GB</t>
  </si>
  <si>
    <t>INF00XX01689</t>
  </si>
  <si>
    <t>ITI BALANCED ADVANTAGE FUND- DIRECT PLAN- GROWTH</t>
  </si>
  <si>
    <t>LFOCD</t>
  </si>
  <si>
    <t>INF917K01B22</t>
  </si>
  <si>
    <t>L&amp;T FOCUSED EQUITY FUND REGULAR PLAN - IDCW PAYOUT</t>
  </si>
  <si>
    <t>LFOCG</t>
  </si>
  <si>
    <t>INF917K01B14</t>
  </si>
  <si>
    <t>L&amp;T FOCUSED EQUITY FUND REGULAR PLAN - GROWTH</t>
  </si>
  <si>
    <t>LFOCP</t>
  </si>
  <si>
    <t>INF917K01B06</t>
  </si>
  <si>
    <t>LNT01</t>
  </si>
  <si>
    <t>INF917K01AG2</t>
  </si>
  <si>
    <t>L&amp;T TRIPLE ACE-REGULAR-QUARTERLY IDCW REINVESTENT</t>
  </si>
  <si>
    <t>LNT01P</t>
  </si>
  <si>
    <t>INF917K01AF4</t>
  </si>
  <si>
    <t>L&amp;T TRIPLE ACE-REGULAR-QUARTERLY IDCW PAYOUT</t>
  </si>
  <si>
    <t>LNT02</t>
  </si>
  <si>
    <t>INF917K01AH0</t>
  </si>
  <si>
    <t>L&amp;T TRIPLE ACE BOND FUND-REGULAR-CUMULATIVE</t>
  </si>
  <si>
    <t>LNT07</t>
  </si>
  <si>
    <t>INF917K01AK4</t>
  </si>
  <si>
    <t>L&amp;T TRIPLE ACE-REGULAR-BONUS-ORIGINAL</t>
  </si>
  <si>
    <t>LNT09</t>
  </si>
  <si>
    <t>INF917K01AJ6</t>
  </si>
  <si>
    <t>L&amp;T TRIPLE ACE BOND FUND - SEMI ANNUAL IDCW PAYOUT</t>
  </si>
  <si>
    <t>LNT09P</t>
  </si>
  <si>
    <t>INF917K01AI8</t>
  </si>
  <si>
    <t>LNT122</t>
  </si>
  <si>
    <t>INF917K01AS7</t>
  </si>
  <si>
    <t>L&amp;T ULTRA SHORT TERM FUND - GROWTH</t>
  </si>
  <si>
    <t>LNT16</t>
  </si>
  <si>
    <t>INF917K01247</t>
  </si>
  <si>
    <t>L&amp;T MIDCAP FUND IDCW PAYOUT</t>
  </si>
  <si>
    <t>LNT16P</t>
  </si>
  <si>
    <t>INF917K01239</t>
  </si>
  <si>
    <t>LNT17</t>
  </si>
  <si>
    <t>INF917K01254</t>
  </si>
  <si>
    <t>L&amp;T MIDCAP FUND GROWTH</t>
  </si>
  <si>
    <t>LNT221</t>
  </si>
  <si>
    <t>INF917K01AW9</t>
  </si>
  <si>
    <t>L&amp;T ULTRA SHORT TERM FUND - WEEKLY IDCW PAYOUT</t>
  </si>
  <si>
    <t>LNT221P</t>
  </si>
  <si>
    <t>INF917K01AV1</t>
  </si>
  <si>
    <t>LNT222</t>
  </si>
  <si>
    <t>INF917K01AX7</t>
  </si>
  <si>
    <t>L&amp;T ULTRA STF INST - DAILY IDCW REINVESTENT PLAN</t>
  </si>
  <si>
    <t>LNT415</t>
  </si>
  <si>
    <t>INF917K01551</t>
  </si>
  <si>
    <t>L&amp;T INFRASTRUCTURE FUND - IDCW PAYOUT</t>
  </si>
  <si>
    <t>LNT415P</t>
  </si>
  <si>
    <t>INF917K01544</t>
  </si>
  <si>
    <t>LNT416</t>
  </si>
  <si>
    <t>INF917K01536</t>
  </si>
  <si>
    <t>L&amp;T INFRASTRUCTURE FUND - GROWTH</t>
  </si>
  <si>
    <t>NMGPG</t>
  </si>
  <si>
    <t>INF789F1AUS7</t>
  </si>
  <si>
    <t>UTI NIFTY200 MOMENTUM 30 INDEX FUND - REGULAR PLAN GROWTH</t>
  </si>
  <si>
    <t>QUANTEFDPD</t>
  </si>
  <si>
    <t>INF082J01044</t>
  </si>
  <si>
    <t>QUANTUM LONG TERM EQUITY VALUE FUND - DIRECT PLAN IDCW PAYOUT OPTION</t>
  </si>
  <si>
    <t>QUANTEFDPR</t>
  </si>
  <si>
    <t>INF082J01051</t>
  </si>
  <si>
    <t>QUANTUM LONG TERM EQUITY VALUE FUND - DIRECT PLAN IDCW REINVESTMENT OPTION</t>
  </si>
  <si>
    <t>QUANTEFGPG</t>
  </si>
  <si>
    <t>INF082J01036</t>
  </si>
  <si>
    <t>QUANTUM LONG TERM EQUITY VALUE FUND - DIRECT PLAN GROWTH OPTION</t>
  </si>
  <si>
    <t>SBNPPEQU13</t>
  </si>
  <si>
    <t>INF903J01454</t>
  </si>
  <si>
    <t>SUNDARAM SMALL CAP FUND REGULAR IDCW PAYOUT</t>
  </si>
  <si>
    <t>SBNPPEQU14</t>
  </si>
  <si>
    <t>INF903J01462</t>
  </si>
  <si>
    <t>SUNDARAM SMALL CAP FUND REGULAR IDCW REINVESTMENT</t>
  </si>
  <si>
    <t>SBNPPEQU15</t>
  </si>
  <si>
    <t>INF903J01470</t>
  </si>
  <si>
    <t>SUNDARAM SMALL CAP FUND REGULAR GROWTH</t>
  </si>
  <si>
    <t>SBNPPEQU28</t>
  </si>
  <si>
    <t>INF903J01603</t>
  </si>
  <si>
    <t>SUNDARAM FINANCIAL SERVICES OPPORTUNITIES FUND - REGULAR PLAN - IDCW PAYOUT</t>
  </si>
  <si>
    <t>SBNPPEQU29</t>
  </si>
  <si>
    <t>INF903J01611</t>
  </si>
  <si>
    <t>SUNDARAM FINANCIAL SERVICES OPPORTUNITIES FUND - REGULAR PLAN- IDCW REINVESTMENT</t>
  </si>
  <si>
    <t>SBNPPEQU30</t>
  </si>
  <si>
    <t>INF903J01629</t>
  </si>
  <si>
    <t>SUNDARAM FINANCIAL SERVICES OPPORTUNITIES FUND - REGULAR PLAN - GROWTH</t>
  </si>
  <si>
    <t>SBNPPEQU53</t>
  </si>
  <si>
    <t>INF903J01181</t>
  </si>
  <si>
    <t>SUNDARAM MID CAP FUND REGULAR IDCW PAYOUT</t>
  </si>
  <si>
    <t>INF903J01199</t>
  </si>
  <si>
    <t>SUNDARAM MID CAP FUND REGULAR IDCW REINVESTMENT</t>
  </si>
  <si>
    <t>SFIPRG</t>
  </si>
  <si>
    <t>INF903J01HW6</t>
  </si>
  <si>
    <t>SUNDARAM CORPORATE BOND FUND REGULAR GROWTH</t>
  </si>
  <si>
    <t>SFIPRMDP</t>
  </si>
  <si>
    <t>INF903J01HX4</t>
  </si>
  <si>
    <t>SUNDARAM CORPORATE BOND FUND REGULAR MONTHLY IDCW PAYOUT</t>
  </si>
  <si>
    <t>SFIPRMDR</t>
  </si>
  <si>
    <t>INF903J01IB8</t>
  </si>
  <si>
    <t>SUNDARAM CORPORATE BOND FUND REGULAR MONTHLY IDCW REINVESTMENT</t>
  </si>
  <si>
    <t>SFSTPRB</t>
  </si>
  <si>
    <t>INF903J01LY4</t>
  </si>
  <si>
    <t>SUNDARAM BANKING AND PSU DEBT FUND- REGULAR - BONUS</t>
  </si>
  <si>
    <t>SFSTPRG</t>
  </si>
  <si>
    <t>INF903J01IN3</t>
  </si>
  <si>
    <t>SUNDARAM BANKING AND PSU DEBT FUND REGULAR PLAN GROWTH</t>
  </si>
  <si>
    <t>SFSTPRMDP</t>
  </si>
  <si>
    <t>INF903J01IO1</t>
  </si>
  <si>
    <t>SUNDARAM BANKING AND PSU DEBT FUND REGULAR MONTHLY IDCW PAYOUT</t>
  </si>
  <si>
    <t>SFSTPRMDR</t>
  </si>
  <si>
    <t>INF903J01IR4</t>
  </si>
  <si>
    <t>SUNDARAM BANKING AND PSU DEBT FUND REGULAR MONTHLY IDCW REINVESTMENT</t>
  </si>
  <si>
    <t>SIARDP</t>
  </si>
  <si>
    <t>INF903J01F76</t>
  </si>
  <si>
    <t>SUNDARAM INFRASTRUCTURE ADVANTAGE FUND-REGULAR PLAN-IDCW PAYOUT</t>
  </si>
  <si>
    <t>SIARDR</t>
  </si>
  <si>
    <t>INF903J01F84</t>
  </si>
  <si>
    <t>SUNDARAM INFRASTRUCTURE ADVANTAGE FUND-REGULAR PLAN-IDCW REINVESTMENT</t>
  </si>
  <si>
    <t>SIARG</t>
  </si>
  <si>
    <t>INF903J01F68</t>
  </si>
  <si>
    <t>SUNDARAM INFRASTRUCTURE ADVANTAGE FUND-REGULAR PLAN-GROWTH</t>
  </si>
  <si>
    <t>SMFBCDG</t>
  </si>
  <si>
    <t>INF903JA1JC0</t>
  </si>
  <si>
    <t>SUNDARAM LARGE CAP FUND - DIRECT PLAN GROWTH</t>
  </si>
  <si>
    <t>SMFBCDR</t>
  </si>
  <si>
    <t>INF903JA1JB2</t>
  </si>
  <si>
    <t>SUNDARAM LARGE CAP FUND - REGULAR PLAN IDCW REINVESTMENT</t>
  </si>
  <si>
    <t>SMFBCDR1</t>
  </si>
  <si>
    <t>INF903JA1JE6</t>
  </si>
  <si>
    <t>SUNDARAM LARGE CAP FUND - DIRECT PLAN IDCW REINVESTMENT</t>
  </si>
  <si>
    <t>SMFBCGP</t>
  </si>
  <si>
    <t>INF903JA1IZ3</t>
  </si>
  <si>
    <t>SUNDARAM LARGE CAP FUND - REGULAR PLAN GROWTH</t>
  </si>
  <si>
    <t>SMFEMDP</t>
  </si>
  <si>
    <t>INF903J01DU9</t>
  </si>
  <si>
    <t>SUNDARAM LARGE AND MID CAP FUND REGULAR IDCW PAYOUT</t>
  </si>
  <si>
    <t>SMFEMDR</t>
  </si>
  <si>
    <t>INF903J01DV7</t>
  </si>
  <si>
    <t>SUNDARAM LARGE AND MID CAP FUND REGULAR IDCW REINVESTMENT</t>
  </si>
  <si>
    <t>SMFEMG</t>
  </si>
  <si>
    <t>INF903J01DT1</t>
  </si>
  <si>
    <t>SUNDARAM LARGE AND MID CAP FUND REGULAR GROWTH</t>
  </si>
  <si>
    <t>SPD1D1</t>
  </si>
  <si>
    <t>INF789F1AUR9</t>
  </si>
  <si>
    <t>UTI SMALL CAP FUND - DIRECT IDCW PAYOUT</t>
  </si>
  <si>
    <t>SPDPD</t>
  </si>
  <si>
    <t>INF789F1AUP3</t>
  </si>
  <si>
    <t>UTI SMALL CAP FUND - REGULAR IDCW PAYOUT</t>
  </si>
  <si>
    <t>SPEQU22</t>
  </si>
  <si>
    <t>INF903J01546</t>
  </si>
  <si>
    <t>SUNDARAM RURAL AND CONSUMPTION FUND REGULAR IDCW PAYOUT</t>
  </si>
  <si>
    <t>SPEQU23</t>
  </si>
  <si>
    <t>INF903J01553</t>
  </si>
  <si>
    <t>SUNDARAM RURAL AND CONSUMPTION FUND REGULAR IDCW REINVESTMENT</t>
  </si>
  <si>
    <t>SPEQU24</t>
  </si>
  <si>
    <t>INF903J01561</t>
  </si>
  <si>
    <t>SUNDARAM RURAL AND CONSUMPTION FUND REGULAR GROWTH</t>
  </si>
  <si>
    <t>SPG1G</t>
  </si>
  <si>
    <t>INF789F1AUQ1</t>
  </si>
  <si>
    <t>UTI SMALL CAP FUND - DIRECT GROWTH PLAN</t>
  </si>
  <si>
    <t>SPGPG1</t>
  </si>
  <si>
    <t>INF789F1AUO6</t>
  </si>
  <si>
    <t>UTI SMALL CAP FUND - REGULAR GROWTH PLAN</t>
  </si>
  <si>
    <t>SSFDD</t>
  </si>
  <si>
    <t>INF903JA1FC8</t>
  </si>
  <si>
    <t>SUNDARAM SERVICES FUND DIRECT IDCW REINVESTMENT</t>
  </si>
  <si>
    <t>SSFDG</t>
  </si>
  <si>
    <t>INF903JA1FA2</t>
  </si>
  <si>
    <t>SUNDARAM SERVICES FUND DIRECT GROWTH</t>
  </si>
  <si>
    <t>SSFRD</t>
  </si>
  <si>
    <t>INF903JA1EZ2</t>
  </si>
  <si>
    <t>SUNDARAM SERVICES FUND-REGULAR PLAN-IDCW REINVESTMENT</t>
  </si>
  <si>
    <t>SSFRG</t>
  </si>
  <si>
    <t>INF903JA1EX7</t>
  </si>
  <si>
    <t>SUNDARAM SERVICES FUND-REGULAR PLAN-GROWTH</t>
  </si>
  <si>
    <t>01AD</t>
  </si>
  <si>
    <t>INF917K01WA9</t>
  </si>
  <si>
    <t>L&amp;T TRIPLE ACE BOND FUND - ANNUAL IDCW PAYOUT</t>
  </si>
  <si>
    <t>NORMAL</t>
  </si>
  <si>
    <t>01AP</t>
  </si>
  <si>
    <t>INF917K01WB7</t>
  </si>
  <si>
    <t>122D</t>
  </si>
  <si>
    <t>INF917K01HS2</t>
  </si>
  <si>
    <t>L&amp;T ULTRA SHORT TERM FUND DIRECT PLAN - GROWTH</t>
  </si>
  <si>
    <t>131AD</t>
  </si>
  <si>
    <t>INF917K01VS3</t>
  </si>
  <si>
    <t>L&amp;T SHORT TERM BOND FUND - ANNUAL IDCW PAYOUT</t>
  </si>
  <si>
    <t>131AP</t>
  </si>
  <si>
    <t>INF917K01VT1</t>
  </si>
  <si>
    <t>185BFDGGR</t>
  </si>
  <si>
    <t>INF0GCD01107</t>
  </si>
  <si>
    <t>TRUSTMF BANKING AND PSU DEBT FUND - DIRECT PLAN - GROWTH</t>
  </si>
  <si>
    <t>185BFRGGR</t>
  </si>
  <si>
    <t>INF0GCD01016</t>
  </si>
  <si>
    <t>TRUSTMF BANKING AND PSU DEBT FUND - REGULAR PLAN - GROWTH</t>
  </si>
  <si>
    <t>41B</t>
  </si>
  <si>
    <t>INF209KB1E76</t>
  </si>
  <si>
    <t>ADITYA BIRLA SUN LIFE BAL BHAVISHYA YOJNA WEALTH PLAN REGULAR GROWTH</t>
  </si>
  <si>
    <t>41Y</t>
  </si>
  <si>
    <t>INF209KB1E84</t>
  </si>
  <si>
    <t>ADITYA BIRLA SUN LIFE BAL BHAVISHYA YOJNA WEALTH PLAN DIRECT GROWTH</t>
  </si>
  <si>
    <t>628DG</t>
  </si>
  <si>
    <t>INF251K01OT0</t>
  </si>
  <si>
    <t>BARODA BNP PARIBAS ARBITRAGE FUND DIRECT GROWTH</t>
  </si>
  <si>
    <t>628DM</t>
  </si>
  <si>
    <t>INF251K01PF6</t>
  </si>
  <si>
    <t>BARODA BNP PARIBAS ARBITRAGE FUND DIRECT MONTHLY IDCW PAYOUT</t>
  </si>
  <si>
    <t>INF251K01PE9</t>
  </si>
  <si>
    <t>BARODA BNP PARIBAS ARBITRAGE FUND DIRECT MONTHLY IDCW REINVESTMENT</t>
  </si>
  <si>
    <t>628RD</t>
  </si>
  <si>
    <t>INF251K01OP8</t>
  </si>
  <si>
    <t>BARODA BNP PARIBAS ARBITRAGE FUND REGULAR ADHOC IDCW PAYOUT</t>
  </si>
  <si>
    <t>INF251K01OO1</t>
  </si>
  <si>
    <t>BARODA BNP PARIBAS ARBITRAGE FUND REGULAR ADHOC IDCW REINVESTMENT</t>
  </si>
  <si>
    <t>628RG</t>
  </si>
  <si>
    <t>INF251K01ON3</t>
  </si>
  <si>
    <t>BARODA BNP PARIBAS ARBITRAGE FUND REGULAR GROWTH</t>
  </si>
  <si>
    <t>628RM</t>
  </si>
  <si>
    <t>INF251K01PD1</t>
  </si>
  <si>
    <t>BARODA BNP PARIBAS ARBITRAGE FUND REGULAR MONTHLY IDCW PAYOUT</t>
  </si>
  <si>
    <t>INF251K01PC3</t>
  </si>
  <si>
    <t>BARODA BNP PARIBAS ARBITRAGE FUND REGULAR MONTHLY IDCW REINVESTMENT</t>
  </si>
  <si>
    <t>629DG</t>
  </si>
  <si>
    <t>INF251K01OZ7</t>
  </si>
  <si>
    <t>BARODA BNP PARIBAS AGGRESSIVE HYBRID FUND DIRECT GROWTH</t>
  </si>
  <si>
    <t>629RD</t>
  </si>
  <si>
    <t>INF251K01OY0</t>
  </si>
  <si>
    <t>BARODA BNP PARIBAS AGGRESSIVE HYBRID FUND REGULAR IDCW PAYOUT</t>
  </si>
  <si>
    <t>INF251K01OX2</t>
  </si>
  <si>
    <t>BARODA BNP PARIBAS AGGRESSIVE HYBRID FUND REGULAR IDCW REINVESTMENT</t>
  </si>
  <si>
    <t>629RG</t>
  </si>
  <si>
    <t>INF251K01OW4</t>
  </si>
  <si>
    <t>BARODA BNP PARIBAS AGGRESSIVE HYBRID FUND REGULAR GROWTH</t>
  </si>
  <si>
    <t>631DG</t>
  </si>
  <si>
    <t>INF251K01PT7</t>
  </si>
  <si>
    <t>BARODA BNP PARIBAS INDIA CONSUMPTION FUND DIRECT GROWTH</t>
  </si>
  <si>
    <t>631RD</t>
  </si>
  <si>
    <t>INF251K01PS9</t>
  </si>
  <si>
    <t>BARODA BNP PARIBAS INDIA CONSUMPTION FUND REGULAR IDCW PAYOUT</t>
  </si>
  <si>
    <t>INF251K01PR1</t>
  </si>
  <si>
    <t>BARODA BNP PARIBAS INDIA CONSUMPTION FUND REGULAR IDCW REINVESTMENT</t>
  </si>
  <si>
    <t>631RG</t>
  </si>
  <si>
    <t>INF251K01PQ3</t>
  </si>
  <si>
    <t>BARODA BNP PARIBAS INDIA CONSUMPTION FUND REGULAR GROWTH</t>
  </si>
  <si>
    <t>70D</t>
  </si>
  <si>
    <t>INF251K01HL1</t>
  </si>
  <si>
    <t>BARODA BNP PARIBAS LARGE CAP FUND DIRECT IDCW PAYOUT</t>
  </si>
  <si>
    <t>INF251K01HM9</t>
  </si>
  <si>
    <t>BARODA BNP PARIBAS LARGE CAP FUND DIRECT IDCW REINVESTMENT</t>
  </si>
  <si>
    <t>70G</t>
  </si>
  <si>
    <t>INF251K01HN7</t>
  </si>
  <si>
    <t>BARODA BNP PARIBAS LARGE CAP FUND DIRECT GROWTH</t>
  </si>
  <si>
    <t>71D</t>
  </si>
  <si>
    <t>INF251K01HO5</t>
  </si>
  <si>
    <t>BARODA BNP PARIBAS MID CAP FUND - DIRECT PLAN - IDCW PAYOUT OPTION</t>
  </si>
  <si>
    <t>INF251K01HP2</t>
  </si>
  <si>
    <t>BARODA BNP PARIBAS MID CAP FUND - DIRECT PLAN - IDCW REINVESTMENT OPTION</t>
  </si>
  <si>
    <t>71G</t>
  </si>
  <si>
    <t>INF251K01HQ0</t>
  </si>
  <si>
    <t>BARODA BNP PARIBAS MID CAP FUND - DIRECT PLAN - GROWTH OPTION</t>
  </si>
  <si>
    <t>AEFDP</t>
  </si>
  <si>
    <t>INF846K01172</t>
  </si>
  <si>
    <t>AXIS BLUECHIP FUND - REGULAR IDCW PAYOUT</t>
  </si>
  <si>
    <t>AEFDR</t>
  </si>
  <si>
    <t>INF846K01180</t>
  </si>
  <si>
    <t>AXIS BLUECHIP FUND - REGULAR IDCW REINVESTMENT</t>
  </si>
  <si>
    <t>AEFGR</t>
  </si>
  <si>
    <t>INF846K01164</t>
  </si>
  <si>
    <t>AXIS BLUECHIP FUND - REGULAR GROWTH</t>
  </si>
  <si>
    <t>ARDD</t>
  </si>
  <si>
    <t>INF754K01BP8</t>
  </si>
  <si>
    <t>EDELWEISS BALANCED ADVANTAGE FUND - DIRECT PLAN QUARTERLY IDCW PAYOUT</t>
  </si>
  <si>
    <t>INF754K01BQ6</t>
  </si>
  <si>
    <t>EDELWEISS BALANCED ADVANTAGE FUND - DIRECT PLAN QUARTERLY IDCW REINVESTMENT</t>
  </si>
  <si>
    <t>ARDG</t>
  </si>
  <si>
    <t>INF754K01BS2</t>
  </si>
  <si>
    <t>EDELWEISS BALANCED ADVANTAGE FUND - DIRECT PLAN GROWTH OPTION</t>
  </si>
  <si>
    <t>ASTFIGR</t>
  </si>
  <si>
    <t>INF846K01644</t>
  </si>
  <si>
    <t>AXIS SHORT TERM FUND - REGULAR GROWTH</t>
  </si>
  <si>
    <t>ASTFIMDP</t>
  </si>
  <si>
    <t>INF846K01651</t>
  </si>
  <si>
    <t>AXIS SHORT TERM FUND - REGULAR MONTHLY IDCW PAYOUT</t>
  </si>
  <si>
    <t>ASTFIMDR</t>
  </si>
  <si>
    <t>INF846K01669</t>
  </si>
  <si>
    <t>AXIS SHORT TERM FUND - REGULAR MONTHLY IDCW REINVESTMENT</t>
  </si>
  <si>
    <t>ASTFIRDP</t>
  </si>
  <si>
    <t>INF846K01677</t>
  </si>
  <si>
    <t>AXIS SHORT TERM FUND - REGULAR WEEKLY IDCW PAYOUT</t>
  </si>
  <si>
    <t>ASTFIRDR</t>
  </si>
  <si>
    <t>INF846K01685</t>
  </si>
  <si>
    <t>AXIS SHORT TERM FUND - REGULAR WEEKLY IDCW REINVESTMENT</t>
  </si>
  <si>
    <t>ASTFRGR</t>
  </si>
  <si>
    <t>INF846K01594</t>
  </si>
  <si>
    <t>AXIS SHORT TERM FUND - RETAIL GROWTH</t>
  </si>
  <si>
    <t>ATAFIDDR</t>
  </si>
  <si>
    <t>INF846K01545</t>
  </si>
  <si>
    <t>AXIS TREASURY ADVANTAGE FUND - REGULAR DAILY IDCW REINVESTMENT</t>
  </si>
  <si>
    <t>ATAFIGR</t>
  </si>
  <si>
    <t>INF846K01537</t>
  </si>
  <si>
    <t>AXIS TREASURY ADVANTAGE FUND - REGULAR GROWTH</t>
  </si>
  <si>
    <t>ATAFIMDP</t>
  </si>
  <si>
    <t>INF846K01578</t>
  </si>
  <si>
    <t>AXIS TREASURY ADVANTAGE FUND - RETAIL MONTHLY IDCW PAYOUT</t>
  </si>
  <si>
    <t>ATAFIMDR</t>
  </si>
  <si>
    <t>INF846K01586</t>
  </si>
  <si>
    <t>AXIS TREASURY ADVANTAGE FUND - RETAIL MONTHLY IDCW REINVESTMENT</t>
  </si>
  <si>
    <t>ATAFIWDP</t>
  </si>
  <si>
    <t>INF846K01552</t>
  </si>
  <si>
    <t>AXIS TREASURY ADVANTAGE FUND - REGULAR WEEKLY IDCW PAYOUT</t>
  </si>
  <si>
    <t>ATAFIWDR</t>
  </si>
  <si>
    <t>INF846K01560</t>
  </si>
  <si>
    <t>AXIS TREASURY ADVANTAGE FUND - REGULAR WEEKLY IDCW REINVESTMENT</t>
  </si>
  <si>
    <t>ATAFRDDR</t>
  </si>
  <si>
    <t>INF846K01487</t>
  </si>
  <si>
    <t>AXIS TREASURY ADVANTAGE FUND - RETAIL DAILY IDCW REINVESTMENT</t>
  </si>
  <si>
    <t>ATAFRGR</t>
  </si>
  <si>
    <t>INF846K01479</t>
  </si>
  <si>
    <t>AXIS TREASURY ADVANTAGE FUND - RETAIL GROWTH</t>
  </si>
  <si>
    <t>ATDD</t>
  </si>
  <si>
    <t>INF754K01EB2</t>
  </si>
  <si>
    <t>EDELWEISS ARBITRAGE FUND DIRECT PLAN IDCW PAYOUT</t>
  </si>
  <si>
    <t>INF754K01EC0</t>
  </si>
  <si>
    <t>EDELWEISS ARBITRAGE FUND DIRECT PLAN IDCW REINVESTMENT</t>
  </si>
  <si>
    <t>ATDG</t>
  </si>
  <si>
    <t>INF754K01EA4</t>
  </si>
  <si>
    <t>EDELWEISS ARBITRAGE FUND - DIRECT PLAN GROWTH OPTION</t>
  </si>
  <si>
    <t>ATDPD</t>
  </si>
  <si>
    <t>INF754K01EG1</t>
  </si>
  <si>
    <t>EDELWEISS ARBITRAGE FUND IDCW PAYOUT</t>
  </si>
  <si>
    <t>ATDPR</t>
  </si>
  <si>
    <t>INF754K01EH9</t>
  </si>
  <si>
    <t>EDELWEISS ARBITRAGE FUND IDCW REINVESTMENT</t>
  </si>
  <si>
    <t>ATGPG</t>
  </si>
  <si>
    <t>INF754K01EF3</t>
  </si>
  <si>
    <t>EDELWEISS ARBITRAGE FUND GROWTH OPTION</t>
  </si>
  <si>
    <t>ATRIPDP</t>
  </si>
  <si>
    <t>INF846K01776</t>
  </si>
  <si>
    <t>AXIS TRIPLE ADVANTAGE FUND - REGULAR IDCW PAYOUT</t>
  </si>
  <si>
    <t>ATRIPDR</t>
  </si>
  <si>
    <t>INF846K01784</t>
  </si>
  <si>
    <t>AXIS TRIPLE ADVANTAGE FUND - REGULAR IDCW REINVESTMENT</t>
  </si>
  <si>
    <t>ATRIPGR</t>
  </si>
  <si>
    <t>INF846K01768</t>
  </si>
  <si>
    <t>AXIS TRIPLE ADVANTAGE FUND - REGULAR GROWTH - GROWTH</t>
  </si>
  <si>
    <t>AXISAFD1</t>
  </si>
  <si>
    <t>INF846K01CO3</t>
  </si>
  <si>
    <t>AXIS FOCUSED 25 FUND - DIRECT IDCW PAYOUT</t>
  </si>
  <si>
    <t>INF846K01CP0</t>
  </si>
  <si>
    <t>AXIS FOCUSED 25 FUND - DIRECT IDCW REINVESTMENT</t>
  </si>
  <si>
    <t>AXISAFDG</t>
  </si>
  <si>
    <t>INF846K01CQ8</t>
  </si>
  <si>
    <t>AXIS FOCUSED 25 FUND - DIRECT PLAN - GROWTH</t>
  </si>
  <si>
    <t>AXISAFDP</t>
  </si>
  <si>
    <t>INF846K01CI5</t>
  </si>
  <si>
    <t>AXIS FOCUSED 25 FUND REGULAR IDCW PAYOUT</t>
  </si>
  <si>
    <t>INF846K01CJ3</t>
  </si>
  <si>
    <t>AXIS FOCUSED 25 FUND REGULAR IDCW REINVESTMENT</t>
  </si>
  <si>
    <t>AXISAFGP</t>
  </si>
  <si>
    <t>INF846K01CH7</t>
  </si>
  <si>
    <t>AXIS FOCUSED 25 FUND REGULAR GROWTH</t>
  </si>
  <si>
    <t>AXISBDDDR</t>
  </si>
  <si>
    <t>INF846K01CC8</t>
  </si>
  <si>
    <t>AXIS BANKING AND PSU DEBT FUND - REGULAR DAILY IDCW REINVESTMENT</t>
  </si>
  <si>
    <t>AXISBDDG</t>
  </si>
  <si>
    <t>INF846K01CR6</t>
  </si>
  <si>
    <t>AXIS BANKING AND PSU DEBT FUND - DIRECT PLAN - GROWTH</t>
  </si>
  <si>
    <t>AXISBDDM</t>
  </si>
  <si>
    <t>INF846K01CT2</t>
  </si>
  <si>
    <t>AXIS BANKING AND PSU DEBT FUND - DIRECT MONTHLY IDCW PAYOUT</t>
  </si>
  <si>
    <t>INF846K01CS4</t>
  </si>
  <si>
    <t>AXIS BANKING AND PSU DEBT FUND - DIRECT MONTHLY IDCW REINVESTMENT</t>
  </si>
  <si>
    <t>AXISBDDPD</t>
  </si>
  <si>
    <t>INF846K01CF1</t>
  </si>
  <si>
    <t>AXIS BANKING AND PSU DEBT FUND - REGULAR MONTHLY IDCW PAYOUT</t>
  </si>
  <si>
    <t>AXISBDDPR</t>
  </si>
  <si>
    <t>INF846K01CG9</t>
  </si>
  <si>
    <t>AXIS BANKING AND PSU DEBT FUND - REGULAR MONTHLY IDCW REINVESTMENT</t>
  </si>
  <si>
    <t>AXISBDGP</t>
  </si>
  <si>
    <t>INF846K01CB0</t>
  </si>
  <si>
    <t>AXIS BANKING AND PSU DEBT FUND - REGULAR GROWTH</t>
  </si>
  <si>
    <t>AXISBDWDD</t>
  </si>
  <si>
    <t>INF846K01CD6</t>
  </si>
  <si>
    <t>AXIS BANKING AND PSU DEBT FUND - REGULAR WEEKLY IDCW PAYOUT</t>
  </si>
  <si>
    <t>AXISBDWDR</t>
  </si>
  <si>
    <t>INF846K01CE4</t>
  </si>
  <si>
    <t>AXIS BANKING AND PSU DEBT FUND - REGULAR WEEKLY IDCW REINVESTMENT</t>
  </si>
  <si>
    <t>AXISCDPD</t>
  </si>
  <si>
    <t>INF846K01K19</t>
  </si>
  <si>
    <t>AXIS SMALL CAP FUND - REGULAR PLAN IDCW PAYOUT</t>
  </si>
  <si>
    <t>AXISCODGG</t>
  </si>
  <si>
    <t>INF846K01ZM8</t>
  </si>
  <si>
    <t>AXIS CORPORATE DEBT FUND - DIRECT PLAN GROWTH</t>
  </si>
  <si>
    <t>AXISCODMD</t>
  </si>
  <si>
    <t>INF846K01ZQ9</t>
  </si>
  <si>
    <t>AXIS CORPORATE DEBT FUND - DIRECT PLAN MONTHLY IDCW PAYOUT</t>
  </si>
  <si>
    <t>AXISCODMR</t>
  </si>
  <si>
    <t>INF846K01ZR7</t>
  </si>
  <si>
    <t>AXIS CORPORATE DEBT FUND - DIRECT PLAN MONTHLY IDCW REINVESTMENT</t>
  </si>
  <si>
    <t>AXISCODPD</t>
  </si>
  <si>
    <t>INF846K01ZY3</t>
  </si>
  <si>
    <t>AXIS CORPORATE DEBT FUND - REGULAR PLAN MONTHLY IDCW PAYOUT</t>
  </si>
  <si>
    <t>AXISCODPR</t>
  </si>
  <si>
    <t>INF846K01ZZ0</t>
  </si>
  <si>
    <t>AXIS CORPORATE DEBT FUND - REGULAR PLAN MONTHLY IDCW REINVESTMENT</t>
  </si>
  <si>
    <t>AXISCOGPG</t>
  </si>
  <si>
    <t>INF846K01ZU1</t>
  </si>
  <si>
    <t>AXIS CORPORATE DEBT FUND - REGULAR PLAN GROWTH</t>
  </si>
  <si>
    <t>AXISDBDG</t>
  </si>
  <si>
    <t>INF846K01DI3</t>
  </si>
  <si>
    <t>AXIS DYNAMIC BOND FUND - DIRECT PLAN - GROWTH PLAN</t>
  </si>
  <si>
    <t>AXISDBDQ</t>
  </si>
  <si>
    <t>INF846K01DL7</t>
  </si>
  <si>
    <t>AXIS DYNAMIC BOND FUND - DIRECT PLAN - QUARTERLY IDCW PAYOUT</t>
  </si>
  <si>
    <t>INF846K01DM5</t>
  </si>
  <si>
    <t>AXIS DYNAMIC BOND FUND - DIRECT PLAN - QUARTERLY IDCW REINVESTMENT</t>
  </si>
  <si>
    <t>AXISDBGP</t>
  </si>
  <si>
    <t>INF846K01917</t>
  </si>
  <si>
    <t>AXIS DYNAMIC BOND FUND - REGULAR GROWTH - GROWTH</t>
  </si>
  <si>
    <t>AXISDBQD</t>
  </si>
  <si>
    <t>INF846K01925</t>
  </si>
  <si>
    <t>AXIS DYNAMIC BOND FUND - REGULAR QUARTERLY IDCW PAYOUT</t>
  </si>
  <si>
    <t>AXISDBQDR</t>
  </si>
  <si>
    <t>INF846K01933</t>
  </si>
  <si>
    <t>AXIS DYNAMIC BOND FUND - REGULAR QUARTERLY IDCW REINVESTMENT</t>
  </si>
  <si>
    <t>AXISDED1D</t>
  </si>
  <si>
    <t>INF846K01A37</t>
  </si>
  <si>
    <t>AXIS BALANCED ADVANTAGE FUND DIRECT PLAN IDCW PAYOUT</t>
  </si>
  <si>
    <t>AXISDED1R</t>
  </si>
  <si>
    <t>INF846K01A45</t>
  </si>
  <si>
    <t>AXIS BALANCED ADVANTAGE FUND DIRECT PLAN IDCW REINVESTMENT</t>
  </si>
  <si>
    <t>AXISDEDGG</t>
  </si>
  <si>
    <t>INF846K01A29</t>
  </si>
  <si>
    <t>AXIS BALANCED ADVANTAGE FUND DIRECT PLAN GROWTH</t>
  </si>
  <si>
    <t>AXISDEDPD</t>
  </si>
  <si>
    <t>INF846K01A60</t>
  </si>
  <si>
    <t>AXIS BALANCED ADVANTAGE FUND REGULAR PLAN IDCW PAYOUT</t>
  </si>
  <si>
    <t>AXISDEDPR</t>
  </si>
  <si>
    <t>INF846K01A78</t>
  </si>
  <si>
    <t>AXIS BALANCED ADVANTAGE FUND REGULAR PLAN IDCW REINVESTMENT</t>
  </si>
  <si>
    <t>AXISDEGPG</t>
  </si>
  <si>
    <t>INF846K01A52</t>
  </si>
  <si>
    <t>AXIS BALANCED ADVANTAGE FUND REGULAR PLAN GROWTH</t>
  </si>
  <si>
    <t>AXISEAD1D</t>
  </si>
  <si>
    <t>INF846K01QA2</t>
  </si>
  <si>
    <t>AXIS ARBITRAGE FUND - DIRECT PLAN - IDCW PAYOUT</t>
  </si>
  <si>
    <t>AXISEAD1R</t>
  </si>
  <si>
    <t>INF846K01QB0</t>
  </si>
  <si>
    <t>AXIS ARBITRAGE FUND - DIRECT PLAN - IDCW REINVESTMENT</t>
  </si>
  <si>
    <t>AXISEADG</t>
  </si>
  <si>
    <t>INF846K01PZ1</t>
  </si>
  <si>
    <t>AXIS ARBITRAGE FUND - DIRECT PLAN - GROWTH</t>
  </si>
  <si>
    <t>AXISEADPD</t>
  </si>
  <si>
    <t>INF846K01QD6</t>
  </si>
  <si>
    <t>AXIS ARBITRAGE FUND - REGULAR PLAN - IDCW PAYOUT</t>
  </si>
  <si>
    <t>AXISEADPR</t>
  </si>
  <si>
    <t>INF846K01QE4</t>
  </si>
  <si>
    <t>AXIS ARBITRAGE FUND - REGULAR PLAN - IDCW REINVESTMENT</t>
  </si>
  <si>
    <t>AXISEAGPG</t>
  </si>
  <si>
    <t>INF846K01QC8</t>
  </si>
  <si>
    <t>AXIS ARBITRAGE FUND - REGULAR PLAN - GROWTH</t>
  </si>
  <si>
    <t>AXISEEDGG</t>
  </si>
  <si>
    <t>INF846K01W23</t>
  </si>
  <si>
    <t>AXIS ESG EQUITY FUND DIRECT GROWTH</t>
  </si>
  <si>
    <t>AXISEEDPD</t>
  </si>
  <si>
    <t>INF846K01W64</t>
  </si>
  <si>
    <t>AXIS ESG EQUITY FUND REGULAR IDCW PAYOUT</t>
  </si>
  <si>
    <t>AXISEEDPR</t>
  </si>
  <si>
    <t>INF846K01W72</t>
  </si>
  <si>
    <t>AXIS ESG EQUITY FUND REGULAR IDCW REINVESTMENT</t>
  </si>
  <si>
    <t>AXISEEGPG</t>
  </si>
  <si>
    <t>INF846K01W56</t>
  </si>
  <si>
    <t>AXIS ESG EQUITY FUND REGULAR GROWTH</t>
  </si>
  <si>
    <t>AXISEFD1</t>
  </si>
  <si>
    <t>INF846K01DN3</t>
  </si>
  <si>
    <t>AXIS BLUECHIP FUND - DIRECT PLAN -IDCW PAYOUT</t>
  </si>
  <si>
    <t>INF846K01DO1</t>
  </si>
  <si>
    <t>AXIS BLUECHIP FUND - DIRECT PLAN -IDCW REINVESTMENT</t>
  </si>
  <si>
    <t>AXISEFDG</t>
  </si>
  <si>
    <t>INF846K01DP8</t>
  </si>
  <si>
    <t>AXIS BLUECHIP FUND - DIRECT PLAN - GROWTH</t>
  </si>
  <si>
    <t>AXISEHDGG</t>
  </si>
  <si>
    <t>INF846K01E25</t>
  </si>
  <si>
    <t>AXIS EQUITY HYBRID FUND - DIRECT PLAN GROWTH</t>
  </si>
  <si>
    <t>AXISEHDMD</t>
  </si>
  <si>
    <t>INF846K01E33</t>
  </si>
  <si>
    <t>AXIS EQUITY HYBRID FUND - DIRECT PLAN MONTHLY IDCW PAYOUT</t>
  </si>
  <si>
    <t>AXISEHDMR</t>
  </si>
  <si>
    <t>INF846K01E41</t>
  </si>
  <si>
    <t>AXIS EQUITY HYBRID FUND - DIRECT PLAN MONTHLY IDCW REINVESTMENT</t>
  </si>
  <si>
    <t>AXISEHDPD</t>
  </si>
  <si>
    <t>INF846K01F08</t>
  </si>
  <si>
    <t>AXIS EQUITY HYBRID FUND - REGULAR PLAN MONTHLY IDCW PAYOUT</t>
  </si>
  <si>
    <t>AXISEHDPR</t>
  </si>
  <si>
    <t>INF846K01F16</t>
  </si>
  <si>
    <t>AXIS EQUITY HYBRID FUND - REGULAR PLAN MONTHLY IDCW REINVESTMENT</t>
  </si>
  <si>
    <t>AXISEHGPG</t>
  </si>
  <si>
    <t>INF846K01E90</t>
  </si>
  <si>
    <t>AXIS EQUITY HYBRID FUND - REGULAR PLAN GROWTH</t>
  </si>
  <si>
    <t>AXISEHQDD</t>
  </si>
  <si>
    <t>INF846K01F24</t>
  </si>
  <si>
    <t>AXIS EQUITY HYBRID FUND - REGULAR PLAN QUARTERLY IDCW PAYOUT</t>
  </si>
  <si>
    <t>AXISEHQDR</t>
  </si>
  <si>
    <t>INF846K01F32</t>
  </si>
  <si>
    <t>AXIS EQUITY HYBRID FUND - REGULAR PLAN QUARTERLY IDCW REINVESTMENT</t>
  </si>
  <si>
    <t>AXISEHRDD</t>
  </si>
  <si>
    <t>INF846K01E74</t>
  </si>
  <si>
    <t>AXIS EQUITY HYBRID FUND - REGULAR PLAN REGULAR IDCW PAYOUT</t>
  </si>
  <si>
    <t>AXISEHRDR</t>
  </si>
  <si>
    <t>INF846K01E82</t>
  </si>
  <si>
    <t>AXIS EQUITY HYBRID FUND - REGULAR PLAN REGULAR IDCW REINVESTMENT</t>
  </si>
  <si>
    <t>AXISESDGG</t>
  </si>
  <si>
    <t>INF846K01VJ3</t>
  </si>
  <si>
    <t>AXIS EQUITY SAVER FUND DIRECT GROWTH</t>
  </si>
  <si>
    <t>AXISESDMD</t>
  </si>
  <si>
    <t>INF846K01VK1</t>
  </si>
  <si>
    <t>AXIS EQUITY SAVER FUND DIRECT MONTHLY IDCW PAYOUT</t>
  </si>
  <si>
    <t>AXISESDMR</t>
  </si>
  <si>
    <t>INF846K01VL9</t>
  </si>
  <si>
    <t>AXIS EQUITY SAVER FUND DIRECT MONTHLY IDCW REINVESTMENT</t>
  </si>
  <si>
    <t>AXISESDPD</t>
  </si>
  <si>
    <t>INF846K01VP0</t>
  </si>
  <si>
    <t>AXIS EQUITY SAVER FUND REGULAR PLAN MONTHLY IDCW PAYOUT</t>
  </si>
  <si>
    <t>AXISESDPR</t>
  </si>
  <si>
    <t>INF846K01VQ8</t>
  </si>
  <si>
    <t>AXIS EQUITY SAVER FUND REGULAR PLAN MONTHLY IDCW REINVESTMENT</t>
  </si>
  <si>
    <t>AXISESGPG</t>
  </si>
  <si>
    <t>INF846K01VO3</t>
  </si>
  <si>
    <t>AXIS EQUITY SAVER FUND REGULAR PLAN GROWTH</t>
  </si>
  <si>
    <t>AXISESQDD</t>
  </si>
  <si>
    <t>INF846K01VR6</t>
  </si>
  <si>
    <t>AXIS EQUITY SAVER FUND REGULAR PLAN QUARTERLY IDCW PAYOUT</t>
  </si>
  <si>
    <t>AXISESQDR</t>
  </si>
  <si>
    <t>INF846K01VS4</t>
  </si>
  <si>
    <t>AXIS EQUITY SAVER FUND REGULAR PLAN QUARTERLY IDCW REINVESTMENT</t>
  </si>
  <si>
    <t>AXISIFDG</t>
  </si>
  <si>
    <t>INF846K01DT0</t>
  </si>
  <si>
    <t>AXIS STRATEGIC BOND FUND - DIRECT PLAN - GROWTH</t>
  </si>
  <si>
    <t>AXISIFDQ</t>
  </si>
  <si>
    <t>INF846K01DW4</t>
  </si>
  <si>
    <t>AXIS STRATEGIC BOND FUND - DIRECT PLAN - QUARTERLY IDCW PAYOUT</t>
  </si>
  <si>
    <t>INF846K01DX2</t>
  </si>
  <si>
    <t>AXIS STRATEGIC BOND FUND - DIRECT PLAN - QUARTERLY IDCW REINVESTMENT</t>
  </si>
  <si>
    <t>AXISIFGPGP</t>
  </si>
  <si>
    <t>INF846K01BP2</t>
  </si>
  <si>
    <t>AXIS STRATEGIC BOND FUND - REGULAR GROWTH</t>
  </si>
  <si>
    <t>AXISIODG</t>
  </si>
  <si>
    <t>INF846K01PJ5</t>
  </si>
  <si>
    <t>AXIS CREDIT RISK FUND - DIRECT PLAN GROWTH</t>
  </si>
  <si>
    <t>AXISIOGP</t>
  </si>
  <si>
    <t>INF846K01PO5</t>
  </si>
  <si>
    <t>AXIS CREDIT RISK FUND - REGULAR PLAN GROWTH</t>
  </si>
  <si>
    <t>AXISMCD1</t>
  </si>
  <si>
    <t>INF846K01EF7</t>
  </si>
  <si>
    <t>AXIS MID CAP FUND - DIRECT PLAN - IDCW PAYOUT</t>
  </si>
  <si>
    <t>INF846K01EG5</t>
  </si>
  <si>
    <t>AXIS MID CAP FUND - DIRECT PLAN - IDCW REINVESTMENT</t>
  </si>
  <si>
    <t>AXISMCDG</t>
  </si>
  <si>
    <t>INF846K01EH3</t>
  </si>
  <si>
    <t>AXIS MID CAP FUND - DIRECT GROWTH</t>
  </si>
  <si>
    <t>AXISMCDP</t>
  </si>
  <si>
    <t>INF846K01867</t>
  </si>
  <si>
    <t>AXIS MID CAP FUND - REGULAR IDCW PAYOUT</t>
  </si>
  <si>
    <t>AXISMCDPR</t>
  </si>
  <si>
    <t>INF846K01875</t>
  </si>
  <si>
    <t>AXIS MID CAP FUND - REGULAR IDCW REINVESTMENT</t>
  </si>
  <si>
    <t>AXISMCGP</t>
  </si>
  <si>
    <t>INF846K01859</t>
  </si>
  <si>
    <t>AXIS MID CAP FUND - REGULAR GROWTH PLAN - GROWTH</t>
  </si>
  <si>
    <t>AXISMLD1D</t>
  </si>
  <si>
    <t>INF846K01B02</t>
  </si>
  <si>
    <t>AXIS FLEXI CAP FUND DIRECT PLAN IDCW PAYOUT</t>
  </si>
  <si>
    <t>AXISMLD1R</t>
  </si>
  <si>
    <t>INF846K01B10</t>
  </si>
  <si>
    <t>AXIS FLEXI CAP FUND DIRECT PLAN IDCW REINVESTMENT</t>
  </si>
  <si>
    <t>AXISMLDGG</t>
  </si>
  <si>
    <t>INF846K01B28</t>
  </si>
  <si>
    <t>AXIS FLEXI CAP FUND DIRECT PLAN GROWTH</t>
  </si>
  <si>
    <t>AXISMLDPD</t>
  </si>
  <si>
    <t>INF846K01B36</t>
  </si>
  <si>
    <t>AXIS FLEXI CAP FUND REGULAR PLAN IDCW PAYOUT</t>
  </si>
  <si>
    <t>AXISMLDPR</t>
  </si>
  <si>
    <t>INF846K01B44</t>
  </si>
  <si>
    <t>AXIS FLEXI CAP FUND REGULAR PLAN IDCW REINVESTMENT</t>
  </si>
  <si>
    <t>AXISMLGPG</t>
  </si>
  <si>
    <t>INF846K01B51</t>
  </si>
  <si>
    <t>AXIS FLEXI CAP FUND REGULAR PLAN GROWTH</t>
  </si>
  <si>
    <t>AXISNID1D</t>
  </si>
  <si>
    <t>INF846K01S37</t>
  </si>
  <si>
    <t>AXIS NIFTY 100 INDEX FUND DIRECT IDCW PAYOUT</t>
  </si>
  <si>
    <t>AXISNID1R</t>
  </si>
  <si>
    <t>INF846K01S45</t>
  </si>
  <si>
    <t>AXIS NIFTY 100 INDEX FUND DIRECT IDCW REINVESTMENT</t>
  </si>
  <si>
    <t>AXISNIDGG</t>
  </si>
  <si>
    <t>INF846K01S29</t>
  </si>
  <si>
    <t>AXIS NIFTY 100 INDEX FUND DIRECT GROWTH</t>
  </si>
  <si>
    <t>AXISNIDPD</t>
  </si>
  <si>
    <t>INF846K01S60</t>
  </si>
  <si>
    <t>AXIS NIFTY 100 INDEX FUND REGULAR IDCW PAYOUT</t>
  </si>
  <si>
    <t>AXISNIDPR</t>
  </si>
  <si>
    <t>INF846K01S78</t>
  </si>
  <si>
    <t>AXIS NIFTY 100 INDEX FUND REGULAR IDCW REINVESTMENT</t>
  </si>
  <si>
    <t>AXISNIGPG</t>
  </si>
  <si>
    <t>INF846K01S52</t>
  </si>
  <si>
    <t>AXIS NIFTY 100 INDEX FUND REGULAR GROWTH</t>
  </si>
  <si>
    <t>AXISOGDG</t>
  </si>
  <si>
    <t>INF846K01J46</t>
  </si>
  <si>
    <t>AXIS GROWTH OPPORTUNITIES FUND - DIRECT PLAN GROWTH</t>
  </si>
  <si>
    <t>AXISOGDPD</t>
  </si>
  <si>
    <t>INF846K01J87</t>
  </si>
  <si>
    <t>AXIS GROWTH OPPORTUNITIES FUND - REGULAR PLAN IDCW PAYOUT</t>
  </si>
  <si>
    <t>AXISOGDPR</t>
  </si>
  <si>
    <t>INF846K01J95</t>
  </si>
  <si>
    <t>AXIS GROWTH OPPORTUNITIES FUND - REGULAR PLAN IDCW REINVESTMENT</t>
  </si>
  <si>
    <t>AXISOGGPG</t>
  </si>
  <si>
    <t>INF846K01J79</t>
  </si>
  <si>
    <t>AXIS GROWTH OPPORTUNITIES FUND - REGULAR PLAN GROWTH</t>
  </si>
  <si>
    <t>AXISRADGG</t>
  </si>
  <si>
    <t>INF846K01S86</t>
  </si>
  <si>
    <t>AXIS RETIREMENT SAVINGS FUND - AGGRESSIVE PLAN DIRECT GROWTH</t>
  </si>
  <si>
    <t>AXISRADPD</t>
  </si>
  <si>
    <t>INF846K01T10</t>
  </si>
  <si>
    <t>AXIS RETIREMENT SAVINGS FUND - AGGRESSIVE PLAN REGULAR IDCW PAYOUT</t>
  </si>
  <si>
    <t>AXISRAGPG</t>
  </si>
  <si>
    <t>INF846K01T02</t>
  </si>
  <si>
    <t>AXIS RETIREMENT SAVINGS FUND - AGGRESSIVE PLAN REGULAR GROWTH</t>
  </si>
  <si>
    <t>AXISRFDGG</t>
  </si>
  <si>
    <t>INF846K014A6</t>
  </si>
  <si>
    <t>AXIS FLOATER FUND DIRECT GROWTH</t>
  </si>
  <si>
    <t>AXISRFGPG</t>
  </si>
  <si>
    <t>INF846K012B8</t>
  </si>
  <si>
    <t>AXIS FLOATER FUND REGULAR GROWTH</t>
  </si>
  <si>
    <t>AXISSCD1D</t>
  </si>
  <si>
    <t>INF846K01K43</t>
  </si>
  <si>
    <t>AXIS SMALL CAP FUND - DIRECT PLAN IDCW PAYOUT</t>
  </si>
  <si>
    <t>AXISSCD1R</t>
  </si>
  <si>
    <t>INF846K01K50</t>
  </si>
  <si>
    <t>AXIS SMALL CAP FUND - DIRECT PLAN IDCW REINVESTMENT</t>
  </si>
  <si>
    <t>AXISSCDGG</t>
  </si>
  <si>
    <t>INF846K01K35</t>
  </si>
  <si>
    <t>AXIS SMALL CAP FUND - DIRECT PLAN GROWTH</t>
  </si>
  <si>
    <t>AXISSCDPR</t>
  </si>
  <si>
    <t>INF846K01K27</t>
  </si>
  <si>
    <t>AXIS SMALL CAP FUND - REGULAR PLAN IDCW REINVESTMENT</t>
  </si>
  <si>
    <t>AXISSCGPG</t>
  </si>
  <si>
    <t>INF846K01K01</t>
  </si>
  <si>
    <t>AXIS SMALL CAP FUND - REGULAR PLAN GROWTH</t>
  </si>
  <si>
    <t>AXISSESRDD</t>
  </si>
  <si>
    <t>INF846K01XR2</t>
  </si>
  <si>
    <t>AXIS EQUITY SAVER FUND - REGULAR PLAN - REGULAR IDCW PAYOUT</t>
  </si>
  <si>
    <t>AXISSESRDR</t>
  </si>
  <si>
    <t>INF846K01XS0</t>
  </si>
  <si>
    <t>AXIS EQUITY SAVER FUND - REGULAR PLAN - REGULAR IDCW REINVESTMENT</t>
  </si>
  <si>
    <t>AXISSSD1D</t>
  </si>
  <si>
    <t>INF846K01X89</t>
  </si>
  <si>
    <t>AXIS SPECIAL SITUATIONS FUND DIRECT IDCW PAYOUT</t>
  </si>
  <si>
    <t>AXISSSD1R</t>
  </si>
  <si>
    <t>INF846K01X97</t>
  </si>
  <si>
    <t>AXIS SPECIAL SITUATIONS FUND DIRECT IDCW REINVESTMENT</t>
  </si>
  <si>
    <t>AXISSSDGG</t>
  </si>
  <si>
    <t>INF846K01X71</t>
  </si>
  <si>
    <t>AXIS SPECIAL SITUATIONS FUND DIRECT GROWTH</t>
  </si>
  <si>
    <t>AXISSSDPD</t>
  </si>
  <si>
    <t>INF846K01Y13</t>
  </si>
  <si>
    <t>AXIS SPECIAL SITUATIONS FUND REGULAR IDCW PAYOUT</t>
  </si>
  <si>
    <t>AXISSSDPR</t>
  </si>
  <si>
    <t>INF846K01Y21</t>
  </si>
  <si>
    <t>AXIS SPECIAL SITUATIONS FUND REGULAR IDCW REINVESTMENT</t>
  </si>
  <si>
    <t>AXISSSGPG</t>
  </si>
  <si>
    <t>INF846K01Y05</t>
  </si>
  <si>
    <t>AXIS SPECIAL SITUATIONS FUND REGULAR GROWTH</t>
  </si>
  <si>
    <t>AXISSTD1D</t>
  </si>
  <si>
    <t>INF846K01RH5</t>
  </si>
  <si>
    <t>AXIS SHORT TERM FUND DIRECT REGULAR IDCW PAYOUT</t>
  </si>
  <si>
    <t>AXISSTD1R</t>
  </si>
  <si>
    <t>INF846K01RI3</t>
  </si>
  <si>
    <t>AXIS SHORT TERM FUND DIRECT REGULAR IDCW REINVESTMENT</t>
  </si>
  <si>
    <t>AXISSTDG</t>
  </si>
  <si>
    <t>INF846K01EI1</t>
  </si>
  <si>
    <t>AXIS SHORT TERM FUND - DIRECT PLAN - GROWTH</t>
  </si>
  <si>
    <t>AXISSTRDD</t>
  </si>
  <si>
    <t>INF846K01RJ1</t>
  </si>
  <si>
    <t>AXIS SHORT TERM FUND REGULAR IDCW PAYOUT</t>
  </si>
  <si>
    <t>AXISSTRDR</t>
  </si>
  <si>
    <t>INF846K01RK9</t>
  </si>
  <si>
    <t>AXIS SHORT TERM FUND REGULAR IDCW REINVESTMENT</t>
  </si>
  <si>
    <t>AXISTADG</t>
  </si>
  <si>
    <t>INF846K01EN1</t>
  </si>
  <si>
    <t>AXIS TREASURY ADVANTAGE FUND - DIRECT GROWTH</t>
  </si>
  <si>
    <t>AXISTADR</t>
  </si>
  <si>
    <t>INF846K01EQ4</t>
  </si>
  <si>
    <t>AXIS TREASURY ADVANTAGE FUND - DIRECT PLAN - DAILY IDCW REINVESTMENT</t>
  </si>
  <si>
    <t>AXISTPD1</t>
  </si>
  <si>
    <t>INF846K01ET8</t>
  </si>
  <si>
    <t>AXIS TRIPLE ADVANTAGE FUND - DIRECT IDCW PAYOUT</t>
  </si>
  <si>
    <t>INF846K01EU6</t>
  </si>
  <si>
    <t>AXIS TRIPLE ADVANTAGE FUND - DIRECT IDCW REINVESTMENT</t>
  </si>
  <si>
    <t>AXISTPDG</t>
  </si>
  <si>
    <t>INF846K01EV4</t>
  </si>
  <si>
    <t>AXIS TRIPLE ADVANTAGE FUND - DIRECT GROWTH</t>
  </si>
  <si>
    <t>AXISUSDDR</t>
  </si>
  <si>
    <t>INF846K01G31</t>
  </si>
  <si>
    <t>AXIS ULTRA SHORT TERM FUND - REGULAR PLAN DAILY IDCW REINVESTMENT</t>
  </si>
  <si>
    <t>AXISUSDGG</t>
  </si>
  <si>
    <t>INF846K01F40</t>
  </si>
  <si>
    <t>AXIS ULTRA SHORT TERM FUND - DIRECT PLAN GROWTH</t>
  </si>
  <si>
    <t>AXISUSDPD</t>
  </si>
  <si>
    <t>INF846K01G72</t>
  </si>
  <si>
    <t>AXIS ULTRA SHORT TERM FUND - REGULAR PLAN MONTHLY IDCW PAYOUT</t>
  </si>
  <si>
    <t>AXISUSDPR</t>
  </si>
  <si>
    <t>INF846K01G64</t>
  </si>
  <si>
    <t>AXIS ULTRA SHORT TERM FUND - REGULAR PLAN MONTHLY IDCW REINVESTMENT</t>
  </si>
  <si>
    <t>AXISUSGPG</t>
  </si>
  <si>
    <t>INF846K01G23</t>
  </si>
  <si>
    <t>AXIS ULTRA SHORT TERM FUND - REGULAR PLAN GROWTH</t>
  </si>
  <si>
    <t>AXISUSRDD</t>
  </si>
  <si>
    <t>INF846K01G98</t>
  </si>
  <si>
    <t>AXIS ULTRA SHORT TERM FUND - REGULAR PLAN REGULAR IDCW PAYOUT</t>
  </si>
  <si>
    <t>AXISUSRDR</t>
  </si>
  <si>
    <t>INF846K01G80</t>
  </si>
  <si>
    <t>AXIS ULTRA SHORT TERM FUND - REGULAR PLAN REGULAR IDCW REINVESTMENT</t>
  </si>
  <si>
    <t>AXISUSWDD</t>
  </si>
  <si>
    <t>INF846K01G56</t>
  </si>
  <si>
    <t>AXIS ULTRA SHORT TERM FUND - REGULAR PLAN WEEKLY IDCW PAYOUT</t>
  </si>
  <si>
    <t>AXISUSWDR</t>
  </si>
  <si>
    <t>INF846K01G49</t>
  </si>
  <si>
    <t>AXIS ULTRA SHORT TERM FUND - REGULAR PLAN WEEKLY IDCW REINVESTMENT</t>
  </si>
  <si>
    <t>B105G</t>
  </si>
  <si>
    <t>INF084M01AB8</t>
  </si>
  <si>
    <t>ADITYA BIRLA SUN LIFE BALANCED ADVANTAGE FUND - GROWTH OPTION</t>
  </si>
  <si>
    <t>B106D</t>
  </si>
  <si>
    <t>INF084M01AD4</t>
  </si>
  <si>
    <t>ADITYA BIRLA SUN LIFE BALANCED ADVANTAGE FUND - IDCW PAYOUT</t>
  </si>
  <si>
    <t>B106DP</t>
  </si>
  <si>
    <t>INF084M01AC6</t>
  </si>
  <si>
    <t>B1180A</t>
  </si>
  <si>
    <t>INF209K010W9</t>
  </si>
  <si>
    <t>ADITYA BIRLA SUN LIFE BANKING AND FINANCIAL SERVICES FUND - REGULAR PLAN - IDCW PAYOUT</t>
  </si>
  <si>
    <t>B1180B</t>
  </si>
  <si>
    <t>INF209K011W7</t>
  </si>
  <si>
    <t>ADITYA BIRLA SUN LIFE BANKING AND FINANCIAL SERVICES FUND - REGULAR PLAN - GROWTH</t>
  </si>
  <si>
    <t>B1180C</t>
  </si>
  <si>
    <t>INF209K012W5</t>
  </si>
  <si>
    <t>ADITYA BIRLA SUN LIFE BANKING AND FINANCIAL SERVICES FUND - REGULAR PLAN - IDCW REINVESTMENT</t>
  </si>
  <si>
    <t>B1180X</t>
  </si>
  <si>
    <t>INF209K013W3</t>
  </si>
  <si>
    <t>ADITYA BIRLA SUN LIFE BANKING AND FINANCIAL SERVICES FUND - DIRECT-IDCW PAYOUT</t>
  </si>
  <si>
    <t>B1180Y</t>
  </si>
  <si>
    <t>INF209K014W1</t>
  </si>
  <si>
    <t>ADITYA BIRLA SUN LIFE BANKING AND FINANCIAL SERVICES FUND - GROWTH DIRECT</t>
  </si>
  <si>
    <t>B1180Z</t>
  </si>
  <si>
    <t>INF209K015W8</t>
  </si>
  <si>
    <t>ADITYA BIRLA SUN LIFE BANKING AND FINANCIAL SERVICES FUND - IDCW REINVESTMENT DIRECT</t>
  </si>
  <si>
    <t>B132G</t>
  </si>
  <si>
    <t>INF209K01LZ1</t>
  </si>
  <si>
    <t>ADITYA BIRLA SUN LIFE SAVINGS FUND - GROWTH</t>
  </si>
  <si>
    <t>B132GZ</t>
  </si>
  <si>
    <t>INF209K01UR9</t>
  </si>
  <si>
    <t>ADITYA BIRLA SUN LIFE SAVINGS FUND - GROWTH-DIRECT PLAN</t>
  </si>
  <si>
    <t>B132WD</t>
  </si>
  <si>
    <t>INF209K01MA2</t>
  </si>
  <si>
    <t>ADITYA BIRLA SUN LIFE SAVINGS FUND - WEEKLY IDCW - REGULAR - PAYOUT</t>
  </si>
  <si>
    <t>B132WZ</t>
  </si>
  <si>
    <t>INF209K01US7</t>
  </si>
  <si>
    <t>ADITYA BIRLA SUN LIFE SAVINGS FUND - WEEKLY IDCW REINVESTMENT-DIRECT PLAN</t>
  </si>
  <si>
    <t>B152GZ</t>
  </si>
  <si>
    <t>INF209K01UX7</t>
  </si>
  <si>
    <t>ADITYA BIRLA SUN LIFE FLOATING RATE FUND - DIRECT PLAN - GROWTH</t>
  </si>
  <si>
    <t>B152IG</t>
  </si>
  <si>
    <t>INF209K01MG9</t>
  </si>
  <si>
    <t>ADITYA BIRLA SUN LIFE FLOATING RATE FUND - REGULAR PLAN - GROWTH</t>
  </si>
  <si>
    <t>B152IZ</t>
  </si>
  <si>
    <t>INF209K01UY5</t>
  </si>
  <si>
    <t>ADITYA BIRLA SUN LIFE FLOATING RATE FUND - DIRECT PLAN - WEEKLY IDCW REINVESTMENT</t>
  </si>
  <si>
    <t>B15Z</t>
  </si>
  <si>
    <t>INF209K01P49</t>
  </si>
  <si>
    <t>ADITYA BIRLA SUN LIFE DIGITAL INDIA FUND - DIRECT PLAN-IDCW PAYOUT</t>
  </si>
  <si>
    <t>B16Z</t>
  </si>
  <si>
    <t>INF209K01VF2</t>
  </si>
  <si>
    <t>ADITYA BIRLA SUN LIFE DIGITAL INDIA FUND - GROWTH-DIRECT PLAN</t>
  </si>
  <si>
    <t>B201DZ</t>
  </si>
  <si>
    <t>INF209K01VG0</t>
  </si>
  <si>
    <t>ADITYA BIRLA SUN LIFE EQUITY ADVANTAGE FUND - IDCW PAYOUT-DIRECT PLAN</t>
  </si>
  <si>
    <t>B201GZ</t>
  </si>
  <si>
    <t>INF209K01VH8</t>
  </si>
  <si>
    <t>ADITYA BIRLA SUN LIFE EQUITY ADVANTAGE FUND - GROWTH-DIRECT PLAN</t>
  </si>
  <si>
    <t>B201RZ</t>
  </si>
  <si>
    <t>INF209K01VI6</t>
  </si>
  <si>
    <t>ADITYA BIRLA SUN LIFE EQUITY ADVANTAGE FUND - IDCW REINVESTMENT-DIRECT PLAN</t>
  </si>
  <si>
    <t>B205DZ</t>
  </si>
  <si>
    <t>INF209K01P80</t>
  </si>
  <si>
    <t>ADITYA BIRLA SUN LIFE ARBITRAGE FUND - DIRECT PLAN-IDCW PAYOUT</t>
  </si>
  <si>
    <t>B205GZ</t>
  </si>
  <si>
    <t>INF209K01VP1</t>
  </si>
  <si>
    <t>ADITYA BIRLA SUN LIFE ARBITRAGE FUND - GROWTH-DIRECT PLAN</t>
  </si>
  <si>
    <t>B205RZ</t>
  </si>
  <si>
    <t>INF209K01VQ9</t>
  </si>
  <si>
    <t>ADITYA BIRLA SUN LIFE ARBITRAGE FUND -IDCW REINVESTMENT-DIRECT PLAN</t>
  </si>
  <si>
    <t>B221DZ</t>
  </si>
  <si>
    <t>INF209K01Q06</t>
  </si>
  <si>
    <t>ADITYA BIRLA SUN LIFE MNC FUND - DIRECT PLAN-IDCW PAYOUT</t>
  </si>
  <si>
    <t>B221GZ</t>
  </si>
  <si>
    <t>INF209K01VT3</t>
  </si>
  <si>
    <t>ADITYA BIRLA SUN LIFE MNC FUND - GROWTH-DIRECT PLAN</t>
  </si>
  <si>
    <t>B221RZ</t>
  </si>
  <si>
    <t>INF209K01VU1</t>
  </si>
  <si>
    <t>ADITYA BIRLA SUN LIFE MNC FUND - IDCW REINVESTMENT-DIRECT PLAN</t>
  </si>
  <si>
    <t>B249A</t>
  </si>
  <si>
    <t>INF209KA1TT1</t>
  </si>
  <si>
    <t>ADITYA BIRLA SUN LIFE EQUITY SAVINGS FUND REGULAR PLAN IDCW REINVESTMENT</t>
  </si>
  <si>
    <t>B249B</t>
  </si>
  <si>
    <t>INF209KA1TS3</t>
  </si>
  <si>
    <t>ADITYA BIRLA SUN LIFE EQUITY SAVINGS FUND REGULAR PLAN GROWTH</t>
  </si>
  <si>
    <t>B249C</t>
  </si>
  <si>
    <t>INF209KA1TU9</t>
  </si>
  <si>
    <t>B249X</t>
  </si>
  <si>
    <t>INF209KA1TQ7</t>
  </si>
  <si>
    <t>ADITYA BIRLA SUN LIFE EQUITY SAVINGS FUND - DIRECT-IDCW PAYOUT</t>
  </si>
  <si>
    <t>B249Y</t>
  </si>
  <si>
    <t>INF209KA1TP9</t>
  </si>
  <si>
    <t>ADITYA BIRLA SUN LIFE EQUITY SAVINGS FUND - GROWTH DIRECT</t>
  </si>
  <si>
    <t>B249Z</t>
  </si>
  <si>
    <t>INF209KA1TR5</t>
  </si>
  <si>
    <t>ADITYA BIRLA SUN LIFE EQUITY SAVINGS FUND - IDCW REINVESTMENT DIRECT</t>
  </si>
  <si>
    <t>B250A</t>
  </si>
  <si>
    <t>INF209KA1YI4</t>
  </si>
  <si>
    <t>ADITYA BIRLA SUN LIFE MANUFACTURING EQUITY FUND-REGULAR PLAN-IDCW PAYOUT</t>
  </si>
  <si>
    <t>B250B</t>
  </si>
  <si>
    <t>INF209KA1YH6</t>
  </si>
  <si>
    <t>ADITYA BIRLA SUN LIFE MANUFACTURING EQUITY FUND-REGULAR PLAN-GROWTH</t>
  </si>
  <si>
    <t>B250C</t>
  </si>
  <si>
    <t>INF209KA1YJ2</t>
  </si>
  <si>
    <t>ADITYA BIRLA SUN LIFE MANUFACTURING EQUITY FUND-REGULAR PLAN-IDCW REINVESTMENT</t>
  </si>
  <si>
    <t>B250X</t>
  </si>
  <si>
    <t>INF209KA1YL8</t>
  </si>
  <si>
    <t>ADITYA BIRLA SUN LIFE MANUFACTURING EQUITY FUND-DIRECT IDCW PAYOUT</t>
  </si>
  <si>
    <t>B250Y</t>
  </si>
  <si>
    <t>INF209KA1YK0</t>
  </si>
  <si>
    <t>ADITYA BIRLA SUN LIFE MANUFACTURING EQUITY FUND-DIRECT GROWTH</t>
  </si>
  <si>
    <t>B250Z</t>
  </si>
  <si>
    <t>INF209KA1YM6</t>
  </si>
  <si>
    <t>ADITYA BIRLA SUN LIFE MANUFACTURING EQUITY FUND-DIRECT IDCW REINVESTMENT</t>
  </si>
  <si>
    <t>B251DZ</t>
  </si>
  <si>
    <t>INF209K01Q22</t>
  </si>
  <si>
    <t>ADITYA BIRLA SUN LIFE MIDCAP FUND -PLAN - DIRECT PLAN-IDCW PAYOUT</t>
  </si>
  <si>
    <t>B251GZ</t>
  </si>
  <si>
    <t>INF209K01Q30</t>
  </si>
  <si>
    <t>ADITYA BIRLA SUN LIFE MIDCAP FUND -PLAN - GROWTH-DIRECT PLAN</t>
  </si>
  <si>
    <t>B261DZ</t>
  </si>
  <si>
    <t>INF209K01Q55</t>
  </si>
  <si>
    <t>ADITYA BIRLA SUN LIFE DIVIDEND YIELD FUND - DIRECT PLAN-IDCW PAYOUT</t>
  </si>
  <si>
    <t>B261GZ</t>
  </si>
  <si>
    <t>INF209K01WA1</t>
  </si>
  <si>
    <t>ADITYA BIRLA SUN LIFE DIVIDEND YIELD FUND - GROWTH-DIRECT PLAN</t>
  </si>
  <si>
    <t>B261RZ</t>
  </si>
  <si>
    <t>INF209K01WB9</t>
  </si>
  <si>
    <t>ADITYA BIRLA SUN LIFE DIVIDEND YIELD FUND - IDCW REINVESTMENT-DIRECT PLAN</t>
  </si>
  <si>
    <t>B291DZ</t>
  </si>
  <si>
    <t>INF209K01Q63</t>
  </si>
  <si>
    <t>ADITYA BIRLA SUN LIFE INDIA GENNEXT FUND - DIRECT PLAN-IDCW PAYOUT</t>
  </si>
  <si>
    <t>B291GZ</t>
  </si>
  <si>
    <t>INF209K01WC7</t>
  </si>
  <si>
    <t>ADITYA BIRLA SUN LIFE INDIA GENNEXT FUND - GROWTH-DIRECT PLAN</t>
  </si>
  <si>
    <t>B292DZ</t>
  </si>
  <si>
    <t>INF209K01Q71</t>
  </si>
  <si>
    <t>ADITYA BIRLA SUN LIFE FOCUSED EQUITY FUND - DIRECT PLAN-IDCW PAYOUT</t>
  </si>
  <si>
    <t>B292GZ</t>
  </si>
  <si>
    <t>INF209K01WE3</t>
  </si>
  <si>
    <t>ADITYA BIRLA SUN LIFE FOCUSED EQUITY FUND - GROWTH-DIRECT PLAN</t>
  </si>
  <si>
    <t>B292RZ</t>
  </si>
  <si>
    <t>INF209K01WF0</t>
  </si>
  <si>
    <t>ADITYA BIRLA SUN LIFE FOCUSED EQUITY FUND - IDCW REINVESTMENT-DIRECT PLAN</t>
  </si>
  <si>
    <t>B293DZ</t>
  </si>
  <si>
    <t>INF209K01WG8</t>
  </si>
  <si>
    <t>ADITYA BIRLA SUN LIFE INFRASTRUCTURE FUND -PLAN-DIRECT PLAN-IDCW PAYOUT</t>
  </si>
  <si>
    <t>B293GZ</t>
  </si>
  <si>
    <t>INF209K01WH6</t>
  </si>
  <si>
    <t>ADITYA BIRLA SUN LIFE INFRASTRUCTURE FUND -PLAN - GROWTH-DIRECT PLAN</t>
  </si>
  <si>
    <t>B295D</t>
  </si>
  <si>
    <t>INF209K01EO0</t>
  </si>
  <si>
    <t>ADITYA BIRLA SUN LIFE SMALL CAP FUND IDCW REINVESTMENT</t>
  </si>
  <si>
    <t>B295DR</t>
  </si>
  <si>
    <t>INF209K01EP7</t>
  </si>
  <si>
    <t>B295DZ</t>
  </si>
  <si>
    <t>INF209K01WM6</t>
  </si>
  <si>
    <t>ADITYA BIRLA SUN LIFE SMALL CAP FUND DIRECT PLAN-IDCW PAYOUT</t>
  </si>
  <si>
    <t>B295G</t>
  </si>
  <si>
    <t>INF209K01EN2</t>
  </si>
  <si>
    <t>ADITYA BIRLA SUN LIFE SMALL CAP FUND GROWTH</t>
  </si>
  <si>
    <t>B295GZ</t>
  </si>
  <si>
    <t>INF209K01WN4</t>
  </si>
  <si>
    <t>ADITYA BIRLA SUN LIFE SMALL CAP FUND GROWTH-DIRECT PLAN</t>
  </si>
  <si>
    <t>B296D</t>
  </si>
  <si>
    <t>INF209K01LE6</t>
  </si>
  <si>
    <t>ADITYA BIRLA SUN LIFE PURE VALUE FUND - IDCW REINVESTMENT</t>
  </si>
  <si>
    <t>B296DZ</t>
  </si>
  <si>
    <t>INF209K01WP9</t>
  </si>
  <si>
    <t>ADITYA BIRLA SUN LIFE PURE VALUE FUND - DIRECT PLAN-IDCW PAYOUT</t>
  </si>
  <si>
    <t>B296G</t>
  </si>
  <si>
    <t>INF209K01LF3</t>
  </si>
  <si>
    <t>ADITYA BIRLA SUN LIFE PURE VALUE FUND - GROWTH</t>
  </si>
  <si>
    <t>B296GZ</t>
  </si>
  <si>
    <t>INF209K01WQ7</t>
  </si>
  <si>
    <t>ADITYA BIRLA SUN LIFE PURE VALUE FUND - GROWTH-DIRECT PLAN</t>
  </si>
  <si>
    <t>B296RD</t>
  </si>
  <si>
    <t>INF209K01LG1</t>
  </si>
  <si>
    <t>B301GZ</t>
  </si>
  <si>
    <t>INF209K01WY1</t>
  </si>
  <si>
    <t>ADITYA BIRLA SUN LIFE INCOME FUND - GROWTH-DIRECT PLAN</t>
  </si>
  <si>
    <t>B303GZ</t>
  </si>
  <si>
    <t>INF209K01XA9</t>
  </si>
  <si>
    <t>ADITYA BIRLA SUN LIFE MEDIUM TERM PLAN - GROWTH-DIRECT PLAN</t>
  </si>
  <si>
    <t>B303WZ</t>
  </si>
  <si>
    <t>INF209KA1KP8</t>
  </si>
  <si>
    <t>ADITYA BIRLA SUN LIFE MEDIUM TERM PLAN - QUARTERLY DIRECT PLAN-IDCW PAYOUT</t>
  </si>
  <si>
    <t>B313DZ</t>
  </si>
  <si>
    <t>INF209K01R47</t>
  </si>
  <si>
    <t>ADITYA BIRLA SUN LIFE REGULAR SAVINGS FUND- MONTHLY DIRECT PLAN-IDCW PAYOUT</t>
  </si>
  <si>
    <t>B313GZ</t>
  </si>
  <si>
    <t>INF209K01XH4</t>
  </si>
  <si>
    <t>ADITYA BIRLA SUN LIFE REGULAR SAVINGS FUND- GROWTH-DIRECT PLAN</t>
  </si>
  <si>
    <t>B313PZ</t>
  </si>
  <si>
    <t>INF209K01XJ0</t>
  </si>
  <si>
    <t>ADITYA BIRLA SUN LIFE REGULAR SAVINGS FUND- MONTHLY PAYMENT-DIRECT PLAN</t>
  </si>
  <si>
    <t>B321GZ</t>
  </si>
  <si>
    <t>INF209K01N82</t>
  </si>
  <si>
    <t>ADITYA BIRLA SUN LIFE MUTUAL FUND DYNAMIC BOND FUND DIRECT GROWTH</t>
  </si>
  <si>
    <t>B32Z</t>
  </si>
  <si>
    <t>INF209K01S38</t>
  </si>
  <si>
    <t>ADITYA BIRLA SUN LIFE CORPORATE BOND FUND - GROWTH-DIRECT PLAN</t>
  </si>
  <si>
    <t>B341GZ</t>
  </si>
  <si>
    <t>INF209K01XK8</t>
  </si>
  <si>
    <t>ADITYA BIRLA SUN LIFE SHORT TERM FUND - GROWTH - DIRECT PLAN</t>
  </si>
  <si>
    <t>B341QZ</t>
  </si>
  <si>
    <t>INF209K01XL6</t>
  </si>
  <si>
    <t>ADITYA BIRLA SUN LIFE SHORT TERM FUND - IDCW REINVESTMENT - DIRECT PLAN</t>
  </si>
  <si>
    <t>B341WZ</t>
  </si>
  <si>
    <t>INF209K01R96</t>
  </si>
  <si>
    <t>ADITYA BIRLA SUN LIFE SHORT TERM FUND -QUARTERLY IDCW PAYOUT - DIRECT PLAN</t>
  </si>
  <si>
    <t>B37AZ</t>
  </si>
  <si>
    <t>INF209KA1KT0</t>
  </si>
  <si>
    <t>ADITYA BIRLA SUN LIFE CORPORATE BOND FUND-DIRECT PLAN - IDCW PAYOUT</t>
  </si>
  <si>
    <t>B37Z</t>
  </si>
  <si>
    <t>INF209K01N90</t>
  </si>
  <si>
    <t>ADITYA BIRLA SUN LIFE CORPORATE BOND FUND - MONTHLY IDCW PAYOUT-DIRECT PLAN</t>
  </si>
  <si>
    <t>B380A</t>
  </si>
  <si>
    <t>INF209KA1K54</t>
  </si>
  <si>
    <t>ADITYA BIRLA SUN LIFE CREDIT RISK FUND - IDCW PAYOUT REGULAR</t>
  </si>
  <si>
    <t>B380B</t>
  </si>
  <si>
    <t>INF209KA1K47</t>
  </si>
  <si>
    <t>ADITYA BIRLA SUN LIFE CREDIT RISK FUND - GROWTH REGULAR</t>
  </si>
  <si>
    <t>B380C</t>
  </si>
  <si>
    <t>INF209KA1K62</t>
  </si>
  <si>
    <t>ADITYA BIRLA SUN LIFE CREDIT RISK FUND - IDCW REINVESTMENT REGULAR</t>
  </si>
  <si>
    <t>B380X</t>
  </si>
  <si>
    <t>INF209KA1K96</t>
  </si>
  <si>
    <t>ADITYA BIRLA SUN LIFE CREDIT RISK FUND - IDCW DIRECT</t>
  </si>
  <si>
    <t>B380Y</t>
  </si>
  <si>
    <t>INF209KA1K88</t>
  </si>
  <si>
    <t>ADITYA BIRLA SUN LIFE CREDIT RISK FUND - GROWTH DIRECT</t>
  </si>
  <si>
    <t>B43G</t>
  </si>
  <si>
    <t>INF209K01LQ0</t>
  </si>
  <si>
    <t>ADITYA BIRLA SUN LIFE LOW DURATION FUND - GROWTH-REGULAR PLAN</t>
  </si>
  <si>
    <t>B43NZ</t>
  </si>
  <si>
    <t>INF209K01XU7</t>
  </si>
  <si>
    <t>ADITYA BIRLA SUN LIFE LOW DURATION FUND - GROWTH-DIRECT PLAN</t>
  </si>
  <si>
    <t>B44RDZ</t>
  </si>
  <si>
    <t>INF209K01XV5</t>
  </si>
  <si>
    <t>ADITYA BIRLA SUN LIFE LOW DURATION FUND DIRECT PLAN - WEEKLY IDCW REINVESTMENT</t>
  </si>
  <si>
    <t>B51Z</t>
  </si>
  <si>
    <t>INF209K01XX1</t>
  </si>
  <si>
    <t>ADITYA BIRLA SUN LIFE FLEXI CAP FUND - GROWTH-DIRECT PLAN</t>
  </si>
  <si>
    <t>B52DZ</t>
  </si>
  <si>
    <t>INF209K01XY9</t>
  </si>
  <si>
    <t>ADITYA BIRLA SUN LIFE FLEXI CAP FUND - IDCW REINVESTMENT-DIRECT PLAN</t>
  </si>
  <si>
    <t>B52Z</t>
  </si>
  <si>
    <t>INF209KA1LE0</t>
  </si>
  <si>
    <t>ADITYA BIRLA SUN LIFE FLEXI CAP FUND - IDCW PAYOUT-DIRECT PLAN</t>
  </si>
  <si>
    <t>B66A</t>
  </si>
  <si>
    <t>INF209KB1O74</t>
  </si>
  <si>
    <t>ADITYA BIRLA SUN LIFE PSU EQUITY FUND NORMAL-IDCW PAYOUT</t>
  </si>
  <si>
    <t>B66B</t>
  </si>
  <si>
    <t>INF209KB1O66</t>
  </si>
  <si>
    <t>ADITYA BIRLA SUN LIFE PSU EQUITY FUND NORMAL-GROWTH</t>
  </si>
  <si>
    <t>B66X</t>
  </si>
  <si>
    <t>INF209KB1O90</t>
  </si>
  <si>
    <t>ADITYA BIRLA SUN LIFE PSU EQUITY FUND DIRECT-IDCW PAYOUT</t>
  </si>
  <si>
    <t>B67A</t>
  </si>
  <si>
    <t>INF209KB1T53</t>
  </si>
  <si>
    <t>ADITYA BIRLA SUN LIFE SPECIAL OPPORTUNITIES FUND-NORMAL PLAN-IDCW PAYOUT</t>
  </si>
  <si>
    <t>B67B</t>
  </si>
  <si>
    <t>INF209KB1T46</t>
  </si>
  <si>
    <t>ADITYA BIRLA SUN LIFE SPECIAL OPPORTUNITIES FUND-NORMAL PLAN-GROWTH</t>
  </si>
  <si>
    <t>B67C</t>
  </si>
  <si>
    <t>INF209KB1T61</t>
  </si>
  <si>
    <t>ADITYA BIRLA SUN LIFE SPECIAL OPPORTUNITIES FUND-NORMAL PLAN-IDCW REINVESTMENT</t>
  </si>
  <si>
    <t>B67Y</t>
  </si>
  <si>
    <t>INF209KB1T79</t>
  </si>
  <si>
    <t>ADITYA BIRLA SUN LIFE SPECIAL OPPORTUNITIES FUND-DIRECT PLAN-GROWTH</t>
  </si>
  <si>
    <t>B68A</t>
  </si>
  <si>
    <t>INF209KB1U50</t>
  </si>
  <si>
    <t>ADITYA BIRLA SUN LIFE ESG FUND-NORMAL PLAN-IDCW PAYOUT</t>
  </si>
  <si>
    <t>B68B</t>
  </si>
  <si>
    <t>INF209KB1U43</t>
  </si>
  <si>
    <t>ADITYA BIRLA SUN LIFE ESG FUND-NORMAL PLAN-GROWTH</t>
  </si>
  <si>
    <t>B68Y</t>
  </si>
  <si>
    <t>INF209KB1U76</t>
  </si>
  <si>
    <t>ADITYA BIRLA SUN LIFE ESG FUND-DIRECT PLAN-GROWTH</t>
  </si>
  <si>
    <t>B71A</t>
  </si>
  <si>
    <t>INF209KB1Y31</t>
  </si>
  <si>
    <t>ADITYA BIRLA SUN LIFE MULTI-CAP FUND-NORMAL PLAN-IDCW PAYOUT</t>
  </si>
  <si>
    <t>B71B</t>
  </si>
  <si>
    <t>INF209KB1Y23</t>
  </si>
  <si>
    <t>ADITYA BIRLA SUN LIFE MULTI-CAP FUND-NORMAL PLAN-GROWTH</t>
  </si>
  <si>
    <t>B71X</t>
  </si>
  <si>
    <t>INF209KB1Y56</t>
  </si>
  <si>
    <t>ADITYA BIRLA SUN LIFE MULTI-CAP FUND-DIRECT PLAN-IDCW PAYOUT</t>
  </si>
  <si>
    <t>B71Y</t>
  </si>
  <si>
    <t>INF209KB1Y49</t>
  </si>
  <si>
    <t>ADITYA BIRLA SUN LIFE MULTI-CAP FUND-DIRECT PLAN-GROWTH</t>
  </si>
  <si>
    <t>B85IFZ</t>
  </si>
  <si>
    <t>INF209KA12Z1</t>
  </si>
  <si>
    <t>ADITYA BIRLA SUN LIFE BANKING AND PSU DEBT FUND - IDCW PAYOUT- DIRECT PLAN</t>
  </si>
  <si>
    <t>B85NDD</t>
  </si>
  <si>
    <t>INF209K01LU2</t>
  </si>
  <si>
    <t>ADITYA BIRLA SUN LIFE BANKING AND PSU DEBT FUND - MONTHLY IDCW PAYOUT-REGULAR PLAN</t>
  </si>
  <si>
    <t>B85NDZ</t>
  </si>
  <si>
    <t>INF209K01YM2</t>
  </si>
  <si>
    <t>ADITYA BIRLA SUN LIFE BANKING AND PSU DEBT FUND - MONTHLY IDCW PAYOUT-DIRECT PLAN</t>
  </si>
  <si>
    <t>B85NGZ</t>
  </si>
  <si>
    <t>INF209K01YN0</t>
  </si>
  <si>
    <t>ADITYA BIRLA SUN LIFE BANKING AND PSU DEBT FUND - GROWTH-DIRECT PLAN</t>
  </si>
  <si>
    <t>B85NIF</t>
  </si>
  <si>
    <t>INF209K01LX6</t>
  </si>
  <si>
    <t>ADITYA BIRLA SUN LIFE BANKING &amp; PSU DEBT FUND - REGULAR PLAN - IDCW PAYOUT</t>
  </si>
  <si>
    <t>B85NIG</t>
  </si>
  <si>
    <t>INF209K01LV0</t>
  </si>
  <si>
    <t>ADITYA BIRLA SUN LIFE BANKING AND PSU DEBT FUND - GROWTH-REGULAR PLAN</t>
  </si>
  <si>
    <t>B85NIM</t>
  </si>
  <si>
    <t>INF209K01LN7</t>
  </si>
  <si>
    <t>ADITYA BIRLA SUN LIFE BANKING AND PSU DEBT FUND - QUARTERLY IDCW PAYOUT</t>
  </si>
  <si>
    <t>B85NIR</t>
  </si>
  <si>
    <t>INF209KA11Z3</t>
  </si>
  <si>
    <t>ADITYA BIRLA SUN LIFE BANKING &amp; PSU DEBT FUND - REGULAR PLAN - IDCW REINVESTMENT</t>
  </si>
  <si>
    <t>B91DDZ</t>
  </si>
  <si>
    <t>INF209K01YW1</t>
  </si>
  <si>
    <t>ADITYA BIRLA SUN LIFE FRONTLINE EQUITY FUND - IDCW REINVESTMENT-DIRECT PLAN</t>
  </si>
  <si>
    <t>B91Z</t>
  </si>
  <si>
    <t>INF209K01YX9</t>
  </si>
  <si>
    <t>ADITYA BIRLA SUN LIFE FRONTLINE EQUITY FUND -DIRECT PLAN-IDCW PAYOUT</t>
  </si>
  <si>
    <t>B92Z</t>
  </si>
  <si>
    <t>INF209K01YY7</t>
  </si>
  <si>
    <t>ADITYA BIRLA SUN LIFE FRONTLINE EQUITY FUND - DIRECT - GROWTH</t>
  </si>
  <si>
    <t>BADZ</t>
  </si>
  <si>
    <t>INF209K01ZB2</t>
  </si>
  <si>
    <t>ADITYA BIRLA SUN LIFE EQUITY HYBRID 95 FUND - IDCW REINVESTMENT-DIRECT PLAN</t>
  </si>
  <si>
    <t>BAGZ</t>
  </si>
  <si>
    <t>INF209K01ZC0</t>
  </si>
  <si>
    <t>ADITYA BIRLA SUN LIFE EQUITY HYBRID 95 FUND - GROWTH-DIRECT PLAN</t>
  </si>
  <si>
    <t>BAZ</t>
  </si>
  <si>
    <t>INF209KA1LH3</t>
  </si>
  <si>
    <t>ADITYA BIRLA SUN LIFE EQUITY HYBRID 95 FUND - DIRECT PLAN-IDCW PAYOUT</t>
  </si>
  <si>
    <t>BD105</t>
  </si>
  <si>
    <t>INF084M01DJ5</t>
  </si>
  <si>
    <t>ADITYA BIRLA SUN LIFE BALANCED ADVANTAGE FUND - GROWTH DIRECT</t>
  </si>
  <si>
    <t>BD106</t>
  </si>
  <si>
    <t>INF084M01DL1</t>
  </si>
  <si>
    <t>ADITYA BIRLA SUN LIFE BALANCED ADVANTAGE FUND DIRECT PLAN IDCW PAYOUT OPTION</t>
  </si>
  <si>
    <t>BD106P</t>
  </si>
  <si>
    <t>INF084M01DK3</t>
  </si>
  <si>
    <t>BFIDR</t>
  </si>
  <si>
    <t>INF789F01ON2</t>
  </si>
  <si>
    <t>UTI TREASURY ADVANTAGE FUND-REGULAR DAILY DIVIDEND PLAN-IDCW REINVESTMENT</t>
  </si>
  <si>
    <t>BFIGG</t>
  </si>
  <si>
    <t>INF789F01OT9</t>
  </si>
  <si>
    <t>UTI TREASURY ADVANTAGE FUND-REGULAR GROWTH</t>
  </si>
  <si>
    <t>BFIMD</t>
  </si>
  <si>
    <t>INF789F01OU7</t>
  </si>
  <si>
    <t>UTI TREASURY ADVANTAGE FUND-REGULAR MONTHLY DIVIDEND PLAN-IDCW PAYOUT</t>
  </si>
  <si>
    <t>BFIMR</t>
  </si>
  <si>
    <t>INF789F01OV5</t>
  </si>
  <si>
    <t>UTI TREASURY ADVANTAGE FUND-REGULAR MONTHLY DIVIDEND PLAN-IDCW REINVESTMENT</t>
  </si>
  <si>
    <t>BFWID</t>
  </si>
  <si>
    <t>INF789F01PB4</t>
  </si>
  <si>
    <t>UTI TREASURY ADVANTAGE FUND-REGULAR WEEKLY DIVIDEND PLAN-IDCW PAYOUT</t>
  </si>
  <si>
    <t>BFWIR</t>
  </si>
  <si>
    <t>INF789F01PC2</t>
  </si>
  <si>
    <t>UTI TREASURY ADVANTAGE FUND-REGULAR WEEKLY DIVIDEND PLAN-IDCW REINVESTMENT</t>
  </si>
  <si>
    <t>BNP01G</t>
  </si>
  <si>
    <t>INF251K01894</t>
  </si>
  <si>
    <t>BARODA BNP PARIBAS LARGE CAP FUND GROWTH</t>
  </si>
  <si>
    <t>BNP02DP</t>
  </si>
  <si>
    <t>INF251K01910</t>
  </si>
  <si>
    <t>BARODA BNP PARIBAS LARGE CAP FUND IDCW PAYOUT</t>
  </si>
  <si>
    <t>BNP02DR</t>
  </si>
  <si>
    <t>INF251K01902</t>
  </si>
  <si>
    <t>BARODA BNP PARIBAS LARGE CAP FUND IDCW REINVESTMENT</t>
  </si>
  <si>
    <t>BNP05DP</t>
  </si>
  <si>
    <t>INF251K01AX1</t>
  </si>
  <si>
    <t>BARODA BNP PARIBAS MID CAP FUND IDCW PAYOUT</t>
  </si>
  <si>
    <t>BNP05DR</t>
  </si>
  <si>
    <t>INF251K01AY9</t>
  </si>
  <si>
    <t>BARODA BNP PARIBAS MID CAP FUND IDCW REINVESTMENT</t>
  </si>
  <si>
    <t>BNP05G</t>
  </si>
  <si>
    <t>INF251K01AW3</t>
  </si>
  <si>
    <t>BARODA BNP PARIBAS MID CAP FUND GROWTH</t>
  </si>
  <si>
    <t>BPFLMD2G</t>
  </si>
  <si>
    <t>INF955L01JU2</t>
  </si>
  <si>
    <t>BARODA BNP PARIBAS LARGE AND MID CAP FUND-DIRECT GROWTH</t>
  </si>
  <si>
    <t>BPFLMDPD</t>
  </si>
  <si>
    <t>INF955L01JS6</t>
  </si>
  <si>
    <t>BARODA BNP PARIBAS LARGE AND MID CAP FUND-REGULAR IDCW PAYOUT</t>
  </si>
  <si>
    <t>BPFLMDPR</t>
  </si>
  <si>
    <t>INF955L01JT4</t>
  </si>
  <si>
    <t>BARODA BNP PARIBAS LARGE AND MID CAP FUND-REGULAR IDCW REINVESTMENT</t>
  </si>
  <si>
    <t>BPFLMGPG</t>
  </si>
  <si>
    <t>INF955L01JR8</t>
  </si>
  <si>
    <t>BARODA BNP PARIBAS LARGE AND MID CAP FUND-REGULAR GROWTH</t>
  </si>
  <si>
    <t>BPGRD</t>
  </si>
  <si>
    <t>INF955L01658</t>
  </si>
  <si>
    <t>BARODA BNP PARIBAS MULTI CAP FUND PLAN A IDCW PAYOUT</t>
  </si>
  <si>
    <t>BPGRG</t>
  </si>
  <si>
    <t>INF955L01674</t>
  </si>
  <si>
    <t>BARODA BNP PARIBAS MULTI CAP FUND PLAN A GROWTH</t>
  </si>
  <si>
    <t>BPGRR</t>
  </si>
  <si>
    <t>INF955L01666</t>
  </si>
  <si>
    <t>BARODA BNP PARIBAS MULTI CAP FUND PLAN A IDCW REINVESTMENT</t>
  </si>
  <si>
    <t>BPMFDED1</t>
  </si>
  <si>
    <t>INF955L01HG5</t>
  </si>
  <si>
    <t>BARODA BNP PARIBAS BALANCED ADVANTAGE FUND - DIRECT IDCW PAYOUT</t>
  </si>
  <si>
    <t>INF955L01HH3</t>
  </si>
  <si>
    <t>BARODA BNP PARIBAS BALANCED ADVANTAGE FUND - DIRECT IDCW REINVESTMENT</t>
  </si>
  <si>
    <t>BPMFDED2</t>
  </si>
  <si>
    <t>INF955L01HF7</t>
  </si>
  <si>
    <t>BARODA BNP PARIBAS BALANCED ADVANTAGE FUND - DIRECT GROWTH</t>
  </si>
  <si>
    <t>BPMFDEGPG</t>
  </si>
  <si>
    <t>INF955L01HC4</t>
  </si>
  <si>
    <t>BARODA BNP PARIBAS BALANCED ADVANTAGE FUND - REGULAR GROWTH</t>
  </si>
  <si>
    <t>BPMFGRD1</t>
  </si>
  <si>
    <t>INF955L01AE5</t>
  </si>
  <si>
    <t>BARODA BNP PARIBAS MULTI CAP FUND PLAN B IDCW PAYOUT</t>
  </si>
  <si>
    <t>BPMFGRD2</t>
  </si>
  <si>
    <t>INF955L01AG0</t>
  </si>
  <si>
    <t>BARODA BNP PARIBAS MULTI CAP FUND PLAN B GROWTH</t>
  </si>
  <si>
    <t>BPRD</t>
  </si>
  <si>
    <t>INF179KA1JD2</t>
  </si>
  <si>
    <t>HDFC BANKING AND PSU DEBT FUND - REGULAR IDCW PAYOUT OPTION</t>
  </si>
  <si>
    <t>BPRDR</t>
  </si>
  <si>
    <t>INF179KA1JE0</t>
  </si>
  <si>
    <t>HDFC BANKING AND PSU DEBT FUND - REGULAR IDCW REINVESTMENT OPTION</t>
  </si>
  <si>
    <t>BPRG</t>
  </si>
  <si>
    <t>INF179KA1JC4</t>
  </si>
  <si>
    <t>HDFC BANKING AND PSU DEBT FUND - REGULAR GROWTH OPTION</t>
  </si>
  <si>
    <t>BSL15</t>
  </si>
  <si>
    <t>INF209K01132</t>
  </si>
  <si>
    <t>ADITYA BIRLA SUN LIFE DIGITAL INDIA FUND- IDCW PAYOUT</t>
  </si>
  <si>
    <t>INF209K01CD7</t>
  </si>
  <si>
    <t>ADITYA BIRLA SUN LIFE DIGITAL INDIA FUND-IDCW REINVESTMENT</t>
  </si>
  <si>
    <t>BSL16</t>
  </si>
  <si>
    <t>INF209K01140</t>
  </si>
  <si>
    <t>ADITYA BIRLA SUN LIFE DIGITAL INDIA FUND-GROWTH</t>
  </si>
  <si>
    <t>BSL201D</t>
  </si>
  <si>
    <t>INF209K01157</t>
  </si>
  <si>
    <t>ADITYA BIRLA SUN LIFE EQUITY ADVANTAGE FUND - IDCW PAYOUT-REGULAR PLAN</t>
  </si>
  <si>
    <t>INF209K01CE5</t>
  </si>
  <si>
    <t>ADITYA BIRLA SUN LIFE EQUITY ADVANTAGE FUND - REGULAR PLAN IDCW REINVESTMENT</t>
  </si>
  <si>
    <t>BSL201G</t>
  </si>
  <si>
    <t>INF209K01165</t>
  </si>
  <si>
    <t>ADITYA BIRLA SUN LIFE EQUITY ADVANTAGE FUND - GROWTH-REGULAR PLAN</t>
  </si>
  <si>
    <t>BSL205RD</t>
  </si>
  <si>
    <t>INF209K01256</t>
  </si>
  <si>
    <t>ADITYA BIRLA SUN LIFE ARBITRAGE FUND - IDCW PAYOUT</t>
  </si>
  <si>
    <t>INF209K01CI6</t>
  </si>
  <si>
    <t>ADITYA BIRLA SUN LIFE ARBITRAGE FUND -IDCW REINVESTMENT</t>
  </si>
  <si>
    <t>BSL205RG</t>
  </si>
  <si>
    <t>INF209K01264</t>
  </si>
  <si>
    <t>ADITYA BIRLA SUN LIFE ARBITRAGE FUND - GROWTH</t>
  </si>
  <si>
    <t>BSL221D</t>
  </si>
  <si>
    <t>INF209K01314</t>
  </si>
  <si>
    <t>ADITYA BIRLA SUN LIFE MNC FUND- IDCW PAYOUT</t>
  </si>
  <si>
    <t>INF209K01CL0</t>
  </si>
  <si>
    <t>ADITYA BIRLA SUN LIFE MNC FUND-IDCW REINVESTMENT</t>
  </si>
  <si>
    <t>BSL221G</t>
  </si>
  <si>
    <t>INF209K01322</t>
  </si>
  <si>
    <t>ADITYA BIRLA SUN LIFE MNC FUND-GROWTH</t>
  </si>
  <si>
    <t>BSL251D</t>
  </si>
  <si>
    <t>INF209K01355</t>
  </si>
  <si>
    <t>ADITYA BIRLA SUN LIFE MIDCAP FUND - IDCW PAYOUT</t>
  </si>
  <si>
    <t>INF209K01CN6</t>
  </si>
  <si>
    <t>ADITYA BIRLA SUN LIFE MIDCAP FUND - IDCW REINVESTMENT</t>
  </si>
  <si>
    <t>BSL251G</t>
  </si>
  <si>
    <t>INF209K01363</t>
  </si>
  <si>
    <t>ADITYA BIRLA SUN LIFE MIDCAP FUND - GROWTH</t>
  </si>
  <si>
    <t>BSL261D</t>
  </si>
  <si>
    <t>INF209K01397</t>
  </si>
  <si>
    <t>ADITYA BIRLA SUN LIFE DIVIDEND YIELD FUND - IDCW PAYOUT</t>
  </si>
  <si>
    <t>INF209K01CP1</t>
  </si>
  <si>
    <t>ADITYA BIRLA SUN LIFE DIVIDEND YIELD FUND - IDCW REINVESTMENT</t>
  </si>
  <si>
    <t>BSL261G</t>
  </si>
  <si>
    <t>INF209K01405</t>
  </si>
  <si>
    <t>ADITYA BIRLA SUN LIFE DIVIDEND YIELD FUND - GROWTH</t>
  </si>
  <si>
    <t>BSL291D</t>
  </si>
  <si>
    <t>INF209K01439</t>
  </si>
  <si>
    <t>ADITYA BIRLA SUN LIFE GENNEXT FUND- IDCW PAYOUT</t>
  </si>
  <si>
    <t>INF209K01CR7</t>
  </si>
  <si>
    <t>ADITYA BIRLA SUN LIFE GENNEXT FUND-IDCW REINVESTMENT</t>
  </si>
  <si>
    <t>BSL291G</t>
  </si>
  <si>
    <t>INF209K01447</t>
  </si>
  <si>
    <t>ADITYA BIRLA SUN LIFE GENNEXT FUND-GROWTH</t>
  </si>
  <si>
    <t>BSL292D</t>
  </si>
  <si>
    <t>INF209K01454</t>
  </si>
  <si>
    <t>ADITYA BIRLA SUN LIFE FOCUSED EQUITY FUND- IDCW PAYOUT</t>
  </si>
  <si>
    <t>INF209K01CS5</t>
  </si>
  <si>
    <t>ADITYA BIRLA SUN LIFE FOCUSED EQUITY FUND-IDCW REINVESTMENT</t>
  </si>
  <si>
    <t>BSL292G</t>
  </si>
  <si>
    <t>INF209K01462</t>
  </si>
  <si>
    <t>ADITYA BIRLA SUN LIFE FOCUSED EQUITY FUND-GROWTH</t>
  </si>
  <si>
    <t>BSL293D</t>
  </si>
  <si>
    <t>INF209K01470</t>
  </si>
  <si>
    <t>ADITYA BIRLA SUN LIFE INFRASTRUCTURE FUND - IDCW PAYOUT</t>
  </si>
  <si>
    <t>INF209K01CT3</t>
  </si>
  <si>
    <t>ADITYA BIRLA SUN LIFE INFRASTRUCTURE FUND -IDCW REINVESTMENT</t>
  </si>
  <si>
    <t>BSL293G</t>
  </si>
  <si>
    <t>INF209K01504</t>
  </si>
  <si>
    <t>ADITYA BIRLA SUN LIFE INFRASTRUCTURE FUND - GROWTH</t>
  </si>
  <si>
    <t>BSL301G</t>
  </si>
  <si>
    <t>INF209K01579</t>
  </si>
  <si>
    <t>ADITYA BIRLA SUN LIFE INCOME FUND - GROWTH-REGULAR PLAN</t>
  </si>
  <si>
    <t>BSL301QD</t>
  </si>
  <si>
    <t>INF209K01587</t>
  </si>
  <si>
    <t>ADITYA BIRLA SUN LIFE INCOME FUND - QUARTERLY IDCW PAYOUT-REGULAR PLAN</t>
  </si>
  <si>
    <t>INF209K01CY3</t>
  </si>
  <si>
    <t>ADITYA BIRLA SUN LIFE INCOME FUND - QUARTERLY IDCW REINVESTMENT-REGULAR PLAN</t>
  </si>
  <si>
    <t>BSL303G</t>
  </si>
  <si>
    <t>INF209K01603</t>
  </si>
  <si>
    <t>ADITYA BIRLA SUN LIFE MEDIUM TERM PLAN - GROWTH</t>
  </si>
  <si>
    <t>BSL303MD</t>
  </si>
  <si>
    <t>INF209K01611</t>
  </si>
  <si>
    <t>ADITYA BIRLA SUN LIFE MEDIUM TERM PLAN - IDCW PAYOUT</t>
  </si>
  <si>
    <t>INF209K01DA1</t>
  </si>
  <si>
    <t>ADITYA BIRLA SUN LIFE MEDIUM TERM PLAN - IDCW REINVESTMENT</t>
  </si>
  <si>
    <t>BSL313G</t>
  </si>
  <si>
    <t>INF209K01751</t>
  </si>
  <si>
    <t>ADITYA BIRLA SUN LIFE REGULAR SAVINGS FUND-GROWTH</t>
  </si>
  <si>
    <t>BSL313MD</t>
  </si>
  <si>
    <t>INF209K01769</t>
  </si>
  <si>
    <t>ADITYA BIRLA SUN LIFE REGULAR SAVINGS FUND-MONTHLY IDCW PAYOUT</t>
  </si>
  <si>
    <t>INF209K01DF0</t>
  </si>
  <si>
    <t>ADITYA BIRLA SUN LIFE REGULAR SAVINGS FUND-MONTHLY IDCW REINVESTMENT</t>
  </si>
  <si>
    <t>BSL313MP</t>
  </si>
  <si>
    <t>INF209K01777</t>
  </si>
  <si>
    <t>ADITYA BIRLA SUN LIFE REGULAR SAVINGS FUND-MONTHLY PAYMENT</t>
  </si>
  <si>
    <t>BSL32</t>
  </si>
  <si>
    <t>INF209K01785</t>
  </si>
  <si>
    <t>ADITYA BIRLA SUN LIFE CORPORATE BOND FUND - GROWTH-REGULAR PLAN</t>
  </si>
  <si>
    <t>BSL321G</t>
  </si>
  <si>
    <t>INF209K01793</t>
  </si>
  <si>
    <t>ADITYA BIRLA SUN LIFE DYNAMIC BOND RETAIL-GROWTH</t>
  </si>
  <si>
    <t>BSL321MD</t>
  </si>
  <si>
    <t>INF209K01801</t>
  </si>
  <si>
    <t>ADITYA BIRLA SUN LIFE DYNAMIC BONDRETAIL-MONTHLY IDCW PAYOUT</t>
  </si>
  <si>
    <t>INF209K01DG8</t>
  </si>
  <si>
    <t>ADITYA BIRLA SUN LIFE DYNAMIC BONDRETAIL-MONTHLY IDCW REINVESTMENT</t>
  </si>
  <si>
    <t>BSL321QD</t>
  </si>
  <si>
    <t>INF209K01819</t>
  </si>
  <si>
    <t>ADITYA BIRLA SUN LIFE DYNAMIC BONDRETAIL-QUARTERLY IDCW PAYOUT</t>
  </si>
  <si>
    <t>INF209K01DH6</t>
  </si>
  <si>
    <t>ADITYA BIRLA SUN LIFE DYNAMIC BONDRETAIL-QUARTERLY IDCW REINVESTMENT</t>
  </si>
  <si>
    <t>BSL331G</t>
  </si>
  <si>
    <t>INF209K01MC8</t>
  </si>
  <si>
    <t>ADITYA BIRLA SUN LIFE SAVINGS FUND-GROWTH</t>
  </si>
  <si>
    <t>BSL341G</t>
  </si>
  <si>
    <t>INF209K01942</t>
  </si>
  <si>
    <t>ADITYA BIRLA SUN LIFE SHORT TERM FUND - GROWTH</t>
  </si>
  <si>
    <t>BSL341QD</t>
  </si>
  <si>
    <t>INF209K01975</t>
  </si>
  <si>
    <t>ADITYA BIRLA SUN LIFE SHORT TERM FUND - IDCW PAYOUT</t>
  </si>
  <si>
    <t>INF209K01DK0</t>
  </si>
  <si>
    <t>ADITYA BIRLA SUN LIFE SHORT TERM FUND - IDCW REINVESTMENT</t>
  </si>
  <si>
    <t>BSL37</t>
  </si>
  <si>
    <t>INF209K01983</t>
  </si>
  <si>
    <t>ADITYA BIRLA SUN LIFE CORPORATE BOND FUND - MONTHLY IDCW PAYOUT-REGULAR PLAN</t>
  </si>
  <si>
    <t>INF209K01DL8</t>
  </si>
  <si>
    <t>ADITYA BIRLA SUN LIFE CORPORATE BOND FUND - MONTHLY IDCW REINVESTMENT-REGULAR PLAN</t>
  </si>
  <si>
    <t>BSL51</t>
  </si>
  <si>
    <t>INF209K01AJ8</t>
  </si>
  <si>
    <t>ADITYA BIRLA SUN LIFE FLEXI CAP FUND - GROWTH</t>
  </si>
  <si>
    <t>BSL512G</t>
  </si>
  <si>
    <t>INF209K01MF1</t>
  </si>
  <si>
    <t>ADITYA BIRLA SUN LIFE FLOATING RATE FUND - GROWTH</t>
  </si>
  <si>
    <t>BSL52</t>
  </si>
  <si>
    <t>INF209K01AQ3</t>
  </si>
  <si>
    <t>ADITYA BIRLA SUN LIFE FLEXI CAP FUND - IDCW PAYOUT</t>
  </si>
  <si>
    <t>INF209K01DT1</t>
  </si>
  <si>
    <t>ADITYA BIRLA SUN LIFE FLEXI CAP FUND - IDCW REINVESTMENT</t>
  </si>
  <si>
    <t>BSL91</t>
  </si>
  <si>
    <t>INF209K01BO6</t>
  </si>
  <si>
    <t>ADITYA BIRLA SUN LIFE FRONTLINE EQUITY FUND -IDCW PAYOUT</t>
  </si>
  <si>
    <t>INF209K01EC5</t>
  </si>
  <si>
    <t>ADITYA BIRLA SUN LIFE FRONTLINE EQUITY FUND - IDCW REINVESTMENT</t>
  </si>
  <si>
    <t>BSL92</t>
  </si>
  <si>
    <t>INF209K01BR9</t>
  </si>
  <si>
    <t>ADITYA BIRLA SUN LIFE FRONTLINE EQUITY FUND - GROWTH</t>
  </si>
  <si>
    <t>BSLA</t>
  </si>
  <si>
    <t>INF209K01BS7</t>
  </si>
  <si>
    <t>ADITYA BIRLA SUN LIFE EQUITY HYBRID 95 FUND IDCW PAYOUT</t>
  </si>
  <si>
    <t>INF209K01EE1</t>
  </si>
  <si>
    <t>ADITYA BIRLA SUN LIFE EQUITY HYBRID 95 FUND IDCW REINVESTMENT</t>
  </si>
  <si>
    <t>BSLAG</t>
  </si>
  <si>
    <t>INF209K01BT5</t>
  </si>
  <si>
    <t>ADITYA BIRLA SUN LIFE EQUITY HYBRID 95 FUND GROWTH</t>
  </si>
  <si>
    <t>CDNDR</t>
  </si>
  <si>
    <t>INF179KA1I87</t>
  </si>
  <si>
    <t>HDFC CREDIT RISK DEBT FUND - REGULAR PLAN - NORMAL IDCW PAYOUT</t>
  </si>
  <si>
    <t>CDNDT</t>
  </si>
  <si>
    <t>INF179KA1I61</t>
  </si>
  <si>
    <t>HDFC CREDIT RISK DEBT FUND - DIRECT PLAN - NORMAL IDCW PAYOUT</t>
  </si>
  <si>
    <t>CDNRR</t>
  </si>
  <si>
    <t>INF179KA1I79</t>
  </si>
  <si>
    <t>HDFC CREDIT RISK DEBT FUND - REGULAR PLAN - NORMAL IDCW REINVESTMENT</t>
  </si>
  <si>
    <t>CDNRT</t>
  </si>
  <si>
    <t>INF179KA1I53</t>
  </si>
  <si>
    <t>HDFC CREDIT RISK DEBT FUND - DIRECT PLAN - NORMAL IDCW REINVESTMENT</t>
  </si>
  <si>
    <t>CDODR</t>
  </si>
  <si>
    <t>INF179KA1GD8</t>
  </si>
  <si>
    <t>HDFC CREDIT RISK DEBT FUND - REGULAR - QUARTERLY IDCW PAYOUT</t>
  </si>
  <si>
    <t>CDODT</t>
  </si>
  <si>
    <t>INF179KA1GA4</t>
  </si>
  <si>
    <t>HDFC CREDIT RISK DEBT FUND- DIRECT - QUARTERLY IDCW PAYOUT</t>
  </si>
  <si>
    <t>CDOGR</t>
  </si>
  <si>
    <t>INF179KA1GC0</t>
  </si>
  <si>
    <t>HDFC CREDIT RISK DEBT FUND - REGULAR - GROWTH</t>
  </si>
  <si>
    <t>CDOGT</t>
  </si>
  <si>
    <t>INF179KA1FZ3</t>
  </si>
  <si>
    <t>HDFC CREDIT RISK DEBT FUND - DIRECT - GROWTH</t>
  </si>
  <si>
    <t>CDORR</t>
  </si>
  <si>
    <t>INF179KA1GE6</t>
  </si>
  <si>
    <t>HDFC CREDIT RISK DEBT FUND - REGULAR - QUARTERLY IDCW REINVESTMENT</t>
  </si>
  <si>
    <t>CDORT</t>
  </si>
  <si>
    <t>INF179KA1GB2</t>
  </si>
  <si>
    <t>HDFC CREDIT RISK DEBT FUND- DIRECT - QUARTERLY IDCW REINVESTMENT</t>
  </si>
  <si>
    <t>COGPG</t>
  </si>
  <si>
    <t>INF789F01QZ1</t>
  </si>
  <si>
    <t>UTI CREDIT RISK FUND - GROWTH</t>
  </si>
  <si>
    <t>CPDPD</t>
  </si>
  <si>
    <t>INF247L01494</t>
  </si>
  <si>
    <t>MOTILAL OSWAL FLEXI CAP FUND - REGULAR IDCW PAYOUT</t>
  </si>
  <si>
    <t>CPDPR</t>
  </si>
  <si>
    <t>INF247L01486</t>
  </si>
  <si>
    <t>MOTILAL OSWAL FLEXI CAP FUND - REGULAR IDCW REINVESTMENT</t>
  </si>
  <si>
    <t>CPGDG</t>
  </si>
  <si>
    <t>INF247L01502</t>
  </si>
  <si>
    <t>MOTILAL OSWAL FLEXI CAP FUND - DIRECT GROWTH</t>
  </si>
  <si>
    <t>CPGPG</t>
  </si>
  <si>
    <t>INF247L01478</t>
  </si>
  <si>
    <t>MOTILAL OSWAL FLEXI CAP FUND - REGULAR GROWTH</t>
  </si>
  <si>
    <t>CPPDD</t>
  </si>
  <si>
    <t>INF247L01528</t>
  </si>
  <si>
    <t>MOTILAL OSWAL FLEXI CAP FUND - DIRECT IDCW PAYOUT</t>
  </si>
  <si>
    <t>CPPDR</t>
  </si>
  <si>
    <t>INF247L01510</t>
  </si>
  <si>
    <t>MOTILAL OSWAL FLEXI CAP FUND - DIRECT IDCW REINVESTMENT</t>
  </si>
  <si>
    <t>CRCFDD</t>
  </si>
  <si>
    <t>INF760K01DS5</t>
  </si>
  <si>
    <t>CANARA ROBECO CONSUMER TRENDS FUND DIRECT - IDCW PAYOUT</t>
  </si>
  <si>
    <t>INF760K01DT3</t>
  </si>
  <si>
    <t>CANARA ROBECO CONSUMER TRENDS FUND DIRECT - IDCW REINVESTMENT</t>
  </si>
  <si>
    <t>CRCFDG</t>
  </si>
  <si>
    <t>INF760K01DU1</t>
  </si>
  <si>
    <t>CANARA ROBECO CONSUMER TRENDS FUND DIRECTGROWTH</t>
  </si>
  <si>
    <t>CRCFDP</t>
  </si>
  <si>
    <t>INF760K01225</t>
  </si>
  <si>
    <t>CANARA ROBECO CONSUMER TRENDS FUND REGULAR - IDCW PAYOUT</t>
  </si>
  <si>
    <t>CRCFDPR</t>
  </si>
  <si>
    <t>INF760K01233</t>
  </si>
  <si>
    <t>CANARA ROBECO CONSUMER TRENDS FUND REGULAR - IDCW REINVESTMENT</t>
  </si>
  <si>
    <t>CRCFGP</t>
  </si>
  <si>
    <t>INF760K01241</t>
  </si>
  <si>
    <t>CANARA ROBECO CONSUMER TRENDS FUND REGULAR GROWTH</t>
  </si>
  <si>
    <t>CRCYDG</t>
  </si>
  <si>
    <t>INF760K01DX5</t>
  </si>
  <si>
    <t>CANARA ROBECO SHORT DURATION FUND DIRECT GROWTH</t>
  </si>
  <si>
    <t>CRCYDM</t>
  </si>
  <si>
    <t>INF760K01DV9</t>
  </si>
  <si>
    <t>CANARA ROBECO SHORT DURATION FUND DIRECT MONTHLY - IDCW PAYOUT</t>
  </si>
  <si>
    <t>INF760K01DW7</t>
  </si>
  <si>
    <t>CANARA ROBECO SHORT DURATION FUND DIRECT MONTHLY - IDCW REINVESTMENT</t>
  </si>
  <si>
    <t>CRCYDP</t>
  </si>
  <si>
    <t>INF760K01BO8</t>
  </si>
  <si>
    <t>CANARA ROBECO SHORT DURATION FUND REGULAR MONTHLY - IDCW PAYOUT</t>
  </si>
  <si>
    <t>INF760K01BN0</t>
  </si>
  <si>
    <t>CANARA ROBECO SHORT DURATION FUND REGULAR MONTHLY - IDCW REINVESTMENT</t>
  </si>
  <si>
    <t>CRCYGP</t>
  </si>
  <si>
    <t>INF760K01BM2</t>
  </si>
  <si>
    <t>CANARA ROBECO SHORT DURATION FUND REGULAR GROWTH</t>
  </si>
  <si>
    <t>CRCYQP</t>
  </si>
  <si>
    <t>INF760K01BQ3</t>
  </si>
  <si>
    <t>CANARA ROBECO SHORT DURATION FUND REGULAR QUARTERLY - IDCW PAYOUT</t>
  </si>
  <si>
    <t>INF760K01BP5</t>
  </si>
  <si>
    <t>CANARA ROBECO SHORT DURATION FUND REGULAR QUARTERLY - IDCW REINVESTMENT</t>
  </si>
  <si>
    <t>CRDVDD</t>
  </si>
  <si>
    <t>INF760K01ED5</t>
  </si>
  <si>
    <t>CANARA ROBECO FLEXI CAP FUND DIRECT - IDCW PAYOUT</t>
  </si>
  <si>
    <t>INF760K01EE3</t>
  </si>
  <si>
    <t>CANARA ROBECO FLEXI CAP FUND DIRECT - IDCW REINVESTMENT</t>
  </si>
  <si>
    <t>CRDVDG</t>
  </si>
  <si>
    <t>INF760K01EF0</t>
  </si>
  <si>
    <t>CANARA ROBECO FLEXI CAP FUND DIRECT GROWTH</t>
  </si>
  <si>
    <t>CRDVDPR</t>
  </si>
  <si>
    <t>INF760K01035</t>
  </si>
  <si>
    <t>CANARA ROBECO FLEXI CAP FUND REGULAR - IDCW REINVESTMENT</t>
  </si>
  <si>
    <t>CREQDD</t>
  </si>
  <si>
    <t>INF760K01EG8</t>
  </si>
  <si>
    <t>CANARA ROBECO EMERGING EQUITIESDIRECT - IDCW PAYOUT</t>
  </si>
  <si>
    <t>INF760K01EH6</t>
  </si>
  <si>
    <t>CANARA ROBECO EMERGING EQUITIESDIRECT - IDCW REINVESTMENT</t>
  </si>
  <si>
    <t>CREQDP</t>
  </si>
  <si>
    <t>INF760K01175</t>
  </si>
  <si>
    <t>CANARA ROBECO EMERGING EQUITIES REGULAR - IDCW PAYOUT</t>
  </si>
  <si>
    <t>INF760K01EI4</t>
  </si>
  <si>
    <t>CANARA ROBECO EMERGING EQUITIESDIRECT GROWTHGROWTH</t>
  </si>
  <si>
    <t>CREQDPR</t>
  </si>
  <si>
    <t>INF760K01183</t>
  </si>
  <si>
    <t>CANARA ROBECO EMERGING EQUITIES REGULAR - IDCW REINVESTMENT</t>
  </si>
  <si>
    <t>CREQGP</t>
  </si>
  <si>
    <t>INF760K01167</t>
  </si>
  <si>
    <t>CANARA ROBECO EMERGING EQUITIES REGULAR -GROWTH</t>
  </si>
  <si>
    <t>CRFDVD</t>
  </si>
  <si>
    <t>INF760K01027</t>
  </si>
  <si>
    <t>CANARA ROBECO FLEXI CAP FUND REGULAR - IDCW PAYOUT</t>
  </si>
  <si>
    <t>CRFDVG</t>
  </si>
  <si>
    <t>INF760K01019</t>
  </si>
  <si>
    <t>CANARA ROBECO FLEXI CAP FUND REGULAR GROWTH</t>
  </si>
  <si>
    <t>CRFEDG</t>
  </si>
  <si>
    <t>INF760K01JQ6</t>
  </si>
  <si>
    <t>CANARA ROBECO FOCUSED EQUITY FUND DIRECT GROWTH</t>
  </si>
  <si>
    <t>CRFEDP</t>
  </si>
  <si>
    <t>INF760K01JV6</t>
  </si>
  <si>
    <t>CANARA ROBECO FOCUSED EQUITY FUND REGULAR IDCW PAYOUT</t>
  </si>
  <si>
    <t>INF760K01JU8</t>
  </si>
  <si>
    <t>CANARA ROBECO FOCUSED EQUITY FUND REGULAR IDCW REINVESTMENT</t>
  </si>
  <si>
    <t>CRFEGP</t>
  </si>
  <si>
    <t>INF760K01JT0</t>
  </si>
  <si>
    <t>CANARA ROBECO FOCUSED EQUITY FUND REGULAR GROWTH</t>
  </si>
  <si>
    <t>CRFRDDR</t>
  </si>
  <si>
    <t>INF760K01803</t>
  </si>
  <si>
    <t>CANARA ROBECO SAVINGS FUND REGULAR DAILY - IDCW REINVESTMENT</t>
  </si>
  <si>
    <t>CRFRDG</t>
  </si>
  <si>
    <t>INF760K01ET1</t>
  </si>
  <si>
    <t>CANARA ROBECO SAVINGS FUND DIRECT GROWTH</t>
  </si>
  <si>
    <t>CRFRDMD</t>
  </si>
  <si>
    <t>INF760K01AM4</t>
  </si>
  <si>
    <t>CANARA ROBECO SAVINGS FUND REGULAR MONTHLY - IDCW PAYOUT</t>
  </si>
  <si>
    <t>CRFRDMR</t>
  </si>
  <si>
    <t>INF760K01AN2</t>
  </si>
  <si>
    <t>CANARA ROBECO SAVINGS FUND REGULAR MONTHLY - IDCW REINVESTMENT</t>
  </si>
  <si>
    <t>CRFRDPD</t>
  </si>
  <si>
    <t>INF760K01779</t>
  </si>
  <si>
    <t>CANARA ROBECO SAVINGS FUND REGULAR - IDCW PAYOUT</t>
  </si>
  <si>
    <t>CRFRDPR</t>
  </si>
  <si>
    <t>INF760K01787</t>
  </si>
  <si>
    <t>CANARA ROBECO SAVINGS FUND REGULA R - IDCW REINVESTMENT</t>
  </si>
  <si>
    <t>CRFRDR</t>
  </si>
  <si>
    <t>INF760K01EM6</t>
  </si>
  <si>
    <t>CANARA ROBECO SAVINGS FUND DIRECT DAILY - IDCW REINVESTMENT</t>
  </si>
  <si>
    <t>CRFRGPG</t>
  </si>
  <si>
    <t>INF760K01795</t>
  </si>
  <si>
    <t>CANARA ROBECO SAVINGS FUND REGULAR GROWTH</t>
  </si>
  <si>
    <t>CRGBDD</t>
  </si>
  <si>
    <t>INF760K01EX3</t>
  </si>
  <si>
    <t>CANARA ROBECO EQUITY HYBRID FUND DIRECT MONTHLY - IDCW PAYOUT</t>
  </si>
  <si>
    <t>INF760K01EY1</t>
  </si>
  <si>
    <t>CANARA ROBECO EQUITY HYBRID FUND DIRECT MONTHLY - IDCW REINVESTMENT</t>
  </si>
  <si>
    <t>CRGBDG</t>
  </si>
  <si>
    <t>INF760K01EZ8</t>
  </si>
  <si>
    <t>CANARA ROBECO EQUITY HYBRID FUND DIRECT GROWTH</t>
  </si>
  <si>
    <t>CRGBDP</t>
  </si>
  <si>
    <t>INF760K01068</t>
  </si>
  <si>
    <t>CANARA ROBECO EQUITY HYBRID FUND REGULAR MONTHLY - IDCW PAYOUT</t>
  </si>
  <si>
    <t>CRGBDPR</t>
  </si>
  <si>
    <t>INF760K01076</t>
  </si>
  <si>
    <t>CANARA ROBECO EQUITY HYBRID FUND REGULAR MONTHLY - IDCW REINVESTMENT</t>
  </si>
  <si>
    <t>CRGBOE</t>
  </si>
  <si>
    <t>INF760K01050</t>
  </si>
  <si>
    <t>CANARA ROBECO EQUITY HYBRID FUND REGULAR GROWTH</t>
  </si>
  <si>
    <t>CRLCDD</t>
  </si>
  <si>
    <t>INF760K01FP6</t>
  </si>
  <si>
    <t>CANARA ROBECO BLUECHIP EQUITY FUND DIRECT - IDCW PAYOUT</t>
  </si>
  <si>
    <t>INF760K01FQ4</t>
  </si>
  <si>
    <t>CANARA ROBECO BLUECHIP EQUITY FUND DIRECT - IDCW REINVESTMENT</t>
  </si>
  <si>
    <t>CRLCDG</t>
  </si>
  <si>
    <t>INF760K01FR2</t>
  </si>
  <si>
    <t>CANARA ROBECO BLUECHIP EQUITY FUND DIRECT GROWTH</t>
  </si>
  <si>
    <t>CRLCDP</t>
  </si>
  <si>
    <t>INF760K01AS1</t>
  </si>
  <si>
    <t>CANARA ROBECO BLUECHIP EQUITY FUND REGULAR - IDCW PAYOUT</t>
  </si>
  <si>
    <t>CRLCDPR</t>
  </si>
  <si>
    <t>INF760K01AT9</t>
  </si>
  <si>
    <t>CANARA ROBECO BLUECHIP EQUITY FUND REGULAR - IDCW REINVESTMENT</t>
  </si>
  <si>
    <t>CRLCGP</t>
  </si>
  <si>
    <t>INF760K01AR3</t>
  </si>
  <si>
    <t>CANARA ROBECO BLUECHIP EQUITY FUND REGULARGROWTH</t>
  </si>
  <si>
    <t>CRMIDG</t>
  </si>
  <si>
    <t>INF760K01GB4</t>
  </si>
  <si>
    <t>CANARA ROBECO CONSERVATIVE HYBRID FUND DIRECT GROWTH</t>
  </si>
  <si>
    <t>CRMIDM</t>
  </si>
  <si>
    <t>INF760K01FZ5</t>
  </si>
  <si>
    <t>CANARA ROBECO CONSERVATIVE HYBRID FUND DIRECT MONTHLY - IDCW PAYOUT</t>
  </si>
  <si>
    <t>INF760K01GA6</t>
  </si>
  <si>
    <t>CANARA ROBECO CONSERVATIVE HYBRID FUND DIRECT MONTHLY - IDCW REINVESTMENT</t>
  </si>
  <si>
    <t>CRMIDP</t>
  </si>
  <si>
    <t>INF760K01308</t>
  </si>
  <si>
    <t>CANARA ROBECO CONSERVATIVE HYBRID FUND REGULAR MONTHLY - IDCW PAYOUT</t>
  </si>
  <si>
    <t>CRMIDPR</t>
  </si>
  <si>
    <t>INF760K01316</t>
  </si>
  <si>
    <t>CANARA ROBECO CONSERVATIVE HYBRID FUND REGULAR MONTHLY - IDCW REINVESTMENT</t>
  </si>
  <si>
    <t>CRMIGP</t>
  </si>
  <si>
    <t>INF760K01282</t>
  </si>
  <si>
    <t>CANARA ROBECO CONSERVATIVE HYBRID FUND REGULAR GROWTH</t>
  </si>
  <si>
    <t>CRMIQD</t>
  </si>
  <si>
    <t>INF760K01GC2</t>
  </si>
  <si>
    <t>CANARA ROBECO CONSERVATIVE HYBRID FUND DIRECT QUARTERLY - IDCW PAYOUT</t>
  </si>
  <si>
    <t>INF760K01GD0</t>
  </si>
  <si>
    <t>CANARA ROBECO CONSERVATIVE HYBRID FUND DIRECT QUARTERLY - IDCW REINVESTMENT</t>
  </si>
  <si>
    <t>CRMIQP</t>
  </si>
  <si>
    <t>INF760K01AP7</t>
  </si>
  <si>
    <t>CANARA ROBECO CONSERVATIVE HYBRID FUND REGULAR QUARTERLY - IDCW PAYOUT</t>
  </si>
  <si>
    <t>CRMIQPR</t>
  </si>
  <si>
    <t>INF760K01AQ5</t>
  </si>
  <si>
    <t>CANARA ROBECO CONSERVATIVE HYBRID FUND REGULAR QUARTERLY - IDCW REINVESTMENT</t>
  </si>
  <si>
    <t>CRSCDD</t>
  </si>
  <si>
    <t>INF760K01JD4</t>
  </si>
  <si>
    <t>CANARA ROBECO SMALL CAP FUND DIRECT - IDCW PAYOUT</t>
  </si>
  <si>
    <t>INF760K01JE2</t>
  </si>
  <si>
    <t>CANARA ROBECO SMALL CAP FUND DIRECT - IDCW REINVESTMENT</t>
  </si>
  <si>
    <t>CRSCDG</t>
  </si>
  <si>
    <t>INF760K01JC6</t>
  </si>
  <si>
    <t>CANARA ROBECO SMALL CAP FUND DIRECT GROWTH</t>
  </si>
  <si>
    <t>CRSCDP</t>
  </si>
  <si>
    <t>INF760K01JG7</t>
  </si>
  <si>
    <t>CANARA ROBECO SMALL CAP FUND REGULAR - IDCW PAYOUT</t>
  </si>
  <si>
    <t>INF760K01JH5</t>
  </si>
  <si>
    <t>CANARA ROBECO SMALL CAP FUND REGULAR - IDCW REINVESTMENT</t>
  </si>
  <si>
    <t>CRSCGP</t>
  </si>
  <si>
    <t>INF760K01JF9</t>
  </si>
  <si>
    <t>CANARA ROBECO SMALL CAP FUND REGULAR GROWTH</t>
  </si>
  <si>
    <t>CRTADG</t>
  </si>
  <si>
    <t>INF760K01GM1</t>
  </si>
  <si>
    <t>CANARA ROBECO ULTRA SHORT TERM FUND DIRECT GROWTH</t>
  </si>
  <si>
    <t>CRTASDR</t>
  </si>
  <si>
    <t>INF760K01DA3</t>
  </si>
  <si>
    <t>CANARA ROBECO ULTRA SHORT TERM FUND REGULAR DAILY - IDCW REINVESTMENT</t>
  </si>
  <si>
    <t>CRTASGG</t>
  </si>
  <si>
    <t>INF760K01DC9</t>
  </si>
  <si>
    <t>CANARA ROBECO ULTRA SHORT TERM FUND REGULAR GROWTH</t>
  </si>
  <si>
    <t>CRTASWD</t>
  </si>
  <si>
    <t>INF760K01DE5</t>
  </si>
  <si>
    <t>CANARA ROBECO ULTRA SHORT TERM FUND REGULAR WEEKLY - IDCW PAYOUT</t>
  </si>
  <si>
    <t>CRTASWR</t>
  </si>
  <si>
    <t>INF760K01DF2</t>
  </si>
  <si>
    <t>CANARA ROBECO ULTRA SHORT TERM FUND REGULAR WEEKLY - IDCW REINVESTMENT</t>
  </si>
  <si>
    <t>DDG</t>
  </si>
  <si>
    <t>INF579M01266</t>
  </si>
  <si>
    <t>IIFL DYNAMIC BOND FUND DIRECT PLAN- GROWTH</t>
  </si>
  <si>
    <t>DEADD</t>
  </si>
  <si>
    <t>INF247L01601</t>
  </si>
  <si>
    <t>MOTILAL OSWAL DYNAMIC FUND - REGULAR ANNUAL IDCW PAYOUT</t>
  </si>
  <si>
    <t>DEADR</t>
  </si>
  <si>
    <t>INF247L01627</t>
  </si>
  <si>
    <t>MOTILAL OSWAL DYNAMIC FUND - REGULAR ANNUAL IDCW REINVESTMENT</t>
  </si>
  <si>
    <t>DEDQD</t>
  </si>
  <si>
    <t>INF247L01643</t>
  </si>
  <si>
    <t>MOTILAL OSWAL DYNAMIC FUND - DIRECT QUARTERLY IDCW PAYOUT</t>
  </si>
  <si>
    <t>DEDQR</t>
  </si>
  <si>
    <t>INF247L01668</t>
  </si>
  <si>
    <t>MOTILAL OSWAL DYNAMIC FUND - DIRECT QUARTERLY IDCW REINVESTMENT</t>
  </si>
  <si>
    <t>DEGDG</t>
  </si>
  <si>
    <t>INF247L01635</t>
  </si>
  <si>
    <t>MOTILAL OSWAL DYNAMIC FUND - DIRECT GROWTH</t>
  </si>
  <si>
    <t>DEGPGG</t>
  </si>
  <si>
    <t>INF247L01585</t>
  </si>
  <si>
    <t>MOTILAL OSWAL DYNAMIC FUND - REGULAR GROWTH</t>
  </si>
  <si>
    <t>DEQDD</t>
  </si>
  <si>
    <t>INF247L01593</t>
  </si>
  <si>
    <t>MOTILAL OSWAL DYNAMIC FUND - REGULAR QUARTERLY IDCW PAYOUT</t>
  </si>
  <si>
    <t>DEQDR</t>
  </si>
  <si>
    <t>INF247L01619</t>
  </si>
  <si>
    <t>MOTILAL OSWAL DYNAMIC FUND - REGULAR QUARTERLY IDCW REINVESTMENT</t>
  </si>
  <si>
    <t>DPDYADMDP</t>
  </si>
  <si>
    <t>INF740K01K99</t>
  </si>
  <si>
    <t>DSP DYNAMIC ASSET ALLOCATION FUND - DIR - IDCW MONTHLY PAYOUT</t>
  </si>
  <si>
    <t>DPDYADMDR</t>
  </si>
  <si>
    <t>INF740K01L07</t>
  </si>
  <si>
    <t>DSP DYNAMIC ASSET ALLOCATION FUND - DIR - MONTHLY - IDCW REINVESTMENT</t>
  </si>
  <si>
    <t>DSPAFDDP</t>
  </si>
  <si>
    <t>INF740KA1DO2</t>
  </si>
  <si>
    <t>DSP ARBITRAGE FUND - DIR - IDCW PAYOUT</t>
  </si>
  <si>
    <t>DSPAFDDR</t>
  </si>
  <si>
    <t>INF740KA1DP9</t>
  </si>
  <si>
    <t>DSP ARBITRAGE FUND - DIR - IDCW REINVESTMENT</t>
  </si>
  <si>
    <t>DSPAFDGR</t>
  </si>
  <si>
    <t>INF740KA1DN4</t>
  </si>
  <si>
    <t>DSP ARBITRAGE FUND - DIR - GROWTH</t>
  </si>
  <si>
    <t>DSPAFDMP</t>
  </si>
  <si>
    <t>INF740KA1DQ7</t>
  </si>
  <si>
    <t>DSP ARBITRAGE FUND - DIR - IDCW MONTHLY PAYOUT</t>
  </si>
  <si>
    <t>DSPAFDMR</t>
  </si>
  <si>
    <t>INF740KA1DR5</t>
  </si>
  <si>
    <t>DSP ARBITRAGE FUND - DIR - MONTHLY IDCW REINVESTMENT</t>
  </si>
  <si>
    <t>DSPAFRDP</t>
  </si>
  <si>
    <t>INF740KA1DJ2</t>
  </si>
  <si>
    <t>DSP ARBITRAGE FUND - REG - IDCW PAYOUT</t>
  </si>
  <si>
    <t>DSPAFRDR</t>
  </si>
  <si>
    <t>INF740KA1DK0</t>
  </si>
  <si>
    <t>DSP ARBITRAGE FUND - REG - IDCW REINVESTMENT</t>
  </si>
  <si>
    <t>DSPAFRGR</t>
  </si>
  <si>
    <t>INF740KA1DI4</t>
  </si>
  <si>
    <t>DSP ARBITRAGE FUND - REG - GROWTH</t>
  </si>
  <si>
    <t>DSPAFRMP</t>
  </si>
  <si>
    <t>INF740KA1DL8</t>
  </si>
  <si>
    <t>DSP ARBITRAGE FUND - REG - IDCW MONTHLY PAYOUT</t>
  </si>
  <si>
    <t>DSPAFRMR</t>
  </si>
  <si>
    <t>INF740KA1DM6</t>
  </si>
  <si>
    <t>DSP ARBITRAGE FUND - REG - MONTHLY IDCW REINVESTMENT</t>
  </si>
  <si>
    <t>DSPBLDDP</t>
  </si>
  <si>
    <t>INF740K01NZ1</t>
  </si>
  <si>
    <t>DSP EQUITY AND BOND FUND - DIRECT PLAN - IDCW PAYOUT</t>
  </si>
  <si>
    <t>DSPBLDDR</t>
  </si>
  <si>
    <t>INF740K01OA2</t>
  </si>
  <si>
    <t>DSP EQUITY AND BOND FUND - DIRECT PLAN - IDCW REINVESTMENT</t>
  </si>
  <si>
    <t>DSPBLDGR</t>
  </si>
  <si>
    <t>INF740K01NY4</t>
  </si>
  <si>
    <t>DSP EQUITY AND BOND FUND - DIRECT PLAN - GROWTH</t>
  </si>
  <si>
    <t>DSPBPDDGR</t>
  </si>
  <si>
    <t>INF740K01ZW2</t>
  </si>
  <si>
    <t>DSP BANKING AND PSU DEBT FUND - DIR - GROWTH</t>
  </si>
  <si>
    <t>DSPBPDRG</t>
  </si>
  <si>
    <t>INF740K01ZP6</t>
  </si>
  <si>
    <t>DSP BANKING AND PSU DEBT FUND - REG - GROWTH</t>
  </si>
  <si>
    <t>DSPBRBALF</t>
  </si>
  <si>
    <t>INF740K01318</t>
  </si>
  <si>
    <t>DSP EQUITY AND BOND FUND - GROWTH</t>
  </si>
  <si>
    <t>INF740K01326</t>
  </si>
  <si>
    <t>DSP EQUITY AND BOND FUND - IDCW REINVESTMENT</t>
  </si>
  <si>
    <t>INF740K01334</t>
  </si>
  <si>
    <t>DSPBREF</t>
  </si>
  <si>
    <t>INF740K01011</t>
  </si>
  <si>
    <t>DSP FLEXI CAP FUND - REGULAR PLAN - IDCW REINVESTMENT</t>
  </si>
  <si>
    <t>INF740K01037</t>
  </si>
  <si>
    <t>DSP FLEXI CAP FUND - REGULAR PLAN - GROWTH</t>
  </si>
  <si>
    <t>INF740K01029</t>
  </si>
  <si>
    <t>DSPBRF25</t>
  </si>
  <si>
    <t>INF740K01532</t>
  </si>
  <si>
    <t>DSP FOCUS FUND - GROWTH</t>
  </si>
  <si>
    <t>INF740K01540</t>
  </si>
  <si>
    <t>DSP FOCUS FUND - IDCW REINVESTMENT</t>
  </si>
  <si>
    <t>INF740K01AC7</t>
  </si>
  <si>
    <t>DSPBRITF</t>
  </si>
  <si>
    <t>INF740K01151</t>
  </si>
  <si>
    <t>DSP INDIA T.I.G.E.R. FUND - REGULAR PLAN - GROWTH</t>
  </si>
  <si>
    <t>INF740K01136</t>
  </si>
  <si>
    <t>DSP INDIA T.I.G.E.R. FUND - REGULAR PLAN - IDCW REINVESTMENT</t>
  </si>
  <si>
    <t>INF740K01144</t>
  </si>
  <si>
    <t>DSPBRMCF</t>
  </si>
  <si>
    <t>INF740K01797</t>
  </si>
  <si>
    <t>DSP SMALL CAP FUND - REGULAR PLAN - GROWTH</t>
  </si>
  <si>
    <t>INF740K01805</t>
  </si>
  <si>
    <t>DSP SMALL CAP FUND - REGULAR PLAN - IDCW REINVESTMENT</t>
  </si>
  <si>
    <t>INF740K01AM6</t>
  </si>
  <si>
    <t>DSPBRMDF</t>
  </si>
  <si>
    <t>INF740K01MK5</t>
  </si>
  <si>
    <t>DSP ULTRA SHORT FUND - REGULAR PLAN - IDCW REINVESTMENT</t>
  </si>
  <si>
    <t>DSPBRMMF</t>
  </si>
  <si>
    <t>INF740K01QQ3</t>
  </si>
  <si>
    <t>DSP ULTRA SHORT FUND - REGULAR PLAN - GROWTH</t>
  </si>
  <si>
    <t>INF740K01QS9</t>
  </si>
  <si>
    <t>DSP ULTRA SHORT FUND - REGULAR PLAN - MONTHLY - IDCW REINVESTMENT</t>
  </si>
  <si>
    <t>INF740K01QR1</t>
  </si>
  <si>
    <t>DSPBRNRNEF</t>
  </si>
  <si>
    <t>INF740K01060</t>
  </si>
  <si>
    <t>DSP NATURAL RESOURCES AND NEW ENERGY FUND - REGULAR PLAN - GROWTH</t>
  </si>
  <si>
    <t>INF740K01045</t>
  </si>
  <si>
    <t>DSP NATURAL RESOURCES AND NEW ENERGY FUND - REGULAR PLAN - IDCW REINVESTMENT</t>
  </si>
  <si>
    <t>INF740K01052</t>
  </si>
  <si>
    <t>DSPBROF</t>
  </si>
  <si>
    <t>INF740K01094</t>
  </si>
  <si>
    <t>DSP EQUITY OPPORTUNITIES FUND - REGULAR PLAN - GROWTH</t>
  </si>
  <si>
    <t>INF740K01078</t>
  </si>
  <si>
    <t>DSP EQUITY OPPORTUNITIES FUND - REGULAR PLAN - IDCW REINVESTMENT</t>
  </si>
  <si>
    <t>INF740K01086</t>
  </si>
  <si>
    <t>DSPBRSMF</t>
  </si>
  <si>
    <t>INF740K01128</t>
  </si>
  <si>
    <t>DSP MIDCAP FUND - REGULAR PLAN - GROWTH</t>
  </si>
  <si>
    <t>INF740K01102</t>
  </si>
  <si>
    <t>DSP MIDCAP FUND - REGULAR PLAN - IDCW REINVESTMENT</t>
  </si>
  <si>
    <t>INF740K01110</t>
  </si>
  <si>
    <t>DSPBRSTDF</t>
  </si>
  <si>
    <t>INF740K01649</t>
  </si>
  <si>
    <t>DSP SHORT TERM FUND - IDCW REINVESTMENT</t>
  </si>
  <si>
    <t>INF740K01AF0</t>
  </si>
  <si>
    <t>DSPBRSTF</t>
  </si>
  <si>
    <t>INF740K01656</t>
  </si>
  <si>
    <t>DSP SHORT TERM FUND - GROWTH</t>
  </si>
  <si>
    <t>DSPBRSTMDF</t>
  </si>
  <si>
    <t>INF740K01664</t>
  </si>
  <si>
    <t>DSP SHORT TERM FUND - MONTHLY - IDCW REINVESTMENT</t>
  </si>
  <si>
    <t>INF740K01AG8</t>
  </si>
  <si>
    <t>DSPBRTEF</t>
  </si>
  <si>
    <t>INF740K01243</t>
  </si>
  <si>
    <t>DSP TOP 100 EQUITY FUND - REGULAR PLAN - GROWTH</t>
  </si>
  <si>
    <t>INF740K01227</t>
  </si>
  <si>
    <t>DSP TOP 100 EQUITY FUND - REGULAR PLAN - IDCW REINVESTMENT</t>
  </si>
  <si>
    <t>INF740K01235</t>
  </si>
  <si>
    <t>DSPBRWGF</t>
  </si>
  <si>
    <t>INF740K01250</t>
  </si>
  <si>
    <t>DSP WORLD GOLD FUND - REGULAR PLAN - GROWTH</t>
  </si>
  <si>
    <t>DSPCBDGR</t>
  </si>
  <si>
    <t>INF740KA1KE8</t>
  </si>
  <si>
    <t>DSP CORPORATE BOND FUND - DIRECT - GROWTH</t>
  </si>
  <si>
    <t>DSPCBDMP</t>
  </si>
  <si>
    <t>INF740KA1KH1</t>
  </si>
  <si>
    <t>DSP CORPORATE BOND FUND - DIRECT - IDCW MONTHLY PAYOUT</t>
  </si>
  <si>
    <t>DSPCBDMR</t>
  </si>
  <si>
    <t>INF740KA1KI9</t>
  </si>
  <si>
    <t>DSP CORPORATE BOND FUND - DIRECT - MONTHLY - IDCW REINVESTMENT</t>
  </si>
  <si>
    <t>DSPCBRGR</t>
  </si>
  <si>
    <t>INF740KA1JX0</t>
  </si>
  <si>
    <t>DSP CORPORATE BOND FUND - REGULAR - GROWTH</t>
  </si>
  <si>
    <t>DSPDAAFRDP</t>
  </si>
  <si>
    <t>INF740K01K65</t>
  </si>
  <si>
    <t>DSP DYNAMIC ASSET ALLOCATION FUND - REGULAR PLAN - IDCW MONTHLY PAYOUT</t>
  </si>
  <si>
    <t>DSPDAAFRDR</t>
  </si>
  <si>
    <t>INF740K01K73</t>
  </si>
  <si>
    <t>DSP DYNAMIC ASSET ALLOCATION FUND - REGULAR PLAN - MONTHLY - IDCW REINVESTMENT</t>
  </si>
  <si>
    <t>DSPDAAFRG</t>
  </si>
  <si>
    <t>INF740K01K57</t>
  </si>
  <si>
    <t>DSP DYNAMIC ASSET ALLOCATION FUND - REGULAR - GROWTH</t>
  </si>
  <si>
    <t>DSPDYADGR</t>
  </si>
  <si>
    <t>INF740K01K81</t>
  </si>
  <si>
    <t>DSP DYNAMIC ASSET ALLOCATION FUND - DIR - GROWTH</t>
  </si>
  <si>
    <t>DSPEQDDP</t>
  </si>
  <si>
    <t>INF740K01PJ0</t>
  </si>
  <si>
    <t>DSP FLEXI CAP FUND - DIRECT PLAN - IDCW PAYOUT</t>
  </si>
  <si>
    <t>DSPEQDDR</t>
  </si>
  <si>
    <t>INF740K01PK8</t>
  </si>
  <si>
    <t>DSP FLEXI CAP FUND - DIRECT PLAN - IDCW REINVESTMENT</t>
  </si>
  <si>
    <t>DSPEQDGR</t>
  </si>
  <si>
    <t>INF740K01PI2</t>
  </si>
  <si>
    <t>DSP FLEXI CAP FUND - DIRECT PLAN - GROWTH</t>
  </si>
  <si>
    <t>DSPF25DDP</t>
  </si>
  <si>
    <t>INF740K01OC8</t>
  </si>
  <si>
    <t>DSP FOCUS FUND - DIRECT PLAN - IDCW PAYOUT</t>
  </si>
  <si>
    <t>DSPF25DDR</t>
  </si>
  <si>
    <t>INF740K01OD6</t>
  </si>
  <si>
    <t>DSP FOCUS FUND - DIRECT PLAN - IDCW REINVESTMENT</t>
  </si>
  <si>
    <t>DSPF25DGR</t>
  </si>
  <si>
    <t>INF740K01OB0</t>
  </si>
  <si>
    <t>DSP FOCUS FUND - DIRECT PLAN - GROWTH</t>
  </si>
  <si>
    <t>DSPFFDGR</t>
  </si>
  <si>
    <t>INF740KA1PV1</t>
  </si>
  <si>
    <t>DSP FLOATER FUND - DIRECT PLAN - GROWTH</t>
  </si>
  <si>
    <t>DSPFFRGR</t>
  </si>
  <si>
    <t>INF740KA1PS7</t>
  </si>
  <si>
    <t>DSP FLOATER FUND - REGULAR PLAN - GROWTH</t>
  </si>
  <si>
    <t>DSPHCDDP</t>
  </si>
  <si>
    <t>INF740KA1LH9</t>
  </si>
  <si>
    <t>DSP HEALTHCARE FUND - DIRECT - IDCW PAYOUT</t>
  </si>
  <si>
    <t>DSPHCDDR</t>
  </si>
  <si>
    <t>INF740KA1LI7</t>
  </si>
  <si>
    <t>DSP HEALTHCARE FUND - DIRECT - IDCW REINVESTMENT</t>
  </si>
  <si>
    <t>DSPHCDGR</t>
  </si>
  <si>
    <t>INF740KA1LG1</t>
  </si>
  <si>
    <t>DSP HEALTHCARE FUND - DIRECT - GROWTH</t>
  </si>
  <si>
    <t>DSPHCRDP</t>
  </si>
  <si>
    <t>INF740KA1LE6</t>
  </si>
  <si>
    <t>DSP HEALTHCARE FUND - REGULAR - IDCW PAYOUT</t>
  </si>
  <si>
    <t>DSPHCRDR</t>
  </si>
  <si>
    <t>INF740KA1LF3</t>
  </si>
  <si>
    <t>DSP HEALTHCARE FUND - REGULAR - IDCW REINVESTMENT</t>
  </si>
  <si>
    <t>DSPHCRGR</t>
  </si>
  <si>
    <t>INF740KA1LD8</t>
  </si>
  <si>
    <t>DSP HEALTHCARE FUND - REGULAR - GROWTH</t>
  </si>
  <si>
    <t>DSPMCRDDP</t>
  </si>
  <si>
    <t>INF740K01QE9</t>
  </si>
  <si>
    <t>DSP SMALL CAP FUND - DIRECT PLAN - IDCW PAYOUT</t>
  </si>
  <si>
    <t>DSPMCRDDR</t>
  </si>
  <si>
    <t>INF740K01QF6</t>
  </si>
  <si>
    <t>DSP SMALL CAP FUND - DIRECT PLAN - IDCW REINVESTMENT</t>
  </si>
  <si>
    <t>DSPMCRDGR</t>
  </si>
  <si>
    <t>INF740K01QD1</t>
  </si>
  <si>
    <t>DSP SMALL CAP FUND - DIRECT PLAN - GROWTH</t>
  </si>
  <si>
    <t>DSPMNYDGR</t>
  </si>
  <si>
    <t>INF740K01ON5</t>
  </si>
  <si>
    <t>DSP ULTRA SHORT FUND - DIRECT PLAN - GROWTH</t>
  </si>
  <si>
    <t>DSPNRNDDP</t>
  </si>
  <si>
    <t>INF740K01QB5</t>
  </si>
  <si>
    <t>DSP NATURAL RESOURCES AND NEW ENERGY FUND - DIRECT PLAN - IDCW PAYOUT</t>
  </si>
  <si>
    <t>DSPNRNDDR</t>
  </si>
  <si>
    <t>INF740K01QC3</t>
  </si>
  <si>
    <t>DSP NATURAL RESOURCES AND NEW ENERGY FUND - DIRECT PLAN - IDCW REINVESTMENT</t>
  </si>
  <si>
    <t>DSPNRNDGR</t>
  </si>
  <si>
    <t>INF740K01QA7</t>
  </si>
  <si>
    <t>DSP NATURAL RESOURCES AND NEW ENERGY FUND - DIRECT PLAN - GROWTH</t>
  </si>
  <si>
    <t>DSPOPPDDP</t>
  </si>
  <si>
    <t>INF740K01PM4</t>
  </si>
  <si>
    <t>DSP EQUITY OPPORTUNITIES FUND - DIRECT PLAN - IDCW PAYOUT</t>
  </si>
  <si>
    <t>DSPOPPDDR</t>
  </si>
  <si>
    <t>INF740K01PN2</t>
  </si>
  <si>
    <t>DSP EQUITY OPPORTUNITIES FUND - DIRECT PLAN - IDCW REINVESTMENT</t>
  </si>
  <si>
    <t>DSPOPPDGR</t>
  </si>
  <si>
    <t>INF740K01PL6</t>
  </si>
  <si>
    <t>DSP EQUITY OPPORTUNITIES FUND - DIRECT PLAN - GROWTH</t>
  </si>
  <si>
    <t>DSPQFDDP</t>
  </si>
  <si>
    <t>INF740KA1NR4</t>
  </si>
  <si>
    <t>DSP QUANT FUND - DIR - IDCW PAYOUT</t>
  </si>
  <si>
    <t>DSPQFDDR</t>
  </si>
  <si>
    <t>INF740KA1NS2</t>
  </si>
  <si>
    <t>DSP QUANT FUND - DIR - IDCW REINVESTMENT</t>
  </si>
  <si>
    <t>DSPQFDGR</t>
  </si>
  <si>
    <t>INF740KA1NQ6</t>
  </si>
  <si>
    <t>DSP QUANT FUND - DIR - GROWTH</t>
  </si>
  <si>
    <t>DSPQFRDP</t>
  </si>
  <si>
    <t>INF740KA1NO1</t>
  </si>
  <si>
    <t>DSP QUANT FUND - REG - IDCW PAYOUT</t>
  </si>
  <si>
    <t>DSPQFRDR</t>
  </si>
  <si>
    <t>INF740KA1NP8</t>
  </si>
  <si>
    <t>DSP QUANT FUND - REG - IDCW REINVESTMENT</t>
  </si>
  <si>
    <t>DSPQFRGR</t>
  </si>
  <si>
    <t>INF740KA1NN3</t>
  </si>
  <si>
    <t>DSP QUANT FUND - REG - GROWTH</t>
  </si>
  <si>
    <t>DSPSB</t>
  </si>
  <si>
    <t>INF740K01GK7</t>
  </si>
  <si>
    <t>DSP STRATEGIC BOND FUND - REGULAR PLAN - GROWTH</t>
  </si>
  <si>
    <t>DSPSMCDDP</t>
  </si>
  <si>
    <t>INF740K01PY9</t>
  </si>
  <si>
    <t>DSP MIDCAP FUND - DIRECT PLAN - IDCW PAYOUT</t>
  </si>
  <si>
    <t>DSPSMCDDR</t>
  </si>
  <si>
    <t>INF740K01PZ6</t>
  </si>
  <si>
    <t>DSP MIDCAP FUND - DIRECT PLAN - IDCW REINVESTMENT</t>
  </si>
  <si>
    <t>DSPSMCDGR</t>
  </si>
  <si>
    <t>INF740K01PX1</t>
  </si>
  <si>
    <t>DSP MIDCAP FUND - DIRECT PLAN - GROWTH</t>
  </si>
  <si>
    <t>DSPSTBDGR</t>
  </si>
  <si>
    <t>INF740K01QG4</t>
  </si>
  <si>
    <t>DSP STRATEGIC BOND FUND - DIRECT PLAN - GROWTH</t>
  </si>
  <si>
    <t>DSPSTDGR</t>
  </si>
  <si>
    <t>INF740K01NJ5</t>
  </si>
  <si>
    <t>DSP SHORT TERM FUND - DIRECT PLAN - GROWTH</t>
  </si>
  <si>
    <t>DSPTGRDDP</t>
  </si>
  <si>
    <t>INF740K01PV5</t>
  </si>
  <si>
    <t>DSP INDIA T.I.G.E.R. FUND - DIRECT PLAN - IDCW PAYOUT</t>
  </si>
  <si>
    <t>DSPTGRDDR</t>
  </si>
  <si>
    <t>INF740K01PW3</t>
  </si>
  <si>
    <t>DSP INDIA T.I.G.E.R. FUND - DIRECT PLAN - IDCW REINVESTMENT</t>
  </si>
  <si>
    <t>DSPTGRDGR</t>
  </si>
  <si>
    <t>INF740K01PU7</t>
  </si>
  <si>
    <t>DSP INDIA T.I.G.E.R. FUND - DIRECT PLAN - GROWTH</t>
  </si>
  <si>
    <t>DSPTOPDDP</t>
  </si>
  <si>
    <t>INF740K01PS1</t>
  </si>
  <si>
    <t>DSP TOP 100 EQUITY FUND - DIRECT PLAN - IDCW PAYOUT</t>
  </si>
  <si>
    <t>DSPTOPDDR</t>
  </si>
  <si>
    <t>INF740K01PT9</t>
  </si>
  <si>
    <t>DSP TOP 100 EQUITY FUND - DIRECT PLAN - IDCW REINVESTMENT</t>
  </si>
  <si>
    <t>DSPTOPDGR</t>
  </si>
  <si>
    <t>INF740K01PR3</t>
  </si>
  <si>
    <t>DSP TOP 100 EQUITY FUND - DIRECT PLAN - GROWTH</t>
  </si>
  <si>
    <t>DSPUFEDDP</t>
  </si>
  <si>
    <t>INF740K01OI5</t>
  </si>
  <si>
    <t>DSP US FLEXIBLE EQUITY FUND - DIRECT PLAN - IDCW PAYOUT</t>
  </si>
  <si>
    <t>DSPUFEDDR</t>
  </si>
  <si>
    <t>INF740K01OJ3</t>
  </si>
  <si>
    <t>DSP US FLEXIBLE EQUITY FUND - DIRECT PLAN - IDCW REINVESTMENT</t>
  </si>
  <si>
    <t>DSPUFEDGR</t>
  </si>
  <si>
    <t>INF740K01OH7</t>
  </si>
  <si>
    <t>DSP US FLEXIBLE EQUITY FUND - DIRECT PLAN - GROWTH</t>
  </si>
  <si>
    <t>DSPUFEDP</t>
  </si>
  <si>
    <t>INF740K01LQ4</t>
  </si>
  <si>
    <t>DSP US FLEXIBLE EQUITY FUND - IDCW REINVESTMENT</t>
  </si>
  <si>
    <t>DSPUFEG</t>
  </si>
  <si>
    <t>INF740K01LP6</t>
  </si>
  <si>
    <t>DSP US FLEXIBLE EQUITY FUND - GROWTH</t>
  </si>
  <si>
    <t>DSPUSTDGR</t>
  </si>
  <si>
    <t>INF740K013Q1</t>
  </si>
  <si>
    <t>DSP LOW DURATION FUND - DIRECT PLAN - GROWTH</t>
  </si>
  <si>
    <t>DSPUSTRGR</t>
  </si>
  <si>
    <t>INF740K018P2</t>
  </si>
  <si>
    <t>DSP LOW DURATION FUND - REGULAR PLAN - GROWTH</t>
  </si>
  <si>
    <t>DSPVFDGR</t>
  </si>
  <si>
    <t>INF740KA1PP3</t>
  </si>
  <si>
    <t>DSP VALUE FUND - DIRECT PLAN - GROWTH</t>
  </si>
  <si>
    <t>DSPVFRDP</t>
  </si>
  <si>
    <t>INF740KA1PN8</t>
  </si>
  <si>
    <t>DSP VALUE FUND - REGULAR PLAN - IDCW PAYOUT</t>
  </si>
  <si>
    <t>DSPVFRDR</t>
  </si>
  <si>
    <t>INF740KA1PO6</t>
  </si>
  <si>
    <t>DSP VALUE FUND - REGULAR PLAN - IDCW REINVESTMENT</t>
  </si>
  <si>
    <t>DSPVFRGR</t>
  </si>
  <si>
    <t>INF740KA1PM0</t>
  </si>
  <si>
    <t>DSP VALUE FUND - REGULAR PLAN - GROWTH</t>
  </si>
  <si>
    <t>DSPWGFGR</t>
  </si>
  <si>
    <t>INF740K01OZ9</t>
  </si>
  <si>
    <t>DSP WORLD GOLD FUND - DIRECT PLAN - GROWTH</t>
  </si>
  <si>
    <t>EARE</t>
  </si>
  <si>
    <t>INF754K01285</t>
  </si>
  <si>
    <t>EDELWEISS BALANCED ADVANTAGE FUND - GROWTH OPTION</t>
  </si>
  <si>
    <t>INF754K01251</t>
  </si>
  <si>
    <t>EDELWEISS BALANCED ADVANTAGE FUND - QUARTERLY IDCW PAYOUT</t>
  </si>
  <si>
    <t>INF754K01269</t>
  </si>
  <si>
    <t>EDELWEISS BALANCED ADVANTAGE FUND -QUARTERLY IDCW REINVESTMENT</t>
  </si>
  <si>
    <t>EMFARBMDDP</t>
  </si>
  <si>
    <t>INF754K01HW1</t>
  </si>
  <si>
    <t>EDELWEISS ARBITRAGE FUND-DIRECT PLAN-MONTHLY IDCW PAYOUT</t>
  </si>
  <si>
    <t>EMFARBMDDR</t>
  </si>
  <si>
    <t>INF754K01HX9</t>
  </si>
  <si>
    <t>EDELWEISS ARBITRAGE FUND-DIRECT PLAN-MONTHLY IDCW REINVESTMENT</t>
  </si>
  <si>
    <t>EMFARBMDRP</t>
  </si>
  <si>
    <t>INF754K01HT7</t>
  </si>
  <si>
    <t>EDELWEISS ARBITRAGE FUND-REGULAR PLAN-MONTHLY IDCW PAYOUT</t>
  </si>
  <si>
    <t>EMFARBMDRR</t>
  </si>
  <si>
    <t>INF754K01HU5</t>
  </si>
  <si>
    <t>EDELWEISS ARBITRAGE FUND-REGULAR PLAN-MONTHLY IDCW REINVESTMENT</t>
  </si>
  <si>
    <t>EMFDARMDDP</t>
  </si>
  <si>
    <t>INF754K01IH0</t>
  </si>
  <si>
    <t>EDELWEISS BALANCED ADVANTAGE FUND-DIRECT PLAN MONTHLY IDCW PAYOUT</t>
  </si>
  <si>
    <t>EMFDARMDDR</t>
  </si>
  <si>
    <t>INF754K01II8</t>
  </si>
  <si>
    <t>EDELWEISS BALANCED ADVANTAGE FUND-DIRECT PLAN MONTHLY IDCW REINVESTMENT</t>
  </si>
  <si>
    <t>EMFDARMDRP</t>
  </si>
  <si>
    <t>INF754K01IK4</t>
  </si>
  <si>
    <t>EDELWEISS BALANCED ADVANTAGE FUND-REGULAR PLAN MONTHLY IDCW PAYOUT</t>
  </si>
  <si>
    <t>EMFDARMDRR</t>
  </si>
  <si>
    <t>INF754K01IL2</t>
  </si>
  <si>
    <t>EDELWEISS BALANCED ADVANTAGE FUND-REGULAR PLAN MONTHLY IDCW REINVESTMENT</t>
  </si>
  <si>
    <t>EMFMODDP</t>
  </si>
  <si>
    <t>INF754K01MM2</t>
  </si>
  <si>
    <t>EDELWEISS RECENTLY LISTED IPO FUND - DIRECT PLAN - IDCW - PAYOUT</t>
  </si>
  <si>
    <t>EMFMODDR</t>
  </si>
  <si>
    <t>INF754K01MN0</t>
  </si>
  <si>
    <t>EDELWEISS RECENTLY LISTED IPO FUND - DIRECT PLAN - IDCW - REINVESTMENT</t>
  </si>
  <si>
    <t>EMFMODGG</t>
  </si>
  <si>
    <t>INF754K01ML4</t>
  </si>
  <si>
    <t>EDELWEISS RECENTLY LISTED IPO FUND - DIRECT PLAN - GROWTH</t>
  </si>
  <si>
    <t>EMFMORDP</t>
  </si>
  <si>
    <t>INF754K01MI0</t>
  </si>
  <si>
    <t>EDELWEISS RECENTLY LISTED IPO FUND - REGULAR PLAN - IDCW - PAYOUT</t>
  </si>
  <si>
    <t>EMFMORDR</t>
  </si>
  <si>
    <t>INF754K01MJ8</t>
  </si>
  <si>
    <t>EDELWEISS RECENTLY LISTED IPO FUND - REGULAR PLAN - IDCW - REINVESTMENT</t>
  </si>
  <si>
    <t>EMFMORGG</t>
  </si>
  <si>
    <t>INF754K01MH2</t>
  </si>
  <si>
    <t>EDELWEISS RECENTLY LISTED IPO FUND - REGULAR PLAN - GROWTH</t>
  </si>
  <si>
    <t>EMFMSD1G</t>
  </si>
  <si>
    <t>INF843K01AO4</t>
  </si>
  <si>
    <t>EDELWEISS MID CAP FUND - DIRECT PLAN GROWTH OPTION</t>
  </si>
  <si>
    <t>EMFO23DRGP</t>
  </si>
  <si>
    <t>INF754K01KS3</t>
  </si>
  <si>
    <t>BHARAT BOND FOF - APRIL 2023 - DIRECT PLAN - GROWTH</t>
  </si>
  <si>
    <t>EMFO23RPDP</t>
  </si>
  <si>
    <t>INF754K01KR5</t>
  </si>
  <si>
    <t>BHARAT BOND FOF - APRIL 2023 - REGULAR PLAN - IDCW REINVESTMENT</t>
  </si>
  <si>
    <t>EMFO23RPDR</t>
  </si>
  <si>
    <t>INF754K01KP9</t>
  </si>
  <si>
    <t>BHARAT BOND FOF - APRIL 2023 - REGULAR PLAN - GROWTH</t>
  </si>
  <si>
    <t>EMFO23RPGP</t>
  </si>
  <si>
    <t>INF754K01KQ7</t>
  </si>
  <si>
    <t>BHARAT BOND FOF - APRIL 2023 - REGULAR PLAN - IDCW PAYOUT</t>
  </si>
  <si>
    <t>EMFO25DRGP</t>
  </si>
  <si>
    <t>INF754K01LI2</t>
  </si>
  <si>
    <t>BHARAT BOND FOF - APRIL 2025 - DIRECT PLAN - GROWTH</t>
  </si>
  <si>
    <t>EMFO25RPDP</t>
  </si>
  <si>
    <t>INF754K01LH4</t>
  </si>
  <si>
    <t>BHARAT BOND FOF - APRIL 2025 - REGULAR PLAN - IDCW REINVESTMENT</t>
  </si>
  <si>
    <t>EMFO25RPDR</t>
  </si>
  <si>
    <t>INF754K01LF8</t>
  </si>
  <si>
    <t>BHARAT BOND FOF - APRIL 2025 - REGULAR PLAN - GROWTH</t>
  </si>
  <si>
    <t>EMFO25RPGP</t>
  </si>
  <si>
    <t>INF754K01LG6</t>
  </si>
  <si>
    <t>BHARAT BOND FOF - APRIL 2025 - REGULAR PLAN - IDCW PAYOUT</t>
  </si>
  <si>
    <t>EMFO30DRDP</t>
  </si>
  <si>
    <t>INF754K01KZ8</t>
  </si>
  <si>
    <t>BHARAT BOND FOF - APRIL 2030 - DIRECT PLAN - IDCW PAYOUT</t>
  </si>
  <si>
    <t>EMFO30DRDR</t>
  </si>
  <si>
    <t>INF754K01LA9</t>
  </si>
  <si>
    <t>BHARAT BOND FOF - APRIL 2030 - DIRECT PLAN - IDCW REINVESTMENT</t>
  </si>
  <si>
    <t>EMFO30DRGP</t>
  </si>
  <si>
    <t>INF754K01KY1</t>
  </si>
  <si>
    <t>BHARAT BOND FOF - APRIL 2030 - DIRECT PLAN - GROWTH</t>
  </si>
  <si>
    <t>EMFO30RPDP</t>
  </si>
  <si>
    <t>INF754K01KX3</t>
  </si>
  <si>
    <t>BHARAT BOND FOF - APRIL 2030 - REGULAR PLAN - IDCW REINVESTMENT</t>
  </si>
  <si>
    <t>EMFO30RPDR</t>
  </si>
  <si>
    <t>INF754K01KV7</t>
  </si>
  <si>
    <t>BHARAT BOND FOF - APRIL 2030 - REGULAR PLAN - GROWTH</t>
  </si>
  <si>
    <t>EMFO30RPGP</t>
  </si>
  <si>
    <t>INF754K01KW5</t>
  </si>
  <si>
    <t>BHARAT BOND FOF - APRIL 2030 - REGULAR PLAN - IDCW PAYOUT</t>
  </si>
  <si>
    <t>EMFO31DRGP</t>
  </si>
  <si>
    <t>INF754K01LO0</t>
  </si>
  <si>
    <t>BHARAT BOND FOF - APRIL 2031 - DIRECT PLAN - GROWTH</t>
  </si>
  <si>
    <t>EMFO31RPDP</t>
  </si>
  <si>
    <t>INF754K01LN2</t>
  </si>
  <si>
    <t>BHARAT BOND FOF - APRIL 2031 - REGULAR PLAN - IDCW REINVESTMENT</t>
  </si>
  <si>
    <t>EMFO31RPDR</t>
  </si>
  <si>
    <t>INF754K01LL6</t>
  </si>
  <si>
    <t>BHARAT BOND FOF - APRIL 2031 - REGULAR PLAN - GROWTH</t>
  </si>
  <si>
    <t>EMFO31RPGP</t>
  </si>
  <si>
    <t>INF754K01LM4</t>
  </si>
  <si>
    <t>BHARAT BOND FOF - APRIL 2031 - REGULAR PLAN - IDCW PAYOUT</t>
  </si>
  <si>
    <t>EMFP6DRDP</t>
  </si>
  <si>
    <t>INF754K01ME9</t>
  </si>
  <si>
    <t>EDELWEISS NIFTY PSU BOND PLUS SDL INDEX FUND - 2026 - DIRECT PLAN - IDCW PAYOUT</t>
  </si>
  <si>
    <t>EMFP6DRDR</t>
  </si>
  <si>
    <t>INF754K01MF6</t>
  </si>
  <si>
    <t>EDELWEISS NIFTY PSU BOND PLUS SDL INDEX FUND - 2026 - DIRECT PLAN - IDCW REINVESTMENT</t>
  </si>
  <si>
    <t>EMFP6DRGP</t>
  </si>
  <si>
    <t>INF754K01MD1</t>
  </si>
  <si>
    <t>EDELWEISS NIFTY PSU BOND PLUS SDL INDEX FUND - 2026 - DIRECT PLAN - GROWTH</t>
  </si>
  <si>
    <t>EMFP6RPGP</t>
  </si>
  <si>
    <t>INF754K01LZ6</t>
  </si>
  <si>
    <t>EDELWEISS NIFTY PSU BOND PLUS SDL INDEX FUND - 2026 - REGULAR PLAN - GROWTH</t>
  </si>
  <si>
    <t>EMFSCFDRDP</t>
  </si>
  <si>
    <t>INF754K01JO4</t>
  </si>
  <si>
    <t>EDELWEISS SMALL CAP FUND - DIRECT PLAN - IDCW PAYOUT</t>
  </si>
  <si>
    <t>EMFSCFDRDR</t>
  </si>
  <si>
    <t>INF754K01JP1</t>
  </si>
  <si>
    <t>EDELWEISS SMALL CAP FUND - DIRECT PLAN - IDCW REINVESTMENT</t>
  </si>
  <si>
    <t>EMFSCFDRGP</t>
  </si>
  <si>
    <t>INF754K01JN6</t>
  </si>
  <si>
    <t>EDELWEISS SMALL CAP FUND - DIRECT PLAN - GROWTH</t>
  </si>
  <si>
    <t>EMFSCFRGDP</t>
  </si>
  <si>
    <t>INF754K01JK2</t>
  </si>
  <si>
    <t>EDELWEISS SMALL CAP FUND - REGULAR PLAN - IDCW PAYOUT</t>
  </si>
  <si>
    <t>EMFSCFRGDR</t>
  </si>
  <si>
    <t>INF754K01JL0</t>
  </si>
  <si>
    <t>EDELWEISS SMALL CAP FUND - REGULAR PLAN - IDCW REINVESTMENT</t>
  </si>
  <si>
    <t>EMFSCFRGGR</t>
  </si>
  <si>
    <t>INF754K01JJ4</t>
  </si>
  <si>
    <t>EDELWEISS SMALL CAP FUND - REGULAR PLAN - GROWTH</t>
  </si>
  <si>
    <t>EQD2G</t>
  </si>
  <si>
    <t>INF789F01TC4</t>
  </si>
  <si>
    <t>UTI FLEXI CAP FUND-DIRECT PLAN-GROWTH</t>
  </si>
  <si>
    <t>EUSTCDRG</t>
  </si>
  <si>
    <t>INF754K01LB7</t>
  </si>
  <si>
    <t>EDELWEISS US TECHNOLOGY EQUITY FUND OF FUND-DIRECT PLAN-GROWTH</t>
  </si>
  <si>
    <t>EUSTCRRG</t>
  </si>
  <si>
    <t>INF754K01LC5</t>
  </si>
  <si>
    <t>EDELWEISS US TECHNOLOGY EQUITY FUND OF FUND-REGULAR PLAN-GROWTH</t>
  </si>
  <si>
    <t>FBIFDDP</t>
  </si>
  <si>
    <t>INF090I01JD0</t>
  </si>
  <si>
    <t>FRANKLIN BUILD INDIA FUND - DIRECT IDCW PAYOUT</t>
  </si>
  <si>
    <t>FBIFDDR</t>
  </si>
  <si>
    <t>INF090I01JE8</t>
  </si>
  <si>
    <t>FBIFDGP</t>
  </si>
  <si>
    <t>INF090I01JF5</t>
  </si>
  <si>
    <t>FRANKLIN BUILD INDIA FUND - DIRECT GROWTH</t>
  </si>
  <si>
    <t>FBIFDP</t>
  </si>
  <si>
    <t>INF090I01AC1</t>
  </si>
  <si>
    <t>FRANKLIN BUILD INDIA FUND-IDCW PAYOUT</t>
  </si>
  <si>
    <t>FBIFDR</t>
  </si>
  <si>
    <t>INF090I01AD9</t>
  </si>
  <si>
    <t>FBIFGP</t>
  </si>
  <si>
    <t>INF090I01AE7</t>
  </si>
  <si>
    <t>FRANKLIN BUILD INDIA FUND-GROWTH</t>
  </si>
  <si>
    <t>FCADP</t>
  </si>
  <si>
    <t>INF917K01TW9</t>
  </si>
  <si>
    <t>L&amp;T HYBRID EQUITY FUND - ANNUAL IDCW PAYOUT</t>
  </si>
  <si>
    <t>FCPAD</t>
  </si>
  <si>
    <t>INF917K01TV1</t>
  </si>
  <si>
    <t>FCPED</t>
  </si>
  <si>
    <t>INF917K01LA2</t>
  </si>
  <si>
    <t>L&amp;T HYBRID EQUITY FUND - IDCW REINVESTENT</t>
  </si>
  <si>
    <t>FCPEG</t>
  </si>
  <si>
    <t>INF917K01LB0</t>
  </si>
  <si>
    <t>L&amp;T HYBRID EQUITY FUND - GROWTH</t>
  </si>
  <si>
    <t>FCPEP</t>
  </si>
  <si>
    <t>INF917K01KZ1</t>
  </si>
  <si>
    <t>L&amp;T HYBRID EQUITY FUND - IDCW PAYOUT</t>
  </si>
  <si>
    <t>FCPMD</t>
  </si>
  <si>
    <t>INF917K01KY4</t>
  </si>
  <si>
    <t>L&amp;T BALANCED ADVANTAGE FUND - GROWTH</t>
  </si>
  <si>
    <t>FCPMG</t>
  </si>
  <si>
    <t>INF917K01KX6</t>
  </si>
  <si>
    <t>L&amp;T BALANCED ADVANTAGE FUND - IDCW REINVESTENT</t>
  </si>
  <si>
    <t>FCPMP</t>
  </si>
  <si>
    <t>INF917K01KW8</t>
  </si>
  <si>
    <t>L&amp;T BALANCED ADVANTAGE FUND - IDCW PAYOUT</t>
  </si>
  <si>
    <t>FEF-D</t>
  </si>
  <si>
    <t>INF677K01056</t>
  </si>
  <si>
    <t>L&amp;T FLEXICAP FUND - IDCW REINVESTENT</t>
  </si>
  <si>
    <t>FEF-G</t>
  </si>
  <si>
    <t>INF677K01031</t>
  </si>
  <si>
    <t>L&amp;T FLEXICAP FUND - GROWTH</t>
  </si>
  <si>
    <t>FEF-P</t>
  </si>
  <si>
    <t>INF677K01049</t>
  </si>
  <si>
    <t>L&amp;T FLEXICAP FUND - IDCW PAYOUT</t>
  </si>
  <si>
    <t>FFIG</t>
  </si>
  <si>
    <t>INF223J01FK8</t>
  </si>
  <si>
    <t>PGIM INDIA ULTRA SHORT DURATION FUND REGULAR PLAN - GROWTH</t>
  </si>
  <si>
    <t>FFUSOFDDP</t>
  </si>
  <si>
    <t>INF090I01JP4</t>
  </si>
  <si>
    <t>FRANKLIN INDIA FEEDER - FRANKLIN U.S. OPPORTUNITIES FUND - DIRECT IDCW PAYOUT</t>
  </si>
  <si>
    <t>FFUSOFDDR</t>
  </si>
  <si>
    <t>INF090I01JQ2</t>
  </si>
  <si>
    <t>FFUSOFDGR</t>
  </si>
  <si>
    <t>INF090I01JR0</t>
  </si>
  <si>
    <t>FRANKLIN INDIA FEEDER - FRANKLIN U.S. OPPORTUNITIES FUND - DIRECT GROWTH</t>
  </si>
  <si>
    <t>FFUSOFDP</t>
  </si>
  <si>
    <t>INF090I01EV3</t>
  </si>
  <si>
    <t>FRANKLIN INDIA FEEDER - FRANKLIN U.S. OPPORTUNITIES FUND - IDCW PAYOUT</t>
  </si>
  <si>
    <t>FFUSOFDR</t>
  </si>
  <si>
    <t>INF090I01EU5</t>
  </si>
  <si>
    <t>FFUSOFGR</t>
  </si>
  <si>
    <t>INF090I01EW1</t>
  </si>
  <si>
    <t>FRANKLIN INDIA FEEDER - FRANKLIN U.S. OPPORTUNITIES FUND - GROWTH</t>
  </si>
  <si>
    <t>FIBCFDDP</t>
  </si>
  <si>
    <t>INF090I01FO5</t>
  </si>
  <si>
    <t>FRANKLIN INDIA BLUECHIP FUND - DIRECT IDCW PAYOUT</t>
  </si>
  <si>
    <t>FIBCFDDR</t>
  </si>
  <si>
    <t>INF090I01FP2</t>
  </si>
  <si>
    <t>FIBCFDGP</t>
  </si>
  <si>
    <t>INF090I01FN7</t>
  </si>
  <si>
    <t>FRANKLIN INDIA BLUECHIP FUND - DIRECT GROWTH</t>
  </si>
  <si>
    <t>FIBCFDP</t>
  </si>
  <si>
    <t>INF090I01155</t>
  </si>
  <si>
    <t>FRANKLIN INDIA BLUECHIP FUND - IDCW PAYOUT</t>
  </si>
  <si>
    <t>FIBCFDR</t>
  </si>
  <si>
    <t>INF090I01163</t>
  </si>
  <si>
    <t>FIBCFGP</t>
  </si>
  <si>
    <t>INF090I01171</t>
  </si>
  <si>
    <t>FRANKLIN INDIA BLUECHIP FUND - GROWTH</t>
  </si>
  <si>
    <t>FIBPDFDGP</t>
  </si>
  <si>
    <t>INF090I01KR8</t>
  </si>
  <si>
    <t>FRANKLIN INDIA BANKING AND PSU DEBT FUND - DIRECT GROWTH</t>
  </si>
  <si>
    <t>FIBPDFDP</t>
  </si>
  <si>
    <t>INF090I01KP2</t>
  </si>
  <si>
    <t>FRANKLIN INDIA BANKING AND PSU DEBT FUND -IDCW PAYOUT</t>
  </si>
  <si>
    <t>FIBPDFDR</t>
  </si>
  <si>
    <t>INF090I01KQ0</t>
  </si>
  <si>
    <t>FIBPDFGP</t>
  </si>
  <si>
    <t>INF090I01KO5</t>
  </si>
  <si>
    <t>FRANKLIN INDIA BANKING AND PSU DEBT FUND -GROWTH</t>
  </si>
  <si>
    <t>FIFCAPDDP</t>
  </si>
  <si>
    <t>INF090I01IL5</t>
  </si>
  <si>
    <t>FRANKLIN INDIA EQUITY ADVANTAGE FUND - DIRECT IDCW PAYOUT</t>
  </si>
  <si>
    <t>FIFCAPDDR</t>
  </si>
  <si>
    <t>INF090I01IM3</t>
  </si>
  <si>
    <t>FIFCAPDGP</t>
  </si>
  <si>
    <t>INF090I01IN1</t>
  </si>
  <si>
    <t>FRANKLIN INDIA EQUITY ADVANTAGE FUND - DIRECT GROWTH</t>
  </si>
  <si>
    <t>FIFCAPDP</t>
  </si>
  <si>
    <t>INF090I01189</t>
  </si>
  <si>
    <t>FRANKLIN INDIA EQUITY ADVANTAGE FUND - IDCW PAYOUT</t>
  </si>
  <si>
    <t>FIFCAPDR</t>
  </si>
  <si>
    <t>INF090I01197</t>
  </si>
  <si>
    <t>FIFCAPGP</t>
  </si>
  <si>
    <t>INF090I01205</t>
  </si>
  <si>
    <t>FRANKLIN INDIA EQUITY ADVANTAGE FUND - GROWTH</t>
  </si>
  <si>
    <t>FIFDDP</t>
  </si>
  <si>
    <t>INF090I01FF3</t>
  </si>
  <si>
    <t>FRANKLIN INDIA TECHNOLOGY FUND - DIRECT IDCW PAYOUT</t>
  </si>
  <si>
    <t>FIFDDR</t>
  </si>
  <si>
    <t>INF090I01FG1</t>
  </si>
  <si>
    <t>FIFDGP</t>
  </si>
  <si>
    <t>INF090I01FE6</t>
  </si>
  <si>
    <t>FRANKLIN INDIA TECHNOLOGY FUND - DIRECT GROWTH</t>
  </si>
  <si>
    <t>FIFDP</t>
  </si>
  <si>
    <t>INF090I01759</t>
  </si>
  <si>
    <t>FRANKLIN INDIA TECHNOLOGY FUND - IDCW PAYOUT</t>
  </si>
  <si>
    <t>FIFDR</t>
  </si>
  <si>
    <t>INF090I01767</t>
  </si>
  <si>
    <t>FIFGP</t>
  </si>
  <si>
    <t>INF090I01742</t>
  </si>
  <si>
    <t>FRANKLIN INDIA TECHNOLOGY FUND - GROWTH</t>
  </si>
  <si>
    <t>FIGFD</t>
  </si>
  <si>
    <t>INF677K01171</t>
  </si>
  <si>
    <t>L&amp;T INDIA LARGE CAP FUND - IDCW REINVESTENT</t>
  </si>
  <si>
    <t>FIGFG</t>
  </si>
  <si>
    <t>INF677K01155</t>
  </si>
  <si>
    <t>L&amp;T INDIA LARGE CAP FUND - GROWTH</t>
  </si>
  <si>
    <t>FIGFP</t>
  </si>
  <si>
    <t>INF677K01163</t>
  </si>
  <si>
    <t>L&amp;T INDIA LARGE CAP FUND - IDCW PAYOUT</t>
  </si>
  <si>
    <t>FIHGCFDDP</t>
  </si>
  <si>
    <t>INF090I01IU6</t>
  </si>
  <si>
    <t>FRANKLIN INDIA FOCUSED EQUITY FUND - DIRECT IDCW PAYOUT</t>
  </si>
  <si>
    <t>FIHGCFDDR</t>
  </si>
  <si>
    <t>INF090I01IV4</t>
  </si>
  <si>
    <t>FIHGCFDGP</t>
  </si>
  <si>
    <t>INF090I01IW2</t>
  </si>
  <si>
    <t>FRANKLIN INDIA FOCUSED EQUITY FUND - DIRECT GROWTH</t>
  </si>
  <si>
    <t>FIHGCFDP</t>
  </si>
  <si>
    <t>INF090I01965</t>
  </si>
  <si>
    <t>FRANKLIN INDIA FOCUSED EQUITY FUND-IDCW PAYOUT</t>
  </si>
  <si>
    <t>FIHGCFDR</t>
  </si>
  <si>
    <t>INF090I01973</t>
  </si>
  <si>
    <t>FIHGCFGP</t>
  </si>
  <si>
    <t>INF090I01981</t>
  </si>
  <si>
    <t>FRANKLIN INDIA FOCUSED EQUITY FUND-GROWTH</t>
  </si>
  <si>
    <t>FIOFDDP</t>
  </si>
  <si>
    <t>INF090I01GD6</t>
  </si>
  <si>
    <t>FRANKLIN INDIA OPPORTUNITIES FUND - DIRECT IDCW PAYOUT</t>
  </si>
  <si>
    <t>FIOFDDR</t>
  </si>
  <si>
    <t>INF090I01GE4</t>
  </si>
  <si>
    <t>FIOFDGP</t>
  </si>
  <si>
    <t>INF090I01GC8</t>
  </si>
  <si>
    <t>FRANKLIN INDIA OPPORTUNITIES FUND - DIRECT GROWTH</t>
  </si>
  <si>
    <t>FIOFDP</t>
  </si>
  <si>
    <t>INF090I01858</t>
  </si>
  <si>
    <t>FRANKLIN INDIA OPPORTUNITIES FUND-IDCW PAYOUT</t>
  </si>
  <si>
    <t>FIOFDR</t>
  </si>
  <si>
    <t>INF090I01866</t>
  </si>
  <si>
    <t>FIOFGP</t>
  </si>
  <si>
    <t>INF090I01841</t>
  </si>
  <si>
    <t>FRANKLIN INDIA OPPORTUNITIES FUND-GROWTH</t>
  </si>
  <si>
    <t>FIPFDDP</t>
  </si>
  <si>
    <t>INF090I01FI7</t>
  </si>
  <si>
    <t>FRANKLIN INDIA PRIMA FUND - DIRECT IDCW PAYOUT</t>
  </si>
  <si>
    <t>FIPFDDR</t>
  </si>
  <si>
    <t>INF090I01FJ5</t>
  </si>
  <si>
    <t>FIPFDGP</t>
  </si>
  <si>
    <t>INF090I01FH9</t>
  </si>
  <si>
    <t>FRANKLIN INDIA PRIMA FUND - DIRECT GROWTH</t>
  </si>
  <si>
    <t>FIPFDP</t>
  </si>
  <si>
    <t>INF090I01726</t>
  </si>
  <si>
    <t>FRANKLIN INDIA PRIMA FUND-IDCW PAYOUT</t>
  </si>
  <si>
    <t>FIPFDR</t>
  </si>
  <si>
    <t>INF090I01734</t>
  </si>
  <si>
    <t>FIPFGP</t>
  </si>
  <si>
    <t>INF090I01809</t>
  </si>
  <si>
    <t>FRANKLIN INDIA PRIMA FUND-GROWTH</t>
  </si>
  <si>
    <t>FIPPDDP</t>
  </si>
  <si>
    <t>INF090I01FL1</t>
  </si>
  <si>
    <t>FRANKLIN INDIA FLEXI CAP FUND - DIRECT IDCW PAYOUT</t>
  </si>
  <si>
    <t>FIPPDDR</t>
  </si>
  <si>
    <t>INF090I01FM9</t>
  </si>
  <si>
    <t>FIPPDGP</t>
  </si>
  <si>
    <t>INF090I01FK3</t>
  </si>
  <si>
    <t>FRANKLIN INDIA FLEXI CAP FUND - DIRECT GROWTH</t>
  </si>
  <si>
    <t>FIPPDP</t>
  </si>
  <si>
    <t>INF090I01213</t>
  </si>
  <si>
    <t>FRANKLIN INDIA FLEXI CAP FUND - IDCW PAYOUT</t>
  </si>
  <si>
    <t>FIPPDR</t>
  </si>
  <si>
    <t>INF090I01221</t>
  </si>
  <si>
    <t>FIPPGP</t>
  </si>
  <si>
    <t>INF090I01239</t>
  </si>
  <si>
    <t>FRANKLIN INDIA FLEXI CAP FUND - GROWTH</t>
  </si>
  <si>
    <t>FISCFDDP</t>
  </si>
  <si>
    <t>INF090I01IO9</t>
  </si>
  <si>
    <t>FRANKLIN INDIA SMALLER COMPANIES FUND - DIRECT IDCW PAYOUT</t>
  </si>
  <si>
    <t>FISCFDDR</t>
  </si>
  <si>
    <t>INF090I01IP6</t>
  </si>
  <si>
    <t>FISCFDGP</t>
  </si>
  <si>
    <t>INF090I01IQ4</t>
  </si>
  <si>
    <t>FRANKLIN INDIA SMALLER COMPANIES FUND - DIRECT GROWTH</t>
  </si>
  <si>
    <t>FISCFDP</t>
  </si>
  <si>
    <t>INF090I01544</t>
  </si>
  <si>
    <t>FRANKLIN INDIA SMALLER COMPANIES FUND-IDCW PAYOUT</t>
  </si>
  <si>
    <t>FISCFDR</t>
  </si>
  <si>
    <t>INF090I01551</t>
  </si>
  <si>
    <t>FISCFGP</t>
  </si>
  <si>
    <t>INF090I01569</t>
  </si>
  <si>
    <t>FRANKLIN INDIA SMALLER COMPANIES FUND-GROWTH</t>
  </si>
  <si>
    <t>FISSD</t>
  </si>
  <si>
    <t>INF677K01114</t>
  </si>
  <si>
    <t>L&amp;T LARGE AND MIDCAP FUND - IDCW REINVESTENT</t>
  </si>
  <si>
    <t>FISSG</t>
  </si>
  <si>
    <t>INF677K01098</t>
  </si>
  <si>
    <t>L&amp;T LARGE AND MIDCAP FUND - GROWTH</t>
  </si>
  <si>
    <t>FISSP</t>
  </si>
  <si>
    <t>INF677K01106</t>
  </si>
  <si>
    <t>L&amp;T LARGE AND MIDCAP FUND - IDCW PAYOUT</t>
  </si>
  <si>
    <t>FIVFD</t>
  </si>
  <si>
    <t>INF677K01015</t>
  </si>
  <si>
    <t>L&amp;T INDIA VALUE FUND - IDCW PAYOUT</t>
  </si>
  <si>
    <t>FIVFG</t>
  </si>
  <si>
    <t>INF677K01023</t>
  </si>
  <si>
    <t>L&amp;T INDIA VALUE FUND - GROWTH</t>
  </si>
  <si>
    <t>FIVFP</t>
  </si>
  <si>
    <t>INF677K01213</t>
  </si>
  <si>
    <t>FSID</t>
  </si>
  <si>
    <t>INF677K01478</t>
  </si>
  <si>
    <t>L&amp;T LOW DURATION FUND - IDCW REINVESTENT</t>
  </si>
  <si>
    <t>FSIG</t>
  </si>
  <si>
    <t>INF677K01452</t>
  </si>
  <si>
    <t>L&amp;T LOW DURATION FUND - GROWTH</t>
  </si>
  <si>
    <t>FSIP</t>
  </si>
  <si>
    <t>INF677K01460</t>
  </si>
  <si>
    <t>L&amp;T LOW DURATION FUND - IDCW PAYOUT</t>
  </si>
  <si>
    <t>FTDPEFDDP</t>
  </si>
  <si>
    <t>INF090I01HT0</t>
  </si>
  <si>
    <t>FRANKLIN INDIA DYNAMIC ASSET ALLOCATION FUND OF FUNDS - DIRECT IDCW PAYOUT</t>
  </si>
  <si>
    <t>FTDPEFDDR</t>
  </si>
  <si>
    <t>INF090I01HU8</t>
  </si>
  <si>
    <t>FTDPEFDGP</t>
  </si>
  <si>
    <t>INF090I01HV6</t>
  </si>
  <si>
    <t>FRANKLIN INDIA DYNAMIC ASSET ALLOCATION FUND OF FUNDS - DIRECT GROWTH</t>
  </si>
  <si>
    <t>FTDPEFDP</t>
  </si>
  <si>
    <t>INF090I01247</t>
  </si>
  <si>
    <t>FRANKLIN INDIA DYNAMIC ASSET ALLOCATION FUND OF FUNDS - IDCW PAYOUT</t>
  </si>
  <si>
    <t>FTDPEFDR</t>
  </si>
  <si>
    <t>INF090I01254</t>
  </si>
  <si>
    <t>FTDPEFGP</t>
  </si>
  <si>
    <t>INF090I01262</t>
  </si>
  <si>
    <t>FRANKLIN INDIA DYNAMIC ASSET ALLOCATION FUND OF FUNDS - GROWTH</t>
  </si>
  <si>
    <t>FTIBFDDP</t>
  </si>
  <si>
    <t>INF090I01GA2</t>
  </si>
  <si>
    <t>FRANKLIN INDIA EQUITY HYBRID FUND - DIRECT IDCW PAYOUT</t>
  </si>
  <si>
    <t>FTIBFDDR</t>
  </si>
  <si>
    <t>INF090I01GB0</t>
  </si>
  <si>
    <t>FTIBFDGP</t>
  </si>
  <si>
    <t>INF090I01FZ1</t>
  </si>
  <si>
    <t>FRANKLIN INDIA EQUITY HYBRID FUND - DIRECT GROWTH</t>
  </si>
  <si>
    <t>FTIBFDP</t>
  </si>
  <si>
    <t>INF090I01825</t>
  </si>
  <si>
    <t>FRANKLIN INDIA EQUITY HYBRID FUND - IDCW PAYOUT</t>
  </si>
  <si>
    <t>FTIBFDR</t>
  </si>
  <si>
    <t>INF090I01833</t>
  </si>
  <si>
    <t>FTIBFGP</t>
  </si>
  <si>
    <t>INF090I01817</t>
  </si>
  <si>
    <t>FRANKLIN INDIA EQUITY HYBRID FUND - GROWTH</t>
  </si>
  <si>
    <t>G326</t>
  </si>
  <si>
    <t>INF194KA12K7</t>
  </si>
  <si>
    <t>IDFC BOND FUND - SHORT TERM PLAN- REGULAR PLAN- QUARTERLY IDCW PAYOUT</t>
  </si>
  <si>
    <t>GAD1D</t>
  </si>
  <si>
    <t>INF846K01X14</t>
  </si>
  <si>
    <t>AXIS GLOBAL EQUITY ALPHA FUND OF FUND DIRECT IDCW PAYOUT</t>
  </si>
  <si>
    <t>GAD1R</t>
  </si>
  <si>
    <t>INF846K01X22</t>
  </si>
  <si>
    <t>AXIS GLOBAL EQUITY ALPHA FUND OF FUND DIRECT IDCW REINVESTMENT</t>
  </si>
  <si>
    <t>GADGG</t>
  </si>
  <si>
    <t>INF846K01X06</t>
  </si>
  <si>
    <t>AXIS GLOBAL EQUITY ALPHA FUND OF FUND DIRECT GROWTH</t>
  </si>
  <si>
    <t>GADPD</t>
  </si>
  <si>
    <t>INF846K01X48</t>
  </si>
  <si>
    <t>AXIS GLOBAL EQUITY ALPHA FUND OF FUND REGULAR IDCW PAYOUT</t>
  </si>
  <si>
    <t>GADPR</t>
  </si>
  <si>
    <t>INF846K01X55</t>
  </si>
  <si>
    <t>AXIS GLOBAL EQUITY ALPHA FUND OF FUND REGULAR IDCW REINVESTMENT</t>
  </si>
  <si>
    <t>GAGPG</t>
  </si>
  <si>
    <t>INF846K01X30</t>
  </si>
  <si>
    <t>AXIS GLOBAL EQUITY ALPHA FUND OF FUND REGULAR GROWTH</t>
  </si>
  <si>
    <t>GFDDP</t>
  </si>
  <si>
    <t>INF090I01GW6</t>
  </si>
  <si>
    <t>TEMPLETON INDIA VALUE FUND - DIRECT IDCW PAYOUT</t>
  </si>
  <si>
    <t>GFDDR</t>
  </si>
  <si>
    <t>INF090I01GX4</t>
  </si>
  <si>
    <t>GFDGP</t>
  </si>
  <si>
    <t>INF090I01GY2</t>
  </si>
  <si>
    <t>TEMPLETON INDIA VALUE FUND - DIRECT GROWTH</t>
  </si>
  <si>
    <t>GFDP</t>
  </si>
  <si>
    <t>INF090I01270</t>
  </si>
  <si>
    <t>TEMPLETON INDIA VALUE FUND - IDCW PAYOUT</t>
  </si>
  <si>
    <t>GFDPD</t>
  </si>
  <si>
    <t>INF767K01097</t>
  </si>
  <si>
    <t>LIC MF LARGE CAP FUND-REGULAR PLAN-DIVIDEND-IDCW PAYOUT</t>
  </si>
  <si>
    <t>GFDPR</t>
  </si>
  <si>
    <t>INF767K01089</t>
  </si>
  <si>
    <t>LIC MF LARGE CAP FUND-REGULAR PLAN-IDCW REINVESTMENT</t>
  </si>
  <si>
    <t>GFDR</t>
  </si>
  <si>
    <t>INF090I01288</t>
  </si>
  <si>
    <t>GFG1G</t>
  </si>
  <si>
    <t>INF767K01EJ7</t>
  </si>
  <si>
    <t>LIC MF LARGE CAP FUND-DIRECT PLAN-GROWTH-GROWTH</t>
  </si>
  <si>
    <t>GFGP</t>
  </si>
  <si>
    <t>INF090I01296</t>
  </si>
  <si>
    <t>TEMPLETON INDIA VALUE FUND - GROWTH</t>
  </si>
  <si>
    <t>GFGPG</t>
  </si>
  <si>
    <t>INF767K01105</t>
  </si>
  <si>
    <t>LIC MF LARGE CAP FUND-REGULAR PLAN-GROWTH-GROWTH</t>
  </si>
  <si>
    <t>GOLDFOFDP</t>
  </si>
  <si>
    <t>INF200K01HB9</t>
  </si>
  <si>
    <t>SBI GOLD FUND-IDCW PAYOUT</t>
  </si>
  <si>
    <t>GOLDFOFDR</t>
  </si>
  <si>
    <t>INF200K01HC7</t>
  </si>
  <si>
    <t>SBI GOLD FUND -IDCW PAYOUT</t>
  </si>
  <si>
    <t>GOLDFOFGR</t>
  </si>
  <si>
    <t>INF200K01HA1</t>
  </si>
  <si>
    <t>SBI GOLD FUND - GROWTH</t>
  </si>
  <si>
    <t>H01RTDR</t>
  </si>
  <si>
    <t>INF179K01VM3</t>
  </si>
  <si>
    <t>HDFC FLEXICAP FUND - DIRECT PLAN - IDCW REINVESTMENT OPTION</t>
  </si>
  <si>
    <t>H01TDP</t>
  </si>
  <si>
    <t>INF179K01VL5</t>
  </si>
  <si>
    <t>HDFC FLEXICAP FUND - DIRECT PLAN - IDCW PAYOUT</t>
  </si>
  <si>
    <t>H02TGR</t>
  </si>
  <si>
    <t>INF179K01UT0</t>
  </si>
  <si>
    <t>HDFC FLEXICAP FUND - DIRECT PLAN - GROWTH OPTION</t>
  </si>
  <si>
    <t>H30TGR</t>
  </si>
  <si>
    <t>INF179K01WI9</t>
  </si>
  <si>
    <t>HDFC MEDIUM TERM DEBT FUND - DIRECT PLAN GROWTH OPTION</t>
  </si>
  <si>
    <t>H41RTDR</t>
  </si>
  <si>
    <t>INF179K01YU0</t>
  </si>
  <si>
    <t>HDFC TOP 100 FUND - DIRECT PLAN - IDCW REINVESTMENT</t>
  </si>
  <si>
    <t>H41TDP</t>
  </si>
  <si>
    <t>INF179K01YT2</t>
  </si>
  <si>
    <t>HDFC TOP 100 FUND - DIRECT PLAN - IDCW PAYOUT</t>
  </si>
  <si>
    <t>H44TGR</t>
  </si>
  <si>
    <t>INF179K01YV8</t>
  </si>
  <si>
    <t>HDFC TOP 100 FUND - DIRECT PLAN - GROWTH OPTION</t>
  </si>
  <si>
    <t>H54TGR</t>
  </si>
  <si>
    <t>INF179K01VF7</t>
  </si>
  <si>
    <t>HDFC LOW DURATION FUND - DIRECT PLAN - GROWTH</t>
  </si>
  <si>
    <t>H60RTDR</t>
  </si>
  <si>
    <t>INF179K01VH3</t>
  </si>
  <si>
    <t>HDFC LOW DURATION FUND - DIRECT PLAN - RETAIL PLAN - MONTHLY IDCW REINVESTMENT</t>
  </si>
  <si>
    <t>H60TDP</t>
  </si>
  <si>
    <t>INF179K01VG5</t>
  </si>
  <si>
    <t>HDFC LOW DURATION FUND - DIRECT PLAN - RETAIL PLAN - MONTHLY IDCW PAYOUT</t>
  </si>
  <si>
    <t>H61RTDR</t>
  </si>
  <si>
    <t>INF179K01VB6</t>
  </si>
  <si>
    <t>HDFC CAPITAL BUILDER VALUE FUND - DIRECT PLAN - IDCW REINVESTMENT</t>
  </si>
  <si>
    <t>H61TDP</t>
  </si>
  <si>
    <t>INF179K01VA8</t>
  </si>
  <si>
    <t>HDFC CAPITAL BUILDER VALUE FUND - DIRECT PLAN - IDCW PAYOUT</t>
  </si>
  <si>
    <t>H62TGR</t>
  </si>
  <si>
    <t>INF179K01VC4</t>
  </si>
  <si>
    <t>HDFC CAPITAL BUILDER VALUE FUND - DIRECT PLAN - GROWTH OPTION</t>
  </si>
  <si>
    <t>HAADDPHMF</t>
  </si>
  <si>
    <t>INF179KC1BB1</t>
  </si>
  <si>
    <t>HDFC ASSET ALLOCATOR FOF DIRECT IDCW PAYOUT</t>
  </si>
  <si>
    <t>HAADGRHMF</t>
  </si>
  <si>
    <t>INF179KC1BA3</t>
  </si>
  <si>
    <t>HDFC ASSET ALLOCATOR FOF DIRECT GROWTH</t>
  </si>
  <si>
    <t>HAARDPHMF</t>
  </si>
  <si>
    <t>INF179KC1BE5</t>
  </si>
  <si>
    <t>HDFC ASSET ALLOCATOR FOF REGULAR IDCW PAYOUT</t>
  </si>
  <si>
    <t>HAARGRHMF</t>
  </si>
  <si>
    <t>INF179KC1BD7</t>
  </si>
  <si>
    <t>HDFC ASSET ALLOCATOR FOF REGULAR GROWTH</t>
  </si>
  <si>
    <t>HAFWGMF</t>
  </si>
  <si>
    <t>INF179K01343</t>
  </si>
  <si>
    <t>HDFC ARBITRAGE FUND-WHOLESALE PLAN - REGULAR PLAN - GROWTH</t>
  </si>
  <si>
    <t>HBPGT</t>
  </si>
  <si>
    <t>INF179KA1IZ7</t>
  </si>
  <si>
    <t>HDFC BANKING AND PSU DEBT FUND - DIRECT GROWTH OPTION</t>
  </si>
  <si>
    <t>HCODRTDR</t>
  </si>
  <si>
    <t>INF179K01VJ9</t>
  </si>
  <si>
    <t>HDFC FOCUSED 30 FUND - DIRECT PLAN - IDCW REINVESTMENT</t>
  </si>
  <si>
    <t>HCORDTDP</t>
  </si>
  <si>
    <t>INF179K01VI1</t>
  </si>
  <si>
    <t>HDFC FOCUSED 30 FUND - DIRECT PLAN - IDCW PAYOUT</t>
  </si>
  <si>
    <t>HCORGTGR</t>
  </si>
  <si>
    <t>INF179K01VK7</t>
  </si>
  <si>
    <t>HDFC FOCUSED 30 FUND - DIRECT PLAN - GROWTH OPTION</t>
  </si>
  <si>
    <t>HCRDD</t>
  </si>
  <si>
    <t>INF769K01EB0</t>
  </si>
  <si>
    <t>MIRAE ASSET HEALTHCARE FUND - REGULAR PLAN - IDCW PAYOUT</t>
  </si>
  <si>
    <t>HCRDR</t>
  </si>
  <si>
    <t>INF769K01EC8</t>
  </si>
  <si>
    <t>MIRAE ASSET HEALTHCARE FUND - REGULAR PLAN - IDCW REINVESTMENT</t>
  </si>
  <si>
    <t>HCRGG</t>
  </si>
  <si>
    <t>INF769K01EA2</t>
  </si>
  <si>
    <t>MIRAE ASSET HEALTHCARE FUND - REGULAR PLAN - GROWTH</t>
  </si>
  <si>
    <t>HDFC01</t>
  </si>
  <si>
    <t>INF179K01582</t>
  </si>
  <si>
    <t>HDFC FLEXICAP FUND - IDCW PAYOUT OPTION</t>
  </si>
  <si>
    <t>HDFC01D</t>
  </si>
  <si>
    <t>INF179K01590</t>
  </si>
  <si>
    <t>HDFC FLEXICAP FUND IDCW REINVESTMENT</t>
  </si>
  <si>
    <t>HDFC02</t>
  </si>
  <si>
    <t>INF179K01608</t>
  </si>
  <si>
    <t>HDFC FLEXICAP FUND - GROWTH OPTION</t>
  </si>
  <si>
    <t>HDFC30</t>
  </si>
  <si>
    <t>INF179K01913</t>
  </si>
  <si>
    <t>HDFC MEDIUM TERM DEBT FUND - REGULAR PLAN - GROWTH</t>
  </si>
  <si>
    <t>HDFC41</t>
  </si>
  <si>
    <t>INF179K01BC6</t>
  </si>
  <si>
    <t>HDFC TOP 100 FUND - REGULAR PLAN - IDCW PAYOUT</t>
  </si>
  <si>
    <t>HDFC41D</t>
  </si>
  <si>
    <t>INF179K01BD4</t>
  </si>
  <si>
    <t>HDFC TOP 100 FUND - REGULAR PLAN - IDCW REINVESTMENT</t>
  </si>
  <si>
    <t>HDFC44</t>
  </si>
  <si>
    <t>INF179K01BE2</t>
  </si>
  <si>
    <t>HDFC TOP 100 FUND - REGULAR PLAN - GROWTH</t>
  </si>
  <si>
    <t>HDFC54</t>
  </si>
  <si>
    <t>INF179K01442</t>
  </si>
  <si>
    <t>HDFC LOW DURATION FUND - REGULAR PLAN - GROWTH</t>
  </si>
  <si>
    <t>HDFC58</t>
  </si>
  <si>
    <t>INF179K01475</t>
  </si>
  <si>
    <t>HDFC LOW DURATION FUND - RETAIL OPTION - REGULAR PLAN - WEEKLY IDCW PAYOUT</t>
  </si>
  <si>
    <t>HDFC58D</t>
  </si>
  <si>
    <t>INF179K01483</t>
  </si>
  <si>
    <t>HDFC LOW DURATION FUND - RETAIL OPTION - REGULAR PLAN - WEEKLY IDCW REINVESTMENT</t>
  </si>
  <si>
    <t>HDFC59</t>
  </si>
  <si>
    <t>INF179K01434</t>
  </si>
  <si>
    <t>HDFC LOW DURATION FUND - RETAIL - REGULAR PLAN - DAILY IDCW REINVESTMENT</t>
  </si>
  <si>
    <t>HDFC60</t>
  </si>
  <si>
    <t>INF179K01459</t>
  </si>
  <si>
    <t>HDFC LOW DURATION FUND - RETAIL - REGULAR PLAN - MONTHLY IDCW PAYOUT</t>
  </si>
  <si>
    <t>HDFC60D</t>
  </si>
  <si>
    <t>INF179K01467</t>
  </si>
  <si>
    <t>HDFC LOW DURATION FUND - RETAIL - REGULAR PLAN - MONTHLY IDCW REINVESTMENT REINVESTMENT</t>
  </si>
  <si>
    <t>HDFC61</t>
  </si>
  <si>
    <t>INF179K01400</t>
  </si>
  <si>
    <t>HDFC CAPITAL BUILDER VALUE FUND - REGULAR PLAN - IDCW PAYOUT</t>
  </si>
  <si>
    <t>HDFC61D</t>
  </si>
  <si>
    <t>INF179K01418</t>
  </si>
  <si>
    <t>HDFC CAPITAL BUILDER VALUE FUND - REGULAR PLAN - IDCW REINVESTMENT</t>
  </si>
  <si>
    <t>HDFC62</t>
  </si>
  <si>
    <t>INF179K01426</t>
  </si>
  <si>
    <t>HDFC CAPITAL BUILDER VALUE FUND - REGULAR PLAN - GROWTH</t>
  </si>
  <si>
    <t>HDFCAFRDQ</t>
  </si>
  <si>
    <t>INF179K01327</t>
  </si>
  <si>
    <t>HDFC ARBITRAGE FUND - RETAIL PLAN - QUARTERLY IDCW PAYOUT OPTION</t>
  </si>
  <si>
    <t>HDFCAFRG</t>
  </si>
  <si>
    <t>INF179K01319</t>
  </si>
  <si>
    <t>HDFC ARBITRAGE FUND - RETAIL PLAN - GROWTH OPTION</t>
  </si>
  <si>
    <t>HDFCAFWDM</t>
  </si>
  <si>
    <t>INF179KA1KO7</t>
  </si>
  <si>
    <t>HDFC ARBITRAGE FUND-WHOLESALE PLAN - REGULAR PLAN - MONTHLY IDCW PAYOUT</t>
  </si>
  <si>
    <t>INF179KA1KN9</t>
  </si>
  <si>
    <t>HDFC ARBITRAGE FUND-WHOLESALE PLAN - REGULAR PLAN - MONTHLY IDCW REINVESTMENT</t>
  </si>
  <si>
    <t>HDFCAFWDQ</t>
  </si>
  <si>
    <t>INF179KA1KM1</t>
  </si>
  <si>
    <t>HDFC ARBITRAGE FUND-WHOLESALE PLAN - REGULAR PLAN - NORMAL IDCW PAYOUT</t>
  </si>
  <si>
    <t>INF179KA1KL3</t>
  </si>
  <si>
    <t>HDFC ARBITRAGE FUND-WHOLESALE PLAN - REGULAR PLAN - NORMAL IDCW REINVESTMENT</t>
  </si>
  <si>
    <t>HDFCAFWDT</t>
  </si>
  <si>
    <t>INF179KA1KQ2</t>
  </si>
  <si>
    <t>HDFC ARBITRAGE FUND - WHOLESALE PLAN - NORMAL DIVIDEND- DIRECT PLAN-IDCW PAYOUT</t>
  </si>
  <si>
    <t>HDFCAFWGT</t>
  </si>
  <si>
    <t>INF179KA1KT6</t>
  </si>
  <si>
    <t>HDFC ARBITRAGE FUND-WHOLESALE PLAN - DIRECT PLAN-GROWTH</t>
  </si>
  <si>
    <t>HDFCAFWMT</t>
  </si>
  <si>
    <t>INF179KA1KS8</t>
  </si>
  <si>
    <t>HDFC ARBITRAGE FUND - WHOLESALE PLAN -MONTHLY DIVIDEND - DIRECT PLAN-IDCW PAYOUT</t>
  </si>
  <si>
    <t>HDFCCORD</t>
  </si>
  <si>
    <t>INF179K01558</t>
  </si>
  <si>
    <t>HDFC FOCUSED 30 FUND - REGULAR PLAN - IDCW PAYOUT</t>
  </si>
  <si>
    <t>HDFCCORDR</t>
  </si>
  <si>
    <t>INF179K01566</t>
  </si>
  <si>
    <t>HDFC FOCUSED 30 FUND - REGULAR PLAN - IDCW REINVESTMENT</t>
  </si>
  <si>
    <t>HDFCCORG</t>
  </si>
  <si>
    <t>INF179K01574</t>
  </si>
  <si>
    <t>HDFC FOCUSED 30 FUND - REGULAR PLAN - GROWTH</t>
  </si>
  <si>
    <t>HDFCGFD</t>
  </si>
  <si>
    <t>INF179K01814</t>
  </si>
  <si>
    <t>HDFC BALANCED ADVANTAGE FUND - REGULAR PLAN - IDCW PAYOUT</t>
  </si>
  <si>
    <t>HDFCGFDD</t>
  </si>
  <si>
    <t>INF179K01822</t>
  </si>
  <si>
    <t>HDFC BALANCED ADVANTAGE FUND - REGULAR PLAN - IDCW REINVESTMENT</t>
  </si>
  <si>
    <t>HDFCGFG</t>
  </si>
  <si>
    <t>INF179K01830</t>
  </si>
  <si>
    <t>HDFC BALANCED ADVANTAGE FUND - REGULAR PLAN - GROWTH</t>
  </si>
  <si>
    <t>HDFCGOLDFF</t>
  </si>
  <si>
    <t>INF179K01LC5</t>
  </si>
  <si>
    <t>HDFC GOLD FUND</t>
  </si>
  <si>
    <t>HDFCIFD</t>
  </si>
  <si>
    <t>INF179K01947</t>
  </si>
  <si>
    <t>HDFC INCOME FUND - REGULAR PLAN - QUARTERLY IDCW REINVESTMENT</t>
  </si>
  <si>
    <t>HDFCIFDR</t>
  </si>
  <si>
    <t>INF179K01954</t>
  </si>
  <si>
    <t>HDFCIFG</t>
  </si>
  <si>
    <t>INF179K01962</t>
  </si>
  <si>
    <t>HDFC INCOME FUND - GROWTH OPTION</t>
  </si>
  <si>
    <t>HDFCISWDM</t>
  </si>
  <si>
    <t>INF179K01715</t>
  </si>
  <si>
    <t>HDFC FLOATING RATE DEBT FUND - WHOLESALE OPTION - REGULAR PLAN - IDCW QUARTERLY PAYOUT</t>
  </si>
  <si>
    <t>HDFCISWG</t>
  </si>
  <si>
    <t>INF179K01707</t>
  </si>
  <si>
    <t>HDFC FLOATING RATE DEBT FUND - REGULAR PLAN - GROWTH</t>
  </si>
  <si>
    <t>HDFCMILMD</t>
  </si>
  <si>
    <t>INF179K01AB0</t>
  </si>
  <si>
    <t>HDFC HYBRID DEBT FUND- MONTHLY IDCW REINVESTMENT</t>
  </si>
  <si>
    <t>HDFCMILQD</t>
  </si>
  <si>
    <t>INF179K01AD6</t>
  </si>
  <si>
    <t>HDFC HYBRID DEBT FUND - QUARTERLY IDCW REINVESTMENT</t>
  </si>
  <si>
    <t>HDFCMILTG</t>
  </si>
  <si>
    <t>INF179K01AE4</t>
  </si>
  <si>
    <t>HDFC HYBRID DEBT FUND - GROWTH OPTION</t>
  </si>
  <si>
    <t>HDFCMILTM</t>
  </si>
  <si>
    <t>INF179K01AA2</t>
  </si>
  <si>
    <t>HDFC HYBRID DEBT FUND - MONTHLY IDCW REINVESTMENT OPTION</t>
  </si>
  <si>
    <t>HDFCMILTQ</t>
  </si>
  <si>
    <t>INF179K01AC8</t>
  </si>
  <si>
    <t>HDFC HYBRID DEBT FUND - QUARTERLY IDCW REINVESTMENT OPTION</t>
  </si>
  <si>
    <t>HDFCMTODR</t>
  </si>
  <si>
    <t>INF179K01DE8</t>
  </si>
  <si>
    <t>HDFC CORPORATE BOND FUND - QUARTERLY IDCW REINVESTMENT OPTION</t>
  </si>
  <si>
    <t>HDFCMULD</t>
  </si>
  <si>
    <t>INF179K01AK1</t>
  </si>
  <si>
    <t>HDFC EQUITY SAVINGS FUND - IDCW PAYOUT</t>
  </si>
  <si>
    <t>HDFCMULDR</t>
  </si>
  <si>
    <t>INF179K01AL9</t>
  </si>
  <si>
    <t>HDFC EQUITY SAVINGS FUND - IDCW REINVESTMENT</t>
  </si>
  <si>
    <t>HDFCMULG</t>
  </si>
  <si>
    <t>INF179K01AM7</t>
  </si>
  <si>
    <t>HDFC EQUITY SAVINGS FUND- GROWTH</t>
  </si>
  <si>
    <t>HDFCMYD05</t>
  </si>
  <si>
    <t>INF179K01AN5</t>
  </si>
  <si>
    <t>HDFC MULTI-ASSET FUND - REGULAR PLAN -IDCW REINVESTMENT</t>
  </si>
  <si>
    <t>HDFCMYD5R</t>
  </si>
  <si>
    <t>INF179K01AO3</t>
  </si>
  <si>
    <t>HDFCMYG05</t>
  </si>
  <si>
    <t>INF179K01AP0</t>
  </si>
  <si>
    <t>HDFC MULTI-ASSET FUND - REGULAR PLAN - GROWTH</t>
  </si>
  <si>
    <t>HDFCPRED</t>
  </si>
  <si>
    <t>INF179K01AQ8</t>
  </si>
  <si>
    <t>HDFC HYBRID EQUITY FUND - REGULAR PLAN - IDCW REINVESTMENT</t>
  </si>
  <si>
    <t>HDFCPREDD</t>
  </si>
  <si>
    <t>INF179K01AR6</t>
  </si>
  <si>
    <t>HDFCPREG</t>
  </si>
  <si>
    <t>INF179K01AS4</t>
  </si>
  <si>
    <t>HDFC HYBRID EQUITY FUND - REGULAR PLAN - GROWTH</t>
  </si>
  <si>
    <t>HDYDDPH0</t>
  </si>
  <si>
    <t>INF179KC1AP3</t>
  </si>
  <si>
    <t>HDFC DIVIDEND YIELD FUND - DIRECT PLAN - IDCW PAYOUT OPTION</t>
  </si>
  <si>
    <t>HDYDDRHMF</t>
  </si>
  <si>
    <t>INF179KC1AQ1</t>
  </si>
  <si>
    <t>HDFC DIVIDEND YIELD FUND - DIRECT PLAN - IDCW REINVESTMENT OPTION</t>
  </si>
  <si>
    <t>HDYDGRHMF</t>
  </si>
  <si>
    <t>INF179KC1AO6</t>
  </si>
  <si>
    <t>HDFC DIVIDEND YIELD FUND - DIRECT PLAN - GROWTH OPTION</t>
  </si>
  <si>
    <t>HDYRDPHMF</t>
  </si>
  <si>
    <t>INF179KC1AS7</t>
  </si>
  <si>
    <t>HDFC DIVIDEND YIELD FUND - REGULAR PLAN - IDCW PAYOUT OPTION</t>
  </si>
  <si>
    <t>HDYRDRHMF</t>
  </si>
  <si>
    <t>INF179KC1AT5</t>
  </si>
  <si>
    <t>HDFC DIVIDEND YIELD FUND - REGULAR PLAN - IDCW REINVESTMENT OPTION</t>
  </si>
  <si>
    <t>HDYRGRHMF</t>
  </si>
  <si>
    <t>INF179KC1AR9</t>
  </si>
  <si>
    <t>HDFC DIVIDEND YIELD FUND - REGULAR PLAN - GROWTH OPTION</t>
  </si>
  <si>
    <t>HGFDRTDR</t>
  </si>
  <si>
    <t>INF179K01VZ5</t>
  </si>
  <si>
    <t>HDFC BALANCED ADVANTAGE FUND - DIRECT PLAN - IDCW REINVESTMENT OPTION</t>
  </si>
  <si>
    <t>HGFDTDP</t>
  </si>
  <si>
    <t>INF179K01VY8</t>
  </si>
  <si>
    <t>HDFC BALANCED ADVANTAGE FUND - DIRECT PLAN - IDCW PAYOUT</t>
  </si>
  <si>
    <t>HGFGTGR</t>
  </si>
  <si>
    <t>INF179K01WA6</t>
  </si>
  <si>
    <t>HDFC BALANCED ADVANTAGE FUND - DIRECT PLAN - GROWTH OPTION</t>
  </si>
  <si>
    <t>HGFOFTGR</t>
  </si>
  <si>
    <t>INF179K01VX0</t>
  </si>
  <si>
    <t>HDFC GOLD FUND - DIRECT PLAN - GROWTH OPTION</t>
  </si>
  <si>
    <t>HIFDRTDR</t>
  </si>
  <si>
    <t>INF179K01WK5</t>
  </si>
  <si>
    <t>HDFC INCOME FUND - DIRECT PLAN - QUARTERLY IDCW REINVESTMENT</t>
  </si>
  <si>
    <t>HIFDTDP</t>
  </si>
  <si>
    <t>INF179K01WJ7</t>
  </si>
  <si>
    <t>HIFGTGR</t>
  </si>
  <si>
    <t>INF179K01WL3</t>
  </si>
  <si>
    <t>HDFC INCOME FUND - DIRECT PLAN - GROWTH OPTION</t>
  </si>
  <si>
    <t>HIFSTDPNDP</t>
  </si>
  <si>
    <t>INF179KA1D90</t>
  </si>
  <si>
    <t>HDFC MEDIUM TERM DEBT FUND - DIRECT PLAN NORMAL-IDCW PAYOUT</t>
  </si>
  <si>
    <t>HIFSTDPNDR</t>
  </si>
  <si>
    <t>INF179KA1D82</t>
  </si>
  <si>
    <t>HDFC MEDIUM TERM DEBT FUND - DIRECT PLAN NORMAL-IDCW REINVESTMENT</t>
  </si>
  <si>
    <t>HIFSTRPNDP</t>
  </si>
  <si>
    <t>INF179KA1E16</t>
  </si>
  <si>
    <t>HDFC MEDIUM TERM DEBT FUND - NORMAL IDCW PAYOUT</t>
  </si>
  <si>
    <t>HIFSTRPNDR</t>
  </si>
  <si>
    <t>INF179KA1E08</t>
  </si>
  <si>
    <t>HDFC MEDIUM TERM DEBT FUND - REGULAR PLAN - NORMAL IDCW REINVESTMENT REINVESTMENT</t>
  </si>
  <si>
    <t>HINF</t>
  </si>
  <si>
    <t>INF179K01GF8</t>
  </si>
  <si>
    <t>HDFC INFRASTRUCTURE FUND - GROWTH OPTION</t>
  </si>
  <si>
    <t>HINFDTGR</t>
  </si>
  <si>
    <t>INF179K01WP4</t>
  </si>
  <si>
    <t>HDFC INFRASTRUCTURE FUND - DIRECT PLAN - IDCW REINVESTMENT</t>
  </si>
  <si>
    <t>HINFGTDP</t>
  </si>
  <si>
    <t>INF179K01WQ2</t>
  </si>
  <si>
    <t>HDFC INFRASTRUCTURE FUND - DIRECT PLAN - GROWTH OPTION</t>
  </si>
  <si>
    <t>HINFRTDR</t>
  </si>
  <si>
    <t>INF179K01WR0</t>
  </si>
  <si>
    <t>HDFC INFRASTRUCTURE FUND - DIRECT PLAN - IDCW REINVESTMENT OPTION</t>
  </si>
  <si>
    <t>HINNP</t>
  </si>
  <si>
    <t>INF179K01KZ8</t>
  </si>
  <si>
    <t>HDFC INDEX FUND - NIFTY 50 PLAN - REGULAR PLAN - GROWTH</t>
  </si>
  <si>
    <t>HINNPT</t>
  </si>
  <si>
    <t>INF179K01WM1</t>
  </si>
  <si>
    <t>HDFC INDEX FUND - NIFTY 50 PLAN - DIRECT PLAN - GROWTH</t>
  </si>
  <si>
    <t>HINSP</t>
  </si>
  <si>
    <t>INF179K01LA9</t>
  </si>
  <si>
    <t>HDFC INDEX FUND - SENSEX PLAN - REGULAR PLAN - GROWTH</t>
  </si>
  <si>
    <t>HINSPT</t>
  </si>
  <si>
    <t>INF179K01WN9</t>
  </si>
  <si>
    <t>HDFC INDEX FUND - SENSEX PLAN - DIRECT PLAN - GROWTH</t>
  </si>
  <si>
    <t>HISWGTGR</t>
  </si>
  <si>
    <t>INF179K01VQ4</t>
  </si>
  <si>
    <t>HDFC FLOATING RATE DEBT FUND - DIRECT PLAN - GROWTH</t>
  </si>
  <si>
    <t>HLCFDDP</t>
  </si>
  <si>
    <t>INF179KA1RR5</t>
  </si>
  <si>
    <t>HDFC LARGE AND MID CAP FUND - DIRECT PLAN - IDCW PLAN PAYOUT</t>
  </si>
  <si>
    <t>HLCFDG</t>
  </si>
  <si>
    <t>INF179KA1RQ7</t>
  </si>
  <si>
    <t>HDFC LARGE AND MID CAP FUND - DIRECT PLAN - GROWTH</t>
  </si>
  <si>
    <t>HLCFRDP</t>
  </si>
  <si>
    <t>INF179KA1RU9</t>
  </si>
  <si>
    <t>HDFC LARGE AND MID CAP FUND - REGULAR PLAN - IDCW PAYOUT</t>
  </si>
  <si>
    <t>HLCFRG</t>
  </si>
  <si>
    <t>INF179KA1RT1</t>
  </si>
  <si>
    <t>HDFC LARGE AND MID CAP FUND - REGULAR PLAN - GROWTH</t>
  </si>
  <si>
    <t>HMCODTDP</t>
  </si>
  <si>
    <t>INF179K01XO5</t>
  </si>
  <si>
    <t>HDFC MID-CAP OPPORTUNITIES FUND - DIRECT PLAN - IDCW REINVESTMENT</t>
  </si>
  <si>
    <t>HMCOGTGR</t>
  </si>
  <si>
    <t>INF179K01XQ0</t>
  </si>
  <si>
    <t>HDFC MID-CAP OPPORTUNITIES FUND - DIRECT PLAN - GROWTH OPTION</t>
  </si>
  <si>
    <t>HMCORTDR</t>
  </si>
  <si>
    <t>INF179K01XP2</t>
  </si>
  <si>
    <t>HDFC MID-CAP OPPORTUNITIES FUND - DIRECT PLAN - IDCW REINVESTMENT OPTION</t>
  </si>
  <si>
    <t>HMIDCAP-DP</t>
  </si>
  <si>
    <t>INF179K01CS0</t>
  </si>
  <si>
    <t>HDFC MID-CAP OPPORTUNITIES FUND - IDCW PAYOUT OPTION</t>
  </si>
  <si>
    <t>HMIDCAP-DR</t>
  </si>
  <si>
    <t>INF179K01CT8</t>
  </si>
  <si>
    <t>HDFC MID-CAP OPPORTUNITIES FUND - IDCW REINVESTMENT OPTION</t>
  </si>
  <si>
    <t>HMIDCAP-G</t>
  </si>
  <si>
    <t>INF179K01CR2</t>
  </si>
  <si>
    <t>HDFC MID-CAP OPPORTUNITIES FUND - GROWTH OPTION</t>
  </si>
  <si>
    <t>HMLMRTDR</t>
  </si>
  <si>
    <t>INF179K01XG1</t>
  </si>
  <si>
    <t>HDFC HYBRID DEBT FUND - DIRECT PLAN - IDCW REINVESTMENT OPTION</t>
  </si>
  <si>
    <t>HMLQRTDR</t>
  </si>
  <si>
    <t>INF179K01XI7</t>
  </si>
  <si>
    <t>HDFC HYBRID DEBT FUND - DIRECT PLAN - QUARTERLY IDCW REINVESTMENT OPTION</t>
  </si>
  <si>
    <t>HMLTGTGR</t>
  </si>
  <si>
    <t>INF179K01XE6</t>
  </si>
  <si>
    <t>HDFC HYBRID DEBT FUND - DIRECT PLAN - GROWTH OPTION</t>
  </si>
  <si>
    <t>HMLTMTDP</t>
  </si>
  <si>
    <t>INF179K01XF3</t>
  </si>
  <si>
    <t>HMLTQTDP</t>
  </si>
  <si>
    <t>INF179K01XH9</t>
  </si>
  <si>
    <t>HDFC HYBRID DEBT FUND- DIRECT PLAN - QUARTERLY IDCW REINVESTMENT</t>
  </si>
  <si>
    <t>HMTOD</t>
  </si>
  <si>
    <t>INF179K01DD0</t>
  </si>
  <si>
    <t>HDFC CORPORATE BOND FUND - QUARTERLY IDCW PAYOUT OPTION</t>
  </si>
  <si>
    <t>HMTODTDP</t>
  </si>
  <si>
    <t>INF179K01XB2</t>
  </si>
  <si>
    <t>HDFC CORPORATE BOND FUND - DIRECT PLAN - QUARTERLY IDCW REINVESTMENT OPTION</t>
  </si>
  <si>
    <t>HMTOG</t>
  </si>
  <si>
    <t>INF179K01DC2</t>
  </si>
  <si>
    <t>HDFC CORPORATE BOND FUND - GROWTH OPTION</t>
  </si>
  <si>
    <t>HMTOGTGR</t>
  </si>
  <si>
    <t>INF179K01XD8</t>
  </si>
  <si>
    <t>HDFC CORPORATE BOND FUND - DIRECT PLAN - GROWTH OPTION</t>
  </si>
  <si>
    <t>HMTORTDR</t>
  </si>
  <si>
    <t>INF179K01XC0</t>
  </si>
  <si>
    <t>HMULDTDP</t>
  </si>
  <si>
    <t>INF179K01XR8</t>
  </si>
  <si>
    <t>HDFC EQUITY SAVINGS FUND - DIRECT PLAN - IDCW PAYOUT</t>
  </si>
  <si>
    <t>HMULGTGR</t>
  </si>
  <si>
    <t>INF179K01XT4</t>
  </si>
  <si>
    <t>HDFC EQUITY SAVINGS FUND - DIRECT PLAN - GROWTH OPTION</t>
  </si>
  <si>
    <t>HMULRTDR</t>
  </si>
  <si>
    <t>INF179K01XS6</t>
  </si>
  <si>
    <t>HDFC EQUITY SAVINGS FUND - DIRECT PLAN - IDCW REINVESTMENT OPTION</t>
  </si>
  <si>
    <t>HMYD5TDP</t>
  </si>
  <si>
    <t>INF179K01XU2</t>
  </si>
  <si>
    <t>HDFC MULTI-ASSET FUND - DIRECT PLAN - IDCW REINVESTMENT</t>
  </si>
  <si>
    <t>HODD1</t>
  </si>
  <si>
    <t>INF179KC1AV1</t>
  </si>
  <si>
    <t>HDFC HOUSING OPPORTUNITIES FUND - DIRECT PLAN - IDCW PAYOUT OPTION</t>
  </si>
  <si>
    <t>HODG1</t>
  </si>
  <si>
    <t>INF179KC1AU3</t>
  </si>
  <si>
    <t>HDFC HOUSING OPPORTUNITIES FUND - DIRECT PLAN - GROWTH OPTION</t>
  </si>
  <si>
    <t>HODR1</t>
  </si>
  <si>
    <t>INF179KC1AW9</t>
  </si>
  <si>
    <t>HDFC HOUSING OPPORTUNITIES FUND - DIRECT PLAN - IDCW REINVESTMENT OPTION</t>
  </si>
  <si>
    <t>HORG1</t>
  </si>
  <si>
    <t>INF179KC1AX7</t>
  </si>
  <si>
    <t>HDFC HOUSING OPPORTUNITIES FUND - REGULAR PLAN - GROWTH OPTION</t>
  </si>
  <si>
    <t>HPREDTDP</t>
  </si>
  <si>
    <t>INF179K01XX6</t>
  </si>
  <si>
    <t>HDFC HYBRID EQUITY FUND - DIRECT PLAN - IDCW REINVESTMENT</t>
  </si>
  <si>
    <t>HPREGTGR</t>
  </si>
  <si>
    <t>INF179K01XZ1</t>
  </si>
  <si>
    <t>HDFC HYBRID EQUITY FUND - DIRECT PLAN - GROWTH OPTION</t>
  </si>
  <si>
    <t>HPRERTDR</t>
  </si>
  <si>
    <t>INF179K01XY4</t>
  </si>
  <si>
    <t>HDFC HYBRID EQUITY FUND - DIRECT PLAN - IDCW REINVESTMENT OPTION</t>
  </si>
  <si>
    <t>HRETEQR</t>
  </si>
  <si>
    <t>INF179KB1MG8</t>
  </si>
  <si>
    <t>HDFC RETIREMENT SAVINGS FUND - EQUITY PLAN - REGULAR - GROWTH</t>
  </si>
  <si>
    <t>HRETHER</t>
  </si>
  <si>
    <t>INF179KB1MI4</t>
  </si>
  <si>
    <t>HDFC RETIREMENT SAVINGS FUND - HYBRID EQUITY PLAN - REGULAR - GROWTH</t>
  </si>
  <si>
    <t>HSMCFDDP</t>
  </si>
  <si>
    <t>INF179KA1RX3</t>
  </si>
  <si>
    <t>HDFC SMALL CAP FUND - DIRECT PLAN - IDCW PAYOUT OPTION</t>
  </si>
  <si>
    <t>HSMCFDDR</t>
  </si>
  <si>
    <t>INF179KA1RY1</t>
  </si>
  <si>
    <t>HDFC SMALL CAP FUND - DIRECT PLAN - IDCW REINVESTMENT</t>
  </si>
  <si>
    <t>HSMCFDG</t>
  </si>
  <si>
    <t>INF179KA1RW5</t>
  </si>
  <si>
    <t>HDFC SMALL CAP FUND - DIRECT PLAN - GROWTH OPTION</t>
  </si>
  <si>
    <t>HSMCFRDP</t>
  </si>
  <si>
    <t>INF179KA1SA9</t>
  </si>
  <si>
    <t>HDFC SMALL CAP FUND - REGULAR PLAN - IDCW PAYOUT OPTION</t>
  </si>
  <si>
    <t>HSMCFRDR</t>
  </si>
  <si>
    <t>INF179KA1SB7</t>
  </si>
  <si>
    <t>HDFC SMALL CAP FUND - REGULAR PLAN - IDCW REINVESTMENT</t>
  </si>
  <si>
    <t>HSMCFRG</t>
  </si>
  <si>
    <t>INF179KA1RZ8</t>
  </si>
  <si>
    <t>HDFC SMALL CAP FUND - REGULAR PLAN - GROWTH OPTION</t>
  </si>
  <si>
    <t>HSTOD</t>
  </si>
  <si>
    <t>INF179K01CV4</t>
  </si>
  <si>
    <t>HDFC SHORT TERM DEBT FUND - REGULAR PLAN - FORTNIGHTLY IDCW PAYOUT</t>
  </si>
  <si>
    <t>HSTOG</t>
  </si>
  <si>
    <t>INF179K01CU6</t>
  </si>
  <si>
    <t>HDFC SHORT TERM DEBT FUND - REGULAR PLAN - GROWTH</t>
  </si>
  <si>
    <t>HSTOGTGR</t>
  </si>
  <si>
    <t>INF179K01YM7</t>
  </si>
  <si>
    <t>HDFC SHORT TERM DEBT FUND - DIRECT PLAN - GROWTH OPTION</t>
  </si>
  <si>
    <t>HSTOPDNDP</t>
  </si>
  <si>
    <t>INF179KA1Q53</t>
  </si>
  <si>
    <t>HDFC SHORT TERM DEBT FUND - DIRECT PLAN - NORMAL IDCW PAYOUT</t>
  </si>
  <si>
    <t>HSTOPRNDP</t>
  </si>
  <si>
    <t>INF179KA1Q79</t>
  </si>
  <si>
    <t>HDFC SHORT TERM DEBT FUND - REGULAR PLAN - NORMAL IDCW PAYOUT</t>
  </si>
  <si>
    <t>HUSTFRD</t>
  </si>
  <si>
    <t>INF179KB11R3</t>
  </si>
  <si>
    <t>HDFC ULTRA SHORT TERM FUND - REGULAR PLAN GROWTH</t>
  </si>
  <si>
    <t>HUSTFRDR</t>
  </si>
  <si>
    <t>INF179KB12R1</t>
  </si>
  <si>
    <t>HDFC ULTRA SHORT TERM FUND - REGULAR PLAN - DAILY IDCW REINVESTMENT</t>
  </si>
  <si>
    <t>HUSTFRMDD</t>
  </si>
  <si>
    <t>INF179KB16R2</t>
  </si>
  <si>
    <t>HDFC ULTRA SHORT TERM FUND - REGULAR PLAN - MONTHLY IDCW PAYOUT</t>
  </si>
  <si>
    <t>HUSTFRMDR</t>
  </si>
  <si>
    <t>INF179KB15R4</t>
  </si>
  <si>
    <t>HDFC ULTRA SHORT TERM FUND - REGULAR PLAN - MONTHLY IDCW REINVESTMENT</t>
  </si>
  <si>
    <t>HUSTFRWDD</t>
  </si>
  <si>
    <t>INF179KB14R7</t>
  </si>
  <si>
    <t>HDFC ULTRA SHORT TERM FUND - REGULAR PLAN - WEEKLY IDCW PAYOUT</t>
  </si>
  <si>
    <t>ID305DP</t>
  </si>
  <si>
    <t>INF194KA1R28</t>
  </si>
  <si>
    <t>IDFC CORPORATE BOND FUND-REGULAR PLAN -MONTHLY IDCW PAYOUT</t>
  </si>
  <si>
    <t>ID305RDR</t>
  </si>
  <si>
    <t>INF194KA1R36</t>
  </si>
  <si>
    <t>IDFC CORPORATE BOND FUND-REGULAR PLAN -MONTHLY IDCW REINVESTMENT</t>
  </si>
  <si>
    <t>IDBFG</t>
  </si>
  <si>
    <t>INF579M01183</t>
  </si>
  <si>
    <t>IIFL DYNAMIC BOND FUND REGULAR PLAN GROWTH</t>
  </si>
  <si>
    <t>IDD202DR</t>
  </si>
  <si>
    <t>INF194K01W05</t>
  </si>
  <si>
    <t>IDFC CORE EQUITY FUND-IDCW REINVESTMENT-(DIRECT PLAN)</t>
  </si>
  <si>
    <t>IDD204DR</t>
  </si>
  <si>
    <t>INF194K01W88</t>
  </si>
  <si>
    <t>IDFC FLEXI CAP FUND - DIRECT PLAN - IDCW REINVESTMENT</t>
  </si>
  <si>
    <t>IDD206DR</t>
  </si>
  <si>
    <t>INF194K01W47</t>
  </si>
  <si>
    <t>IDFC FOCUSED EQUITY FUND-DIRECT PLAN-IDCW REINVESTMENT</t>
  </si>
  <si>
    <t>IDD208DR</t>
  </si>
  <si>
    <t>INF194K01Z69</t>
  </si>
  <si>
    <t>IDFC LARGE CAP FUND-IDCW REINVESTMENT-(DIRECT PLAN)</t>
  </si>
  <si>
    <t>IDD210DR</t>
  </si>
  <si>
    <t>INF194K01Y86</t>
  </si>
  <si>
    <t>IDFC ARBITRAGE FUND-MONTHLY IDCW REINVESTMENT-(DIRECT PLAN)</t>
  </si>
  <si>
    <t>IDD216DR</t>
  </si>
  <si>
    <t>INF194K010A2</t>
  </si>
  <si>
    <t>IDFC STERLING VALUE FUND-IDCW REINVESTMENT-(DIRECT PLAN)</t>
  </si>
  <si>
    <t>IDD283DR</t>
  </si>
  <si>
    <t>INF194K011N3</t>
  </si>
  <si>
    <t>IDFC BANKING AND PSU DEBT FUND-DIRECT PLAN-MONTHLY-IDCW REINVESTMENT</t>
  </si>
  <si>
    <t>IDD284DP</t>
  </si>
  <si>
    <t>INF194K018M0</t>
  </si>
  <si>
    <t>IDFC BANKING AND PSU DEBT FUND-DIRECT PLAN-QUARTERLY-IDCW PAYOUT</t>
  </si>
  <si>
    <t>IDD303GR</t>
  </si>
  <si>
    <t>INF194KA1M23</t>
  </si>
  <si>
    <t>IDFC CORPORATE BOND FUND DIRECT PLAN-GROWTH</t>
  </si>
  <si>
    <t>IDD305DP</t>
  </si>
  <si>
    <t>INF194KA1S43</t>
  </si>
  <si>
    <t>IDFC CORPORATE BOND FUND DIRECT PLAN-MONTHLY IDCW PAYOUT</t>
  </si>
  <si>
    <t>IDD305RDR</t>
  </si>
  <si>
    <t>INF194KA1S50</t>
  </si>
  <si>
    <t>IDFC CORPORATE BOND FUND DIRECT PLAN-MONTHLY IDCW REINVESTMENT</t>
  </si>
  <si>
    <t>IDDDQBDP</t>
  </si>
  <si>
    <t>INF194K01N89</t>
  </si>
  <si>
    <t>IDFC DYNAMIC BOND FUND-QUARTERLY (DIRECT PLAN)-IDCW PAYOUT</t>
  </si>
  <si>
    <t>IDDDQBDR</t>
  </si>
  <si>
    <t>INF194K01N71</t>
  </si>
  <si>
    <t>IDFC DYNAMIC BOND FUND-QUARTERLY IDCW REINVESTMENT-(DIRECT PLAN)</t>
  </si>
  <si>
    <t>IDDSTDDP</t>
  </si>
  <si>
    <t>INF194K01U23</t>
  </si>
  <si>
    <t>IDFC BOND FUND - SHORT TERM PLAN-MONTHLY (DIRECT PLAN)-IDCW PAYOUT</t>
  </si>
  <si>
    <t>IDDSTDDR</t>
  </si>
  <si>
    <t>INF194K01U15</t>
  </si>
  <si>
    <t>IDFC BOND FUND - SHORT TERM PLAN-MONTHLY IDCW REINVESTMENT-(DIRECT PLAN)</t>
  </si>
  <si>
    <t>IDDSTFDP</t>
  </si>
  <si>
    <t>INF194K01U56</t>
  </si>
  <si>
    <t>IDFC BOND FUND - SHORT TERM PLAN-FORTNIGHTLY (DIRECT PLAN)-IDCW PAYOUT</t>
  </si>
  <si>
    <t>IDDSTFDR</t>
  </si>
  <si>
    <t>INF194K01U49</t>
  </si>
  <si>
    <t>IDFC BOND FUND - SHORT TERM PLAN-FORTNIGHTLY IDCW REINVESTMENT-(DIRECT PLAN)</t>
  </si>
  <si>
    <t>IDFC201</t>
  </si>
  <si>
    <t>INF194K01524</t>
  </si>
  <si>
    <t>IDFC CORE EQUITY FUND-REGULAR PLAN-GROWTH</t>
  </si>
  <si>
    <t>IDFC202</t>
  </si>
  <si>
    <t>INF194K01532</t>
  </si>
  <si>
    <t>IDFC CORE EQUITY FUND-REGULAR PLAN-IDCW REINVESTMENT</t>
  </si>
  <si>
    <t>IDFC202R</t>
  </si>
  <si>
    <t>INF194K01540</t>
  </si>
  <si>
    <t>IDFC CORE EQUITY FUND-REGULAR-IDCW REINVESTMENT</t>
  </si>
  <si>
    <t>IDFC203</t>
  </si>
  <si>
    <t>INF194K01391</t>
  </si>
  <si>
    <t>IDFC FLEXI CAP FUND - REGULAR PLAN GROWTH</t>
  </si>
  <si>
    <t>IDFC204</t>
  </si>
  <si>
    <t>INF194K01409</t>
  </si>
  <si>
    <t>IDFC FLEXI CAP FUND - REGULAR PLAN - IDCW REINVESTMENT</t>
  </si>
  <si>
    <t>IDFC204R</t>
  </si>
  <si>
    <t>INF194K01417</t>
  </si>
  <si>
    <t>IDFC205</t>
  </si>
  <si>
    <t>INF194K01466</t>
  </si>
  <si>
    <t>IDFC FOCUSED EQUITY FUND-REGULAR PLAN-GROWTH</t>
  </si>
  <si>
    <t>IDFC206</t>
  </si>
  <si>
    <t>INF194K01474</t>
  </si>
  <si>
    <t>IDFC FOCUSED EQUITY FUND-REGULAR PLAN-IDCW REINVESTMENT</t>
  </si>
  <si>
    <t>IDFC206R</t>
  </si>
  <si>
    <t>INF194K01482</t>
  </si>
  <si>
    <t>IDFC207</t>
  </si>
  <si>
    <t>INF194K01516</t>
  </si>
  <si>
    <t>IDFC LARGE CAP FUND-REGULAR PLAN-GROWTH</t>
  </si>
  <si>
    <t>IDFC208</t>
  </si>
  <si>
    <t>INF194K01490</t>
  </si>
  <si>
    <t>IDFC LARGE CAP FUND-REGULAR PLAN-IDCW REINVESTMENT</t>
  </si>
  <si>
    <t>IDFC208R</t>
  </si>
  <si>
    <t>INF194K01508</t>
  </si>
  <si>
    <t>IDFC EQUITY FUND-REGULAR PLAN-IDCW REINVESTMENT</t>
  </si>
  <si>
    <t>IDFC209</t>
  </si>
  <si>
    <t>INF194K01649</t>
  </si>
  <si>
    <t>IDFC ARBITRAGE FUND-REGULAR PLAN- GROWTH</t>
  </si>
  <si>
    <t>IDFC210</t>
  </si>
  <si>
    <t>INF194K01656</t>
  </si>
  <si>
    <t>IDFC ARBITRAGE FUND REGULAR MONTHLY IDCW REINVESTMENT</t>
  </si>
  <si>
    <t>IDFC210R</t>
  </si>
  <si>
    <t>INF194K01664</t>
  </si>
  <si>
    <t>IDFC215</t>
  </si>
  <si>
    <t>INF194K01342</t>
  </si>
  <si>
    <t>IDFC STERLING VALUE FUND-REGULAR PLAN-GROWTH</t>
  </si>
  <si>
    <t>IDFC216</t>
  </si>
  <si>
    <t>INF194K01359</t>
  </si>
  <si>
    <t>IDFC STERLING VALUE FUND-REGULAR PLAN-IDCW REINVESTMENT</t>
  </si>
  <si>
    <t>IDFC216R</t>
  </si>
  <si>
    <t>INF194K01367</t>
  </si>
  <si>
    <t>IDFC STERLING VALUE FUND - REGULAR - IDCW REINVESTMENT</t>
  </si>
  <si>
    <t>IDFC259</t>
  </si>
  <si>
    <t>INF194K01JZ9</t>
  </si>
  <si>
    <t>IDFC BOND FUND - MEDIUM TERM PLAN - QUARTERLY - IDCW REINVESTMENT</t>
  </si>
  <si>
    <t>IDFC259R</t>
  </si>
  <si>
    <t>INF194K01JY2</t>
  </si>
  <si>
    <t>IDFC265</t>
  </si>
  <si>
    <t>INF194K01BY9</t>
  </si>
  <si>
    <t>IDFC INFRASTRUCTURE FUND-REGULAR PLAN-GROWTH</t>
  </si>
  <si>
    <t>IDFC266</t>
  </si>
  <si>
    <t>INF194K01BZ6</t>
  </si>
  <si>
    <t>IDFC INFRASTRUCTURE FUND-REGULAR PLAN-IDCW REINVESTMENT</t>
  </si>
  <si>
    <t>INF194K01CA7</t>
  </si>
  <si>
    <t>IDFC280</t>
  </si>
  <si>
    <t>INF194K01SN6</t>
  </si>
  <si>
    <t>IDFC BANKING AND PSU DEBT FUND-REGULAR PLAN-GROWTH</t>
  </si>
  <si>
    <t>IDFC281</t>
  </si>
  <si>
    <t>INF194K01SO4</t>
  </si>
  <si>
    <t>IDFC BANKING AND PSU DEBT FUND-REGULAR PLAN-IDCW REINVESTMENT</t>
  </si>
  <si>
    <t>IDFC281R</t>
  </si>
  <si>
    <t>INF194K012D2</t>
  </si>
  <si>
    <t>IDFC283R</t>
  </si>
  <si>
    <t>INF194K017M2</t>
  </si>
  <si>
    <t>IDFC BANKING AND PSU DEBT FUND-REGULAR PLAN-MONTHLY-IDCW REINVESTMENT</t>
  </si>
  <si>
    <t>IDFC284</t>
  </si>
  <si>
    <t>INF194K014M9</t>
  </si>
  <si>
    <t>IDFC BANKING AND PSU DEBT FUND-REGULAR PLAN-QUARTERLY-IDCW PAYOUT</t>
  </si>
  <si>
    <t>IDFC285</t>
  </si>
  <si>
    <t>INF194K015M6</t>
  </si>
  <si>
    <t>IDFC BANKING AND PSU DEBT FUND-REGULAR PLAN-ANNUAL-IDCW PAYOUT</t>
  </si>
  <si>
    <t>IDFC299</t>
  </si>
  <si>
    <t>INF194KA1UE8</t>
  </si>
  <si>
    <t>IDFC BALANCED ADVANTAGE FUND REGULAR PLAN - GROWTH</t>
  </si>
  <si>
    <t>IDFC300</t>
  </si>
  <si>
    <t>INF194KA1UF5</t>
  </si>
  <si>
    <t>IDFC BALANCED ADVANTAGE FUND REGULAR PLAN IDCW PAYOUT</t>
  </si>
  <si>
    <t>IDFC300R</t>
  </si>
  <si>
    <t>INF194KA1UG3</t>
  </si>
  <si>
    <t>IDFC BALANCED ADVANTAGE FUND REGULAR PLAN IDCW REINVESTMENT</t>
  </si>
  <si>
    <t>IDFC303</t>
  </si>
  <si>
    <t>INF194KA1L81</t>
  </si>
  <si>
    <t>IDFC CORPORATE BOND FUND REGULAR PLAN-GROWTH</t>
  </si>
  <si>
    <t>IDFC304</t>
  </si>
  <si>
    <t>INF194KA1L99</t>
  </si>
  <si>
    <t>IDFC CORPORATE BOND FUND REGULAR PLAN-IDCW PAYOUT</t>
  </si>
  <si>
    <t>IDFC304R</t>
  </si>
  <si>
    <t>INF194KA1M07</t>
  </si>
  <si>
    <t>IDFC CORPORATE BOND FUND REGULAR PLAN IDCW REINVESTMENT</t>
  </si>
  <si>
    <t>IDFC311</t>
  </si>
  <si>
    <t>INF194KA1U15</t>
  </si>
  <si>
    <t>IDFC HYBRID EQUITY FUND REGULAR PLAN-GROWTH</t>
  </si>
  <si>
    <t>IDFC312</t>
  </si>
  <si>
    <t>INF194KA1U23</t>
  </si>
  <si>
    <t>IDFC HYBRID EQUITY FUND REGULAR PLAN- IDCW PAYOUT</t>
  </si>
  <si>
    <t>IDFC312R</t>
  </si>
  <si>
    <t>INF194KA1U31</t>
  </si>
  <si>
    <t>IDFC HYBRID EQUITY FUND REGULAR PLAN-IDCW REINVESTMENT</t>
  </si>
  <si>
    <t>IDFC313</t>
  </si>
  <si>
    <t>INF194KA1W39</t>
  </si>
  <si>
    <t>IDFC CREDIT RISK FUND-REGULAR PLAN -GROWTH</t>
  </si>
  <si>
    <t>IDFC327</t>
  </si>
  <si>
    <t>INF194KA10Q8</t>
  </si>
  <si>
    <t>IDFC ULTRA SHORT TERM FUND REGULAR PLAN-GROWTH</t>
  </si>
  <si>
    <t>IDFC328</t>
  </si>
  <si>
    <t>INF194KA18Q1</t>
  </si>
  <si>
    <t>IDFC ULTRA SHORT TERM FUND REGULAR PLAN-QUARTERLY-IDCW PAYOUT</t>
  </si>
  <si>
    <t>IDFC328R</t>
  </si>
  <si>
    <t>INF194KA19Q9</t>
  </si>
  <si>
    <t>IDFC ULTRA SHORT TERM FUND REGULAR PLAN-QUARTERLY-IDCW REINVESTMENT</t>
  </si>
  <si>
    <t>IDFC330</t>
  </si>
  <si>
    <t>INF194KA13Q2</t>
  </si>
  <si>
    <t>IDFC ULTRA SHORT TERM FUND REGULAR PLAN-DAILY-IDCW REINVESTMENT</t>
  </si>
  <si>
    <t>IDFC331</t>
  </si>
  <si>
    <t>INF194KA15Q7</t>
  </si>
  <si>
    <t>IDFC ULTRA SHORT TERM FUND REGULAR PLAN-MONTHLY-IDCW PAYOUT</t>
  </si>
  <si>
    <t>IDFC331R</t>
  </si>
  <si>
    <t>INF194KA16Q5</t>
  </si>
  <si>
    <t>IDFC ULTRA SHORT TERM FUND REGULAR PLAN-MONTHLY-IDCW REINVESTMENT</t>
  </si>
  <si>
    <t>IDFC65</t>
  </si>
  <si>
    <t>INF194K01FU8</t>
  </si>
  <si>
    <t>IDFC LOW DURATION FUND-REGULAR PLAN-GROWTH</t>
  </si>
  <si>
    <t>IDFC66</t>
  </si>
  <si>
    <t>INF194K01FV6</t>
  </si>
  <si>
    <t>IDFC LOW DURATION FUND - DAILY IDCW REINVESTMENT- REGULAR</t>
  </si>
  <si>
    <t>IDFC67</t>
  </si>
  <si>
    <t>INF194K01GB6</t>
  </si>
  <si>
    <t>IDFC LOW DURATION FUND - WEEKLY IDCW REINVESTMENT- REGULAR</t>
  </si>
  <si>
    <t>IDFC68</t>
  </si>
  <si>
    <t>INF194K01FZ7</t>
  </si>
  <si>
    <t>IDFC LOW DURATION FUND-MONTHLY-IDCW REINVESTMENT</t>
  </si>
  <si>
    <t>IDFC68R</t>
  </si>
  <si>
    <t>INF194K01FY0</t>
  </si>
  <si>
    <t>IDFC82</t>
  </si>
  <si>
    <t>INF194K01QG4</t>
  </si>
  <si>
    <t>IDFC DYNAMIC BOND FUND-REGULAR PLAN-GROWTH</t>
  </si>
  <si>
    <t>IDFC83</t>
  </si>
  <si>
    <t>INF194K01QO8</t>
  </si>
  <si>
    <t>IDFC DYNAMIC BOND FUND - REGULAR - IDCW REINVESTMENT</t>
  </si>
  <si>
    <t>IDFC83R</t>
  </si>
  <si>
    <t>INF194K01QN0</t>
  </si>
  <si>
    <t>IDFCBPDF</t>
  </si>
  <si>
    <t>INF194KA1JC5</t>
  </si>
  <si>
    <t>IDFC BANKING AND PSU DEBT FUND-REGULAR PLAN-DAILY-IDCW REINVESTMENT</t>
  </si>
  <si>
    <t>IDFCBSTPQ</t>
  </si>
  <si>
    <t>INF194KA18K4</t>
  </si>
  <si>
    <t>IDFC BOND FUND - SHORT TERM PLAN- DIRECT PLAN- QUARTERLY IDCW PAYOUT</t>
  </si>
  <si>
    <t>IDFCBSTPRQ</t>
  </si>
  <si>
    <t>INF194KA13K5</t>
  </si>
  <si>
    <t>IDFC BOND FUND - SHORT TERM PLAN- REGULAR PLAN- QUARTERLY IDCW REINVESTMENT</t>
  </si>
  <si>
    <t>IDFCCOFDG</t>
  </si>
  <si>
    <t>INF194KA1X61</t>
  </si>
  <si>
    <t>IDFC CREDIT RISK FUND-DIRECT PLAN-GROWTH</t>
  </si>
  <si>
    <t>IDFCD201</t>
  </si>
  <si>
    <t>INF194K01V89</t>
  </si>
  <si>
    <t>IDFC CORE EQUITY FUND-GROWTH-(DIRECT PLAN)</t>
  </si>
  <si>
    <t>IDFCD202</t>
  </si>
  <si>
    <t>INF194K01V97</t>
  </si>
  <si>
    <t>IDFC CORE EQUITY FUND (DIRECT PLAN)-IDCW PAYOUT</t>
  </si>
  <si>
    <t>IDFCD203</t>
  </si>
  <si>
    <t>INF194K01W62</t>
  </si>
  <si>
    <t>IDFC FLEXI CAP FUND - DIRECT PLAN GROWTH</t>
  </si>
  <si>
    <t>IDFCD204</t>
  </si>
  <si>
    <t>INF194K01W70</t>
  </si>
  <si>
    <t>IDFC FLEXI CAP FUND - DIRECT PLAN - IDCW PAYOUT</t>
  </si>
  <si>
    <t>IDFCD205</t>
  </si>
  <si>
    <t>INF194K01W21</t>
  </si>
  <si>
    <t>IDFC FOCUSED EQUITY FUND-DIRECT PLAN-GROWTH</t>
  </si>
  <si>
    <t>IDFCD206</t>
  </si>
  <si>
    <t>INF194K01W39</t>
  </si>
  <si>
    <t>IDFC FOCUSED EQUITY FUND-DIRECT PLAN-IDCW PAYOUT</t>
  </si>
  <si>
    <t>IDFCD207</t>
  </si>
  <si>
    <t>INF194K01Z44</t>
  </si>
  <si>
    <t>IDFC LARGE CAP FUND-GROWTH-(DIRECT PLAN)</t>
  </si>
  <si>
    <t>IDFCD208</t>
  </si>
  <si>
    <t>INF194K01Z51</t>
  </si>
  <si>
    <t>IDFC LARGE CAP FUND (DIRECT PLAN)-IDCW PAYOUT</t>
  </si>
  <si>
    <t>IDFCD209</t>
  </si>
  <si>
    <t>INF194K01Y60</t>
  </si>
  <si>
    <t>IDFC ARBITRAGE FUND-GROWTH-(DIRECT PLAN)</t>
  </si>
  <si>
    <t>IDFCD210</t>
  </si>
  <si>
    <t>INF194K01Y78</t>
  </si>
  <si>
    <t>IDFC ARBITRAGE FUND-MONTHLY (DIRECT PLAN)-IDCW PAYOUT</t>
  </si>
  <si>
    <t>IDFCD215</t>
  </si>
  <si>
    <t>INF194K01Z85</t>
  </si>
  <si>
    <t>IDFC STERLING VALUE FUND-GROWTH-(DIRECT PLAN)</t>
  </si>
  <si>
    <t>IDFCD216</t>
  </si>
  <si>
    <t>INF194K01Z93</t>
  </si>
  <si>
    <t>IDFC STERLING VALUE FUND (DIRECT PLAN)-IDCW PAYOUT</t>
  </si>
  <si>
    <t>IDFCD265</t>
  </si>
  <si>
    <t>INF194K01X46</t>
  </si>
  <si>
    <t>IDFC INFRASTRUCTURE FUND-GROWTH-(DIRECT PLAN)</t>
  </si>
  <si>
    <t>IDFCD266</t>
  </si>
  <si>
    <t>INF194K01X53</t>
  </si>
  <si>
    <t>IDFC INFRASTRUCTURE FUND (DIRECT PLAN)-IDCW PAYOUT</t>
  </si>
  <si>
    <t>INF194K01X61</t>
  </si>
  <si>
    <t>IDFC INFRASTRUCTURE FUND-IDCW REINVESTMENT-(DIRECT PLAN)</t>
  </si>
  <si>
    <t>IDFCD280</t>
  </si>
  <si>
    <t>INF194K015G8</t>
  </si>
  <si>
    <t>IDFC BANKING AND PSU DEBT FUND-DIRECT PLAN-GROWTH</t>
  </si>
  <si>
    <t>IDFCD291</t>
  </si>
  <si>
    <t>INF194KA1TD2</t>
  </si>
  <si>
    <t>IDFC BOND FUND - MEDIUM TERM PLAN - PERIODIC (DIRECT PLAN)-IDCW PAYOUT</t>
  </si>
  <si>
    <t>IDFCD291R</t>
  </si>
  <si>
    <t>INF194KA1TE0</t>
  </si>
  <si>
    <t>IDFC BOND FUND - MEDIUM TERM PLAN - PERIODIC IDCW REINVESTMENT (DIRECT PLAN)</t>
  </si>
  <si>
    <t>IDFCD299</t>
  </si>
  <si>
    <t>INF194KA1UH1</t>
  </si>
  <si>
    <t>IDFC BALANCED ADVANTAGE FUND DIRECT PLAN - GROWTH</t>
  </si>
  <si>
    <t>IDFCD300</t>
  </si>
  <si>
    <t>INF194KA1UI9</t>
  </si>
  <si>
    <t>IDFC BALANCED ADVANTAGE FUND DIRECT PLAN IDCW PAYOUT</t>
  </si>
  <si>
    <t>IDFCD300R</t>
  </si>
  <si>
    <t>INF194KA1UJ7</t>
  </si>
  <si>
    <t>IDFC BALANCED ADVANTAGE FUND DIRECT PLAN IDCW REINVESTMENT</t>
  </si>
  <si>
    <t>IDFCD301</t>
  </si>
  <si>
    <t>INF194KA1YG5</t>
  </si>
  <si>
    <t>IDFC ARBITRAGE FUND (DIRECT PLAN)-ANNUAL IDCW PAYOUT</t>
  </si>
  <si>
    <t>IDFCD301R</t>
  </si>
  <si>
    <t>INF194KA1YH3</t>
  </si>
  <si>
    <t>IDFC ARBITRAGE FUND (DIRECT PLAN)-REINV-EXCH-ANNUAL IDCW REINVESTMENT</t>
  </si>
  <si>
    <t>IDFCD65</t>
  </si>
  <si>
    <t>INF194K01J77</t>
  </si>
  <si>
    <t>IDFC LOW DURATION FUND-GROWTH-(DIRECT PLAN)</t>
  </si>
  <si>
    <t>IDFCD66</t>
  </si>
  <si>
    <t>INF194K01J85</t>
  </si>
  <si>
    <t>IDFC LOW DURATION FUND-DAILY IDCW REINVESTMENT-(DIRECT PLAN)</t>
  </si>
  <si>
    <t>IDFCD67</t>
  </si>
  <si>
    <t>INF194K01K33</t>
  </si>
  <si>
    <t>IDFC LOW DURATION FUND-WEEKLY IDCW REINVESTMENT-(DIRECT PLAN)</t>
  </si>
  <si>
    <t>IDFCD82</t>
  </si>
  <si>
    <t>INF194K01N63</t>
  </si>
  <si>
    <t>IDFC DYNAMIC BOND FUND-GROWTH-(DIRECT PLAN)</t>
  </si>
  <si>
    <t>IDFCDMTG</t>
  </si>
  <si>
    <t>INF194K01S50</t>
  </si>
  <si>
    <t>IDFC BOND FUND - MEDIUM TERM PLAN - DIRECT PLAN - GROWTH</t>
  </si>
  <si>
    <t>IDFCDSSG</t>
  </si>
  <si>
    <t>INF194K01R51</t>
  </si>
  <si>
    <t>IDFC BOND FUND - LONG TERM PLAN - GROWTH - DIRECT PLAN</t>
  </si>
  <si>
    <t>IDFCDSTG</t>
  </si>
  <si>
    <t>INF194K01U07</t>
  </si>
  <si>
    <t>IDFC BOND FUND - SHORT TERM PLAN-GROWTH-(DIRECT PLAN)</t>
  </si>
  <si>
    <t>IDFCEBFDG</t>
  </si>
  <si>
    <t>INF194KB1AL4</t>
  </si>
  <si>
    <t>IDFC EMERGING BUSINESSES FUND DIRECT PLAN-GROWTH</t>
  </si>
  <si>
    <t>IDFCEBFDP</t>
  </si>
  <si>
    <t>INF194KB1AM2</t>
  </si>
  <si>
    <t>IDFC EMERGING BUSINESSES FUND DIRECT PLAN-IDCW PAYOUT</t>
  </si>
  <si>
    <t>IDFCEBFRD</t>
  </si>
  <si>
    <t>INF194KB1AK6</t>
  </si>
  <si>
    <t>IDFC EMERGING BUSINESSES FUND REGULAR PLAN-IDCW PAYOUT</t>
  </si>
  <si>
    <t>IDFCEBFRG</t>
  </si>
  <si>
    <t>INF194KB1AJ8</t>
  </si>
  <si>
    <t>IDFC EMERGING BUSINESSES FUND REGULAR PLAN-GROWTH</t>
  </si>
  <si>
    <t>IDFCFRFDG</t>
  </si>
  <si>
    <t>INF194KB1BA5</t>
  </si>
  <si>
    <t>IDFC FLOATING RATE FUND DIRECT PLAN-GROWTH</t>
  </si>
  <si>
    <t>IDFCFRFRG</t>
  </si>
  <si>
    <t>INF194KB1AP5</t>
  </si>
  <si>
    <t>IDFC FLOATING RATE FUND REGULAR PLAN-GROWTH</t>
  </si>
  <si>
    <t>IDFCHEFDG</t>
  </si>
  <si>
    <t>INF194KA1U56</t>
  </si>
  <si>
    <t>IDFC HYBRID EQUITY FUND DIRECT PLAN-GROWTH</t>
  </si>
  <si>
    <t>IDFCMTG</t>
  </si>
  <si>
    <t>INF194K01JU0</t>
  </si>
  <si>
    <t>IDFC BOND FUND - MEDIUM TERM PLAN-REGULAR PLAN-GROWTH</t>
  </si>
  <si>
    <t>IDFCSSD</t>
  </si>
  <si>
    <t>INF194K01IT4</t>
  </si>
  <si>
    <t>IDFC BOND FUND - LONG TERM PLAN - REGULAR PLAN - QUARTERLY IDCW REINVESTMENT</t>
  </si>
  <si>
    <t>IDFCSSDR</t>
  </si>
  <si>
    <t>INF194K01IS6</t>
  </si>
  <si>
    <t>IDFCSSG</t>
  </si>
  <si>
    <t>INF194K01IL1</t>
  </si>
  <si>
    <t>IDFC BOND FUND - LONG TERM PLAN-REGULAR PLAN-GROWTH</t>
  </si>
  <si>
    <t>IDFCSTD</t>
  </si>
  <si>
    <t>INF194K01HH1</t>
  </si>
  <si>
    <t>IDFC BOND FUND - SHORT TERM PLAN-MONTHLY-IDCW REINVESTMENT</t>
  </si>
  <si>
    <t>IDFCSTDR</t>
  </si>
  <si>
    <t>INF194K01HG3</t>
  </si>
  <si>
    <t>IDFCSTF</t>
  </si>
  <si>
    <t>INF194K01HK5</t>
  </si>
  <si>
    <t>IDFC BOND FUND - SHORT TERM PLAN -FORTNIGHTLY-IDCW PAYOUT</t>
  </si>
  <si>
    <t>INF194K01HJ7</t>
  </si>
  <si>
    <t>IDFC BOND FUND - SHORT TERM PLAN -FORTNIGHTLY-IDCW REINVESTMENT</t>
  </si>
  <si>
    <t>IDFCSTG</t>
  </si>
  <si>
    <t>INF194K01HF5</t>
  </si>
  <si>
    <t>IDFC BOND FUND - SHORT TERM PLAN -REGULAR PLAN-GROWTH</t>
  </si>
  <si>
    <t>IDFCUSTFDD</t>
  </si>
  <si>
    <t>INF194KA19R7</t>
  </si>
  <si>
    <t>IDFC ULTRA SHORT TERM FUND DIRECT PLAN -DAILY-IDCW REINVESTMENT</t>
  </si>
  <si>
    <t>IDFCUSTFDG</t>
  </si>
  <si>
    <t>INF194KA16R3</t>
  </si>
  <si>
    <t>IDFC ULTRA SHORT TERM FUND DIRECT PLAN -GROWTH</t>
  </si>
  <si>
    <t>IDIED1D</t>
  </si>
  <si>
    <t>INF397L01BW0</t>
  </si>
  <si>
    <t>IDBI INDIA TOP 100 EQUITY FUND-DIRECT PLAN - IDCW PAYOUT</t>
  </si>
  <si>
    <t>IDIED1R</t>
  </si>
  <si>
    <t>INF397L01BX8</t>
  </si>
  <si>
    <t>IDBI INDIA TOP 100 EQUITY FUND-DIRECT PLAN - IDCW REINVESTMENT</t>
  </si>
  <si>
    <t>IDIEFDP</t>
  </si>
  <si>
    <t>INF397L01836</t>
  </si>
  <si>
    <t>IDBI INDIA TOP 100 EQUITY FUND REGULAR PLAN - IDCW PAYOUT</t>
  </si>
  <si>
    <t>IDIEFDR</t>
  </si>
  <si>
    <t>INF397L01844</t>
  </si>
  <si>
    <t>IDBI INDIA TOP 100 EQUITY FUND REGULAR PLAN - IDCW REINVESTMENT</t>
  </si>
  <si>
    <t>IDIEFG</t>
  </si>
  <si>
    <t>INF397L01869</t>
  </si>
  <si>
    <t>IDBI INDIA TOP 100 EQUITY FUND REGULAR PLAN - GROWTH</t>
  </si>
  <si>
    <t>IDIEG1</t>
  </si>
  <si>
    <t>INF397L01BV2</t>
  </si>
  <si>
    <t>IDBI INDIA TOP 100 EQUITY FUND-DIRECT PLAN - GROWTH-GROWTH</t>
  </si>
  <si>
    <t>IGDDP</t>
  </si>
  <si>
    <t>INF579M01910</t>
  </si>
  <si>
    <t>IIFL FOCUSED EQUITY FUND DIRECT PLAN- IDCW PAYOUT</t>
  </si>
  <si>
    <t>IGDDR</t>
  </si>
  <si>
    <t>INF579M01928</t>
  </si>
  <si>
    <t>IIFL FOCUSED EQUITY FUND DIRECT PLAN- IDCW REINVESTMENT</t>
  </si>
  <si>
    <t>IGDG</t>
  </si>
  <si>
    <t>INF579M01902</t>
  </si>
  <si>
    <t>IIFL FOCUSED EQUITY FUND DIRECT PLAN- GROWTH</t>
  </si>
  <si>
    <t>IGRDP</t>
  </si>
  <si>
    <t>INF579M01886</t>
  </si>
  <si>
    <t>IIFL FOCUSED EQUITY FUND REGULAR PLAN- IDCW PAYOUT</t>
  </si>
  <si>
    <t>IGRDR</t>
  </si>
  <si>
    <t>INF579M01894</t>
  </si>
  <si>
    <t>IIFL FOCUSED EQUITY FUND REGULAR PLAN- IDCW REINVESTMENT</t>
  </si>
  <si>
    <t>IGRG</t>
  </si>
  <si>
    <t>INF579M01878</t>
  </si>
  <si>
    <t>IIFL FOCUSED EQUITY FUND REGULAR PLAN- GROWTH</t>
  </si>
  <si>
    <t>IMF20EFRG</t>
  </si>
  <si>
    <t>INF205KA1171</t>
  </si>
  <si>
    <t>INVESCO INDIA FOCUSED 20 EQUITY FUND REGULAR PLAN IDCW PAYOUT</t>
  </si>
  <si>
    <t>IMFAFD1GR</t>
  </si>
  <si>
    <t>INF205K01KR8</t>
  </si>
  <si>
    <t>INVESCO INDIA ARBITRAGE FUND - DIRECT PLAN GROWTH</t>
  </si>
  <si>
    <t>IMFAID1GR</t>
  </si>
  <si>
    <t>INF205K01RF8</t>
  </si>
  <si>
    <t>INVESCO INDIA CORPORATE BOND FUND - DIRECT PLAN GROWTH</t>
  </si>
  <si>
    <t>IMFBLD1GR</t>
  </si>
  <si>
    <t>INF205K01LB0</t>
  </si>
  <si>
    <t>INVESCO INDIA LARGECAP FUND - DIRECT PLAN GROWTH</t>
  </si>
  <si>
    <t>IMFCFD2DP</t>
  </si>
  <si>
    <t>INF205K01LC8</t>
  </si>
  <si>
    <t>INVESCO INDIA CONTRA FUND - DIRECT PLAN IDCW PAYOUT</t>
  </si>
  <si>
    <t>IMFCFD2DR</t>
  </si>
  <si>
    <t>INF205K01LD6</t>
  </si>
  <si>
    <t>INVESCO INDIA CONTRA FUND - DIRECT PLAN IDCW REINVESTMENT</t>
  </si>
  <si>
    <t>IMFEFD1GR</t>
  </si>
  <si>
    <t>INF205K01LN5</t>
  </si>
  <si>
    <t>INVESCO INDIA DYNAMIC EQUITY FUND - DIRECT PLAN GROWTH</t>
  </si>
  <si>
    <t>IMFEFD2DP</t>
  </si>
  <si>
    <t>INF205K01LL9</t>
  </si>
  <si>
    <t>INVESCO INDIA DYNAMIC EQUITY FUND - DIRECT PLAN IDCW PAYOUT</t>
  </si>
  <si>
    <t>IMFEFD2DR</t>
  </si>
  <si>
    <t>INF205K01LM7</t>
  </si>
  <si>
    <t>INVESCO INDIA DYNAMIC EQUITY FUND - DIRECT PLAN IDCW REINVESTMENT</t>
  </si>
  <si>
    <t>IMFESGDRGP</t>
  </si>
  <si>
    <t>INF205KA1338</t>
  </si>
  <si>
    <t>INVESCO INDIA ESG EQUITY FUND - DIRECT PLAN - GROWTH OPTION</t>
  </si>
  <si>
    <t>IMFESGRGDP</t>
  </si>
  <si>
    <t>INF205KA1296</t>
  </si>
  <si>
    <t>INVESCO INDIA ESG EQUITY FUND - REGULAR PLAN - IDCW PAYOUT OF INCOME DISTRIBUTION CUM CAPITAL WITHDRAWAL OPTION</t>
  </si>
  <si>
    <t>IMFESGRGDR</t>
  </si>
  <si>
    <t>INF205KA1312</t>
  </si>
  <si>
    <t>INVESCO INDIA ESG EQUITY FUND - REGULAR PLAN - IDCW REINVESTMENT</t>
  </si>
  <si>
    <t>IMFESGRGGP</t>
  </si>
  <si>
    <t>INF205KA1304</t>
  </si>
  <si>
    <t>INVESCO INDIA ESG EQUITY FUND - REGULAR PLAN - GROWTH OPTION</t>
  </si>
  <si>
    <t>IMFF20EFD</t>
  </si>
  <si>
    <t>INF205KA1221</t>
  </si>
  <si>
    <t>INVESCO INDIA FOCUSED 20 EQUITY FUND DIRECT PLAN IDCW REINVESTMENT</t>
  </si>
  <si>
    <t>IMFF20EFDR</t>
  </si>
  <si>
    <t>INF205KA1205</t>
  </si>
  <si>
    <t>INVESCO INDIA FOCUSED 20 EQUITY FUND DIRECT PLAN IDCW PAYOUT</t>
  </si>
  <si>
    <t>IMFF20EFRG</t>
  </si>
  <si>
    <t>INF205KA1189</t>
  </si>
  <si>
    <t>INVESCO INDIA FOCUSED 20 EQUITY FUND REGULAR PLAN GROWTH</t>
  </si>
  <si>
    <t>IMFF20ERG</t>
  </si>
  <si>
    <t>INF205KA1197</t>
  </si>
  <si>
    <t>INVESCO INDIA FOCUSED 20 EQUITY FUND REGULAR PLAN IDCW REINVESTMENT</t>
  </si>
  <si>
    <t>IMFF2EFDR</t>
  </si>
  <si>
    <t>INF205KA1213</t>
  </si>
  <si>
    <t>INVESCO INDIA FOCUSED 20 EQUITY FUND DIRECT PLAN GROWTH</t>
  </si>
  <si>
    <t>IMFGFD1GR</t>
  </si>
  <si>
    <t>INF205K01MA0</t>
  </si>
  <si>
    <t>INVESCO INDIA GROWTH OPPORTUNITIES FUND - DIRECT PLAN GROWTH</t>
  </si>
  <si>
    <t>IMFGFD2DP</t>
  </si>
  <si>
    <t>INF205K01LY2</t>
  </si>
  <si>
    <t>INVESCO INDIA GROWTH OPPORTUNITIES FUND - DIRECT PLAN IDCW PAYOUT</t>
  </si>
  <si>
    <t>IMFGFD2DR</t>
  </si>
  <si>
    <t>INF205K01LZ9</t>
  </si>
  <si>
    <t>INVESCO INDIA GROWTH OPPORTUNITIES FUND - DIRECT PLAN IDCW REINVESTMENT</t>
  </si>
  <si>
    <t>IMFMCD1GR</t>
  </si>
  <si>
    <t>INF205K01MV6</t>
  </si>
  <si>
    <t>INVESCO INDIA MIDCAP FUND - DIRECT PLAN GROWTH</t>
  </si>
  <si>
    <t>IMFMCD2DP</t>
  </si>
  <si>
    <t>INF205K01MT0</t>
  </si>
  <si>
    <t>INVESCO INDIA MIDCAP FUND - DIRECT PLAN IDCW PAYOUT</t>
  </si>
  <si>
    <t>IMFMCD2DR</t>
  </si>
  <si>
    <t>INF205K01MU8</t>
  </si>
  <si>
    <t>INVESCO INDIA MIDCAP FUND - DIRECT PLAN IDCW REINVESTMENT</t>
  </si>
  <si>
    <t>IMFMDFDRGP</t>
  </si>
  <si>
    <t>INF205KA1429</t>
  </si>
  <si>
    <t>INVESCO INDIA MEDIUM DURATION FUND - DIRECT PLAN - GROWTH</t>
  </si>
  <si>
    <t>IMFMDFRGGP</t>
  </si>
  <si>
    <t>INF205KA1379</t>
  </si>
  <si>
    <t>INVESCO INDIA MEDIUM DURATION FUND - REGULAR PLAN - GROWTH</t>
  </si>
  <si>
    <t>IMFMSD1GR</t>
  </si>
  <si>
    <t>INF205K01MS2</t>
  </si>
  <si>
    <t>INVESCO INDIA MULTICAP FUND - DIRECT PLAN GROWTH</t>
  </si>
  <si>
    <t>IMFMSD2DP</t>
  </si>
  <si>
    <t>INF205K01MQ6</t>
  </si>
  <si>
    <t>INVESCO INDIA MULTICAP FUND - DIRECT PLAN IDCW PAYOUT</t>
  </si>
  <si>
    <t>IMFMSD2DR</t>
  </si>
  <si>
    <t>INF205K01MR4</t>
  </si>
  <si>
    <t>INVESCO INDIA MULTICAP FUND - DIRECT PLAN IDCW REINVESTMENT</t>
  </si>
  <si>
    <t>IMFMTD1GR</t>
  </si>
  <si>
    <t>INF205K01TH0</t>
  </si>
  <si>
    <t>INVESCO INDIA ULTRA SHORT TERM FUND - DIRECT PLAN GROWTH</t>
  </si>
  <si>
    <t>IMFSCD1GR</t>
  </si>
  <si>
    <t>INF205K013T3</t>
  </si>
  <si>
    <t>INVESCO INDIA SMALL CAP FUND - DIRECT GROWTH</t>
  </si>
  <si>
    <t>IMFSCD2DP</t>
  </si>
  <si>
    <t>INF205K012T5</t>
  </si>
  <si>
    <t>INVESCO INDIA SMALL CAP FUND - DIRECT IDCW PAYOUT</t>
  </si>
  <si>
    <t>IMFSCD2DR</t>
  </si>
  <si>
    <t>INF205K015T8</t>
  </si>
  <si>
    <t>INVESCO INDIA SMALL CAP FUND - DIRECT IDCW REINVESTMENT</t>
  </si>
  <si>
    <t>IMFSCFRGDP</t>
  </si>
  <si>
    <t>INF205K010T9</t>
  </si>
  <si>
    <t>INVESCO INDIA SMALL CAP FUND - REGULAR IDCW PAYOUT</t>
  </si>
  <si>
    <t>IMFSCFRGDR</t>
  </si>
  <si>
    <t>INF205K014T1</t>
  </si>
  <si>
    <t>INVESCO INDIA SMALL CAP FUND - REGULAR IDCW REINVESTMENT</t>
  </si>
  <si>
    <t>IMFSCFRGGP</t>
  </si>
  <si>
    <t>INF205K011T7</t>
  </si>
  <si>
    <t>INVESCO INDIA SMALL CAP FUND - REGULAR GROWTH</t>
  </si>
  <si>
    <t>IMFSTD1GR</t>
  </si>
  <si>
    <t>INF205K01UH8</t>
  </si>
  <si>
    <t>INVESCO INDIA SHORT TERM FUND - DIRECT PLAN GROWTH</t>
  </si>
  <si>
    <t>IMFUSIDDR</t>
  </si>
  <si>
    <t>INF205K01HZ7</t>
  </si>
  <si>
    <t>INVESCO INDIA TREASURY ADVANTAGE FUND - DAILY IDCW REINVESTMENT</t>
  </si>
  <si>
    <t>IMFUSIWDP</t>
  </si>
  <si>
    <t>INF205K01IB6</t>
  </si>
  <si>
    <t>INVESCO INDIA TREASURY ADVANTAGE FUND - WEEKLY IDCW PAYOUT</t>
  </si>
  <si>
    <t>IMFUSIWDR</t>
  </si>
  <si>
    <t>INF205K01IA8</t>
  </si>
  <si>
    <t>INVESCO INDIA TREASURY ADVANTAGE FUND - WEEKLY IDCW REINVESTMENT</t>
  </si>
  <si>
    <t>INFRA</t>
  </si>
  <si>
    <t>INF178L01095</t>
  </si>
  <si>
    <t>KOTAK INFRASTRUCTURE AND ECONOMIC REFORM FUND STANDARD GROWTH</t>
  </si>
  <si>
    <t>INF178L01079</t>
  </si>
  <si>
    <t>KOTAK INFRASTRUCTURE AND ECONOMIC REFORM FUND STANDARD IDCW PAYOUT</t>
  </si>
  <si>
    <t>INF178L01087</t>
  </si>
  <si>
    <t>IP117</t>
  </si>
  <si>
    <t>INF109K01605</t>
  </si>
  <si>
    <t>ICICI PRUDENTIAL CHILD CARE FUND (GIFT PLAN)</t>
  </si>
  <si>
    <t>IP122P</t>
  </si>
  <si>
    <t>INF109K01FK7</t>
  </si>
  <si>
    <t>ICICI PRUDENTIAL MULTICAP FUND - IDCW PAYOUT</t>
  </si>
  <si>
    <t>IP1477</t>
  </si>
  <si>
    <t>INF109K01CQ1</t>
  </si>
  <si>
    <t>ICICI PRUDENTIAL CORPORATE BOND FUND - GROWTH</t>
  </si>
  <si>
    <t>IP1478</t>
  </si>
  <si>
    <t>INF109K01CR9</t>
  </si>
  <si>
    <t>ICICI PRUDENTIAL CORPORATE BOND FUND - DAILY IDCW REINVESTMENT</t>
  </si>
  <si>
    <t>IP1481</t>
  </si>
  <si>
    <t>INF109K01CT5</t>
  </si>
  <si>
    <t>ICICI PRUDENTIAL CORPORATE BOND FUND - MONTHLY IDCW PAYOUT</t>
  </si>
  <si>
    <t>IP1481P</t>
  </si>
  <si>
    <t>INF109K01SK0</t>
  </si>
  <si>
    <t>IP1482</t>
  </si>
  <si>
    <t>INF109K01SO2</t>
  </si>
  <si>
    <t>ICICI PRUDENTIAL CORPORATE BOND FUND - QUARTERLY IDCW PAYOUT</t>
  </si>
  <si>
    <t>IP1482P</t>
  </si>
  <si>
    <t>INF109K01SN4</t>
  </si>
  <si>
    <t>IP1524</t>
  </si>
  <si>
    <t>INF109K01738</t>
  </si>
  <si>
    <t>ICICI PRUDENTIAL SAVINGS FUND - DAILY IDCW REINVESTMENT</t>
  </si>
  <si>
    <t>IP1525</t>
  </si>
  <si>
    <t>INF109K01746</t>
  </si>
  <si>
    <t>ICICI PRUDENTIAL SAVINGS FUND - GROWTH</t>
  </si>
  <si>
    <t>IP1526</t>
  </si>
  <si>
    <t>INF109K01753</t>
  </si>
  <si>
    <t>ICICI PRUDENTIAL SAVINGS FUND - WEEKLY IDCW PAYOUT</t>
  </si>
  <si>
    <t>IP1543</t>
  </si>
  <si>
    <t>INF109K01AX1</t>
  </si>
  <si>
    <t>ICICI PRUDENTIAL FLOATING INTEREST FUND - GROWTH</t>
  </si>
  <si>
    <t>IP1544</t>
  </si>
  <si>
    <t>INF109K01AY9</t>
  </si>
  <si>
    <t>ICICI PRUDENTIAL FLOATING INTEREST FUND - WEEKLY IDCW PAYOUT</t>
  </si>
  <si>
    <t>IP1544P</t>
  </si>
  <si>
    <t>INF109K01EN4</t>
  </si>
  <si>
    <t>IP1545</t>
  </si>
  <si>
    <t>INF109K01AZ6</t>
  </si>
  <si>
    <t>ICICI PRUDENTIAL FLOATING INTEREST FUND - FORTNIGHTLY IDCW PAYOUT</t>
  </si>
  <si>
    <t>IP1588P</t>
  </si>
  <si>
    <t>INF109K01WS5</t>
  </si>
  <si>
    <t>ICICI PRUDENTIAL BANKING AND PSU DEBT FUND - DAILY IDCW PAYOUT</t>
  </si>
  <si>
    <t>IP1712P</t>
  </si>
  <si>
    <t>INF109K01GO7</t>
  </si>
  <si>
    <t>ICICI PRUDENTIAL ALL SEASONS BOND FUND - ANNUAL IDCW PAYOUT</t>
  </si>
  <si>
    <t>IP1713P</t>
  </si>
  <si>
    <t>INF109K01GK5</t>
  </si>
  <si>
    <t>ICICI PRUDENTIAL ALL SEASONS BOND FUND - IDCW PAYOUT</t>
  </si>
  <si>
    <t>IP1714P</t>
  </si>
  <si>
    <t>INF109K01GE8</t>
  </si>
  <si>
    <t>ICICI PRUDENTIAL ALL SEASONS BOND FUND - QUARTERLY IDCW PAYOUT</t>
  </si>
  <si>
    <t>IP1729</t>
  </si>
  <si>
    <t>INF109K01UF6</t>
  </si>
  <si>
    <t>ICICI PRUDENTIAL MEDIUM TERM BOND FUND - QUARTERLY IDCW PAYOUT</t>
  </si>
  <si>
    <t>IP1732</t>
  </si>
  <si>
    <t>INF109K01IW6</t>
  </si>
  <si>
    <t>ICICI PRUDENTIAL REGULAR SAVINGS FUND - HALF YEARLY IDCW PAYOUT</t>
  </si>
  <si>
    <t>IP1733</t>
  </si>
  <si>
    <t>INF109K01IX4</t>
  </si>
  <si>
    <t>ICICI PRUDENTIAL REGULAR SAVINGS FUND - QUARTERLY IDCW PAYOUT</t>
  </si>
  <si>
    <t>IP1839</t>
  </si>
  <si>
    <t>INF109K01YD3</t>
  </si>
  <si>
    <t>ICICI PRUDENTIAL BANKING AND PSU DEBT FUND - QUARTERLY IDCW PAYOUT</t>
  </si>
  <si>
    <t>IP1839P</t>
  </si>
  <si>
    <t>INF109K01YE1</t>
  </si>
  <si>
    <t>IP1929</t>
  </si>
  <si>
    <t>INF109K01B53</t>
  </si>
  <si>
    <t>ICICI PRUDENTIAL MEDIUM TERM BOND FUND - HALF YEARLY IDCW PAYOUT</t>
  </si>
  <si>
    <t>IP21Q</t>
  </si>
  <si>
    <t>INF109K01399</t>
  </si>
  <si>
    <t>ICICI PRUDENTIAL LONG TERM BOND FUND - QUARTERLY IDCW PAYOUT</t>
  </si>
  <si>
    <t>IP23F</t>
  </si>
  <si>
    <t>INF109K01662</t>
  </si>
  <si>
    <t>ICICI PRUDENTIAL SHORT TERM FUND - FORTNIGHTLY IDCW PAYOUT</t>
  </si>
  <si>
    <t>IP25PP</t>
  </si>
  <si>
    <t>INF109K01GL3</t>
  </si>
  <si>
    <t>IP25PPA</t>
  </si>
  <si>
    <t>INF109K01GP4</t>
  </si>
  <si>
    <t>IP25PPQ</t>
  </si>
  <si>
    <t>INF109K01GF5</t>
  </si>
  <si>
    <t>IP26PP</t>
  </si>
  <si>
    <t>INF109K01GN9</t>
  </si>
  <si>
    <t>ICICI PRUDENTIAL ALL SEASONS BOND FUND - GROWTH</t>
  </si>
  <si>
    <t>IPAMP</t>
  </si>
  <si>
    <t>INF109K01837</t>
  </si>
  <si>
    <t>ICICI PRUDENTIAL ASSET ALLOCATOR FUND (FOF) - GROWTH</t>
  </si>
  <si>
    <t>IPBFIN1233</t>
  </si>
  <si>
    <t>INF109K01BU5</t>
  </si>
  <si>
    <t>ICICI PRUDENTIAL BANKING AND FINANCIAL SERVICES FUND - GROWTH</t>
  </si>
  <si>
    <t>IPBFIN1234</t>
  </si>
  <si>
    <t>INF109K01BV3</t>
  </si>
  <si>
    <t>ICICI PRUDENTIAL BANKING AND FINANCIAL SERVICES FUND - IDCW REINVESTMENT</t>
  </si>
  <si>
    <t>IPDISCODFD</t>
  </si>
  <si>
    <t>INF109K01AD3</t>
  </si>
  <si>
    <t>ICICI PRUDENTIAL VALUE DISCOVERY FUND - IDCW PAYOUT</t>
  </si>
  <si>
    <t>IPDISCODFG</t>
  </si>
  <si>
    <t>INF109K01AF8</t>
  </si>
  <si>
    <t>ICICI PRUDENTIAL VALUE DISCOVERY FUND - GROWTH</t>
  </si>
  <si>
    <t>IPDYNMIC15</t>
  </si>
  <si>
    <t>INF109K01761</t>
  </si>
  <si>
    <t>ICICI PRUDENTIAL MULTI-ASSET FUND - GROWTH</t>
  </si>
  <si>
    <t>IPDYNMIC16</t>
  </si>
  <si>
    <t>INF109K01779</t>
  </si>
  <si>
    <t>ICICI PRUDENTIAL MULTI-ASSET FUND - IDCW PAYOUT</t>
  </si>
  <si>
    <t>IPEQDEDWRD</t>
  </si>
  <si>
    <t>INF109K01BG4</t>
  </si>
  <si>
    <t>ICICI PRUDENTIAL BALANCED ADVANTAGE FUND - IDCW REINVESTMENT</t>
  </si>
  <si>
    <t>IPEQDEDWRG</t>
  </si>
  <si>
    <t>INF109K01BH2</t>
  </si>
  <si>
    <t>ICICI PRUDENTIAL BALANCED ADVANTAGE FUND - GROWTH</t>
  </si>
  <si>
    <t>IPESTARESD</t>
  </si>
  <si>
    <t>INF109K01AL6</t>
  </si>
  <si>
    <t>ICICI PRUDENTIAL MIDCAP FUND - IDCW PAYOUT</t>
  </si>
  <si>
    <t>IPESTARESG</t>
  </si>
  <si>
    <t>INF109K01AN2</t>
  </si>
  <si>
    <t>ICICI PRUDENTIAL MIDCAP FUND - GROWTH</t>
  </si>
  <si>
    <t>IPFMCG41</t>
  </si>
  <si>
    <t>INF109K01415</t>
  </si>
  <si>
    <t>ICICI PRUDENTIAL FMCG FUND - GROWTH</t>
  </si>
  <si>
    <t>IPFMCG42</t>
  </si>
  <si>
    <t>INF109K01423</t>
  </si>
  <si>
    <t>ICICI PRUDENTIAL FMCG FUND - IDCW PAYOUT</t>
  </si>
  <si>
    <t>IPFOCU1191</t>
  </si>
  <si>
    <t>INF109K01BL4</t>
  </si>
  <si>
    <t>ICICI PRUDENTIAL BLUECHIP FUND - GROWTH</t>
  </si>
  <si>
    <t>IPFOCU1192</t>
  </si>
  <si>
    <t>INF109K01BM2</t>
  </si>
  <si>
    <t>ICICI PRUDENTIAL BLUECHIP FUND - IDCW PAYOUT</t>
  </si>
  <si>
    <t>IPGROWTH11</t>
  </si>
  <si>
    <t>INF109K01431</t>
  </si>
  <si>
    <t>ICICI PRUDENTIAL LARGE AND MID CAP FUND - GROWTH</t>
  </si>
  <si>
    <t>IPGROWTH12</t>
  </si>
  <si>
    <t>INF109K01449</t>
  </si>
  <si>
    <t>ICICI PRUDENTIAL LARGE AND MID CAP FUND - IDCW PAYOUT</t>
  </si>
  <si>
    <t>IPIMPD</t>
  </si>
  <si>
    <t>INF109K01894</t>
  </si>
  <si>
    <t>ICICI PRUDENTIAL REGULAR SAVINGS FUND - MONTHLY IDCW PAYOUT</t>
  </si>
  <si>
    <t>IPIMPG</t>
  </si>
  <si>
    <t>INF109K01902</t>
  </si>
  <si>
    <t>ICICI PRUDENTIAL REGULAR SAVINGS FUND - GROWTH</t>
  </si>
  <si>
    <t>IPINAS1023</t>
  </si>
  <si>
    <t>INF109K01BI0</t>
  </si>
  <si>
    <t>ICICI PRUDENTIAL SMALLCAP FUND - GROWTH</t>
  </si>
  <si>
    <t>IPINAS1024</t>
  </si>
  <si>
    <t>INF109K01BJ8</t>
  </si>
  <si>
    <t>ICICI PRUDENTIAL SMALLCAP FUND - IDCW PAYOUT</t>
  </si>
  <si>
    <t>IPINFRAIFD</t>
  </si>
  <si>
    <t>INF109K01AT9</t>
  </si>
  <si>
    <t>ICICI PRUDENTIAL INFRASTRUCTURE FUND - IDCW PAYOUT</t>
  </si>
  <si>
    <t>IPINFRAIFG</t>
  </si>
  <si>
    <t>INF109K01AV5</t>
  </si>
  <si>
    <t>ICICI PRUDENTIAL INFRASTRUCTURE FUND - GROWTH</t>
  </si>
  <si>
    <t>IPLFRAH</t>
  </si>
  <si>
    <t>INF109K01B61</t>
  </si>
  <si>
    <t>IPPOWER121</t>
  </si>
  <si>
    <t>INF109K01613</t>
  </si>
  <si>
    <t>ICICI PRUDENTIAL MULTICAP FUND - GROWTH</t>
  </si>
  <si>
    <t>IPPOWER122</t>
  </si>
  <si>
    <t>INF109K01621</t>
  </si>
  <si>
    <t>IPRU1024P</t>
  </si>
  <si>
    <t>INF109K01FA8</t>
  </si>
  <si>
    <t>IPRU1192P</t>
  </si>
  <si>
    <t>INF109K01EP9</t>
  </si>
  <si>
    <t>IPRU1234P</t>
  </si>
  <si>
    <t>INF109K01DY3</t>
  </si>
  <si>
    <t>ICICI PRUDENTIAL BANKING AND FINANCIAL SERVICES FUND - IDCW PAYOUT</t>
  </si>
  <si>
    <t>IPRU1262</t>
  </si>
  <si>
    <t>INF109K01BO8</t>
  </si>
  <si>
    <t>ICICI PRUDENTIAL BOND FUND - GROWTH</t>
  </si>
  <si>
    <t>IPRU1263</t>
  </si>
  <si>
    <t>INF109K01BP5</t>
  </si>
  <si>
    <t>ICICI PRUDENTIAL BOND FUND - MONTHLY IDCW PAYOUT</t>
  </si>
  <si>
    <t>IPRU1263P</t>
  </si>
  <si>
    <t>INF109K01EU9</t>
  </si>
  <si>
    <t>IPRU1280</t>
  </si>
  <si>
    <t>INF109K01BS9</t>
  </si>
  <si>
    <t>ICICI PRUDENTIAL BOND FUND - QUARTERLY IDCW PAYOUT</t>
  </si>
  <si>
    <t>IPRU1280P</t>
  </si>
  <si>
    <t>INF109K01EV7</t>
  </si>
  <si>
    <t>IPRU12P</t>
  </si>
  <si>
    <t>INF109K01EQ7</t>
  </si>
  <si>
    <t>IPRU1452P</t>
  </si>
  <si>
    <t>INF109K01FM3</t>
  </si>
  <si>
    <t>ICICI PRUDENTIAL FOCUSED EQUITY FUND - IDCW PAYOUT</t>
  </si>
  <si>
    <t>IPRU1615</t>
  </si>
  <si>
    <t>INF109K01IF1</t>
  </si>
  <si>
    <t>ICICI PRUDENTIAL NIFTY NEXT 50 INDEX FUND - GROWTH</t>
  </si>
  <si>
    <t>IPRU1616</t>
  </si>
  <si>
    <t>INF109K01IE4</t>
  </si>
  <si>
    <t>IPRU1637</t>
  </si>
  <si>
    <t>INF109K01GU4</t>
  </si>
  <si>
    <t>ICICI PRUDENTIAL CREDIT RISK FUND - GROWTH</t>
  </si>
  <si>
    <t>IPRU1638</t>
  </si>
  <si>
    <t>INF109K01GW0</t>
  </si>
  <si>
    <t>ICICI PRUDENTIAL CREDIT RISK FUND - QUARTERLY IDCW PAYOUT</t>
  </si>
  <si>
    <t>IPRU1638P</t>
  </si>
  <si>
    <t>INF109K01GV2</t>
  </si>
  <si>
    <t>IPRU1639</t>
  </si>
  <si>
    <t>INF109K01GY6</t>
  </si>
  <si>
    <t>ICICI PRUDENTIAL CREDIT RISK FUND - HALF YEARLY IDCW PAYOUT</t>
  </si>
  <si>
    <t>IPRU1639P</t>
  </si>
  <si>
    <t>INF109K01GX8</t>
  </si>
  <si>
    <t>IPRU16P</t>
  </si>
  <si>
    <t>INF109K01ED5</t>
  </si>
  <si>
    <t>IPRU1710P</t>
  </si>
  <si>
    <t>INF109K01JO1</t>
  </si>
  <si>
    <t>IPRU1746</t>
  </si>
  <si>
    <t>INF109K01TP7</t>
  </si>
  <si>
    <t>ICICI PRUDENTIAL ULTRA SHORT TERM FUND - GROWTH</t>
  </si>
  <si>
    <t>IPRU1747</t>
  </si>
  <si>
    <t>INF109K01TQ5</t>
  </si>
  <si>
    <t>ICICI PRUDENTIAL ULTRA SHORT TERM FUND - MONTHLY IDCW PAYOUT</t>
  </si>
  <si>
    <t>IPRU1747P</t>
  </si>
  <si>
    <t>INF109K01TR3</t>
  </si>
  <si>
    <t>IPRU1748</t>
  </si>
  <si>
    <t>INF109K01TS1</t>
  </si>
  <si>
    <t>ICICI PRUDENTIAL ULTRA SHORT TERM FUND - QUARTERLY IDCW PAYOUT</t>
  </si>
  <si>
    <t>IPRU1748P</t>
  </si>
  <si>
    <t>INF109K01TT9</t>
  </si>
  <si>
    <t>IPRU1749</t>
  </si>
  <si>
    <t>INF109K01TU7</t>
  </si>
  <si>
    <t>ICICI PRUDENTIAL ULTRA SHORT TERM FUND - HALF YEARLY IDCW PAYOUT</t>
  </si>
  <si>
    <t>IPRU1749P</t>
  </si>
  <si>
    <t>INF109K01TV5</t>
  </si>
  <si>
    <t>IPRU1815</t>
  </si>
  <si>
    <t>INF109K01TK8</t>
  </si>
  <si>
    <t>ICICI PRUDENTIAL REGULAR GOLD SAVINGS FUND (FOF) - GROWTH</t>
  </si>
  <si>
    <t>IPRU1816</t>
  </si>
  <si>
    <t>INF109K01TL6</t>
  </si>
  <si>
    <t>ICICI PRUDENTIAL REGULAR GOLD SAVINGS FUND (FOF) - IDCW PAYOUT</t>
  </si>
  <si>
    <t>IPRU1816P</t>
  </si>
  <si>
    <t>INF109K01TM4</t>
  </si>
  <si>
    <t>IPRU1950</t>
  </si>
  <si>
    <t>INF109K01E35</t>
  </si>
  <si>
    <t>ICICI PRUDENTIAL US BLUECHIP EQUITY FUND - GROWTH</t>
  </si>
  <si>
    <t>IPRU1951</t>
  </si>
  <si>
    <t>INF109K01E50</t>
  </si>
  <si>
    <t>ICICI PRUDENTIAL US BLUECHIP EQUITY FUND - IDCW PAYOUT</t>
  </si>
  <si>
    <t>IPRU1951P</t>
  </si>
  <si>
    <t>INF109K01E43</t>
  </si>
  <si>
    <t>IPRU2059</t>
  </si>
  <si>
    <t>INF109K017W5</t>
  </si>
  <si>
    <t>ICICI PRUDENTIAL BALANCED ADVANTAGE FUND - MONTHLY IDCW PAYOUT</t>
  </si>
  <si>
    <t>IPRU2059P</t>
  </si>
  <si>
    <t>INF109K018W3</t>
  </si>
  <si>
    <t>IPRU2071</t>
  </si>
  <si>
    <t>INF109K013Z7</t>
  </si>
  <si>
    <t>ICICI PRUDENTIAL SAVINGS FUND - MONTHLY IDCW PAYOUT</t>
  </si>
  <si>
    <t>IPRU2071P</t>
  </si>
  <si>
    <t>INF109K014Z5</t>
  </si>
  <si>
    <t>IPRU2072</t>
  </si>
  <si>
    <t>INF109K015Z2</t>
  </si>
  <si>
    <t>ICICI PRUDENTIAL SAVINGS FUND - QUARTERLY IDCW PAYOUT</t>
  </si>
  <si>
    <t>IPRU2072P</t>
  </si>
  <si>
    <t>INF109K016Z0</t>
  </si>
  <si>
    <t>IPRU2073</t>
  </si>
  <si>
    <t>INF109KA1020</t>
  </si>
  <si>
    <t>ICICI PRUDENTIAL FLOATING INTEREST FUND - MONTHLY IDCW PAYOUT</t>
  </si>
  <si>
    <t>IPRU2073P</t>
  </si>
  <si>
    <t>INF109KA1038</t>
  </si>
  <si>
    <t>IPRU2074</t>
  </si>
  <si>
    <t>INF109KA1046</t>
  </si>
  <si>
    <t>ICICI PRUDENTIAL FLOATING INTEREST FUND - QUARTERLY IDCW PAYOUT</t>
  </si>
  <si>
    <t>IPRU2074P</t>
  </si>
  <si>
    <t>INF109KA1053</t>
  </si>
  <si>
    <t>IPRU21</t>
  </si>
  <si>
    <t>INF109K01357</t>
  </si>
  <si>
    <t>ICICI PRUDENTIAL LONG TERM BOND FUND - HALF YEARLY IDCW PAYOUT</t>
  </si>
  <si>
    <t>IPRU21P</t>
  </si>
  <si>
    <t>INF109K01EX3</t>
  </si>
  <si>
    <t>IPRU21QP</t>
  </si>
  <si>
    <t>INF109K01EZ8</t>
  </si>
  <si>
    <t>IPRU22</t>
  </si>
  <si>
    <t>INF109K01365</t>
  </si>
  <si>
    <t>ICICI PRUDENTIAL LONG TERM BOND FUND - GROWTH</t>
  </si>
  <si>
    <t>IPRU2373</t>
  </si>
  <si>
    <t>INF109KA1TX4</t>
  </si>
  <si>
    <t>ICICI PRUDENTIAL DIVIDEND YIELD EQUITY FUND - GROWTH</t>
  </si>
  <si>
    <t>IPRU2374</t>
  </si>
  <si>
    <t>INF109KA1TZ9</t>
  </si>
  <si>
    <t>ICICI PRUDENTIAL DIVIDEND YIELD EQUITY FUND - IDCW REINVESTMENT</t>
  </si>
  <si>
    <t>IPRU2374P</t>
  </si>
  <si>
    <t>INF109KA1TY2</t>
  </si>
  <si>
    <t>ICICI PRUDENTIAL DIVIDEND YIELD EQUITY FUND - IDCW PAYOUT</t>
  </si>
  <si>
    <t>IPRU24</t>
  </si>
  <si>
    <t>INF109K01654</t>
  </si>
  <si>
    <t>ICICI PRUDENTIAL SHORT TERM FUND - GROWTH OPTION</t>
  </si>
  <si>
    <t>IPRU2494</t>
  </si>
  <si>
    <t>INF109KA1M62</t>
  </si>
  <si>
    <t>ICICI PRUDENTIAL BANKING AND PSU DEBT FUND - HALF YEARLY IDCW PAYOUT</t>
  </si>
  <si>
    <t>IPRU2494P</t>
  </si>
  <si>
    <t>INF109KA1M70</t>
  </si>
  <si>
    <t>IPRU2519</t>
  </si>
  <si>
    <t>INF109KA1Y27</t>
  </si>
  <si>
    <t>ICICI PRUDENTIAL BALANCED ADVANTAGE FUND - QUARTERLY IDCW PAYOUT</t>
  </si>
  <si>
    <t>IPRU2519P</t>
  </si>
  <si>
    <t>INF109KA1Y35</t>
  </si>
  <si>
    <t>IPRU2526</t>
  </si>
  <si>
    <t>INF109KA1X10</t>
  </si>
  <si>
    <t>ICICI PRUDENTIAL SHORT TERM FUND - HALF YEARLY IDCW PAYOUT</t>
  </si>
  <si>
    <t>IPRU2526P</t>
  </si>
  <si>
    <t>INF109KA1X02</t>
  </si>
  <si>
    <t>IPRU2551</t>
  </si>
  <si>
    <t>INF109KA13G1</t>
  </si>
  <si>
    <t>ICICI PRUDENTIAL MEDIUM TERM BOND FUND - ANNUAL IDCW PAYOUT</t>
  </si>
  <si>
    <t>IPRU2551P</t>
  </si>
  <si>
    <t>INF109KA12G3</t>
  </si>
  <si>
    <t>IPRU2556</t>
  </si>
  <si>
    <t>INF109KA14I5</t>
  </si>
  <si>
    <t>ICICI PRUDENTIAL EQUITY SAVINGS FUND CUMULATIVE</t>
  </si>
  <si>
    <t>IPRU2557</t>
  </si>
  <si>
    <t>INF109KA18I6</t>
  </si>
  <si>
    <t>ICICI PRUDENTIAL EQUITY SAVINGS FUND MONTHLY IDCW PAYOUT</t>
  </si>
  <si>
    <t>IPRU2557P</t>
  </si>
  <si>
    <t>INF109KA15I2</t>
  </si>
  <si>
    <t>IPRU2558</t>
  </si>
  <si>
    <t>INF109KA19I4</t>
  </si>
  <si>
    <t>ICICI PRUDENTIAL EQUITY SAVINGS FUND QUARTERLY IDCW PAYOUT</t>
  </si>
  <si>
    <t>IPRU2558P</t>
  </si>
  <si>
    <t>INF109KA16I0</t>
  </si>
  <si>
    <t>IPRU2559</t>
  </si>
  <si>
    <t>INF109KA10J1</t>
  </si>
  <si>
    <t>ICICI PRUDENTIAL EQUITY SAVINGS FUND HALF YEARLY IDCW PAYOUT</t>
  </si>
  <si>
    <t>IPRU2559P</t>
  </si>
  <si>
    <t>INF109KA17I8</t>
  </si>
  <si>
    <t>IPRU25DP</t>
  </si>
  <si>
    <t>INF109K01FD2</t>
  </si>
  <si>
    <t>ICICI PRUDENTIAL ALL SEASONS BOND FUND - WEEKLY IDCW PAYOUT</t>
  </si>
  <si>
    <t>IPRU2645</t>
  </si>
  <si>
    <t>INF109KB1AG8</t>
  </si>
  <si>
    <t>ICICI PRUDENTIAL CREDIT RISK FUND - ANNUAL IDCW PAYOUT</t>
  </si>
  <si>
    <t>IPRU2645P</t>
  </si>
  <si>
    <t>INF109KB1AF0</t>
  </si>
  <si>
    <t>IPRU2718</t>
  </si>
  <si>
    <t>INF109KB1NO5</t>
  </si>
  <si>
    <t>ICICI PRUDENTIAL NIFTY 50 INDEX FUND - IDCW</t>
  </si>
  <si>
    <t>IPRU2718P</t>
  </si>
  <si>
    <t>INF109KB1NN7</t>
  </si>
  <si>
    <t>ICICI PRUDENTIAL NIFTY 50 INDEX FUND - IDCW PAYOUT</t>
  </si>
  <si>
    <t>IPRU2759</t>
  </si>
  <si>
    <t>INF109KB1QJ8</t>
  </si>
  <si>
    <t>ICICI PRUDENTIAL EQUITY AND DEBT FUND - REGULAR PLAN - ANNUAL IDCW PAYOUT</t>
  </si>
  <si>
    <t>IPRU2759P</t>
  </si>
  <si>
    <t>INF109KB1QK6</t>
  </si>
  <si>
    <t>IPRU3007</t>
  </si>
  <si>
    <t>INF109KB17W7</t>
  </si>
  <si>
    <t>ICICI PRUDENTIAL S&amp;P BSE SENSEX INDEX FUND GROWTH</t>
  </si>
  <si>
    <t>IPRU3008</t>
  </si>
  <si>
    <t>INF109KB19W3</t>
  </si>
  <si>
    <t>ICICI PRUDENTIAL S&amp;P BSE SENSEX INDEX FUND IDCW</t>
  </si>
  <si>
    <t>IPRU3131</t>
  </si>
  <si>
    <t>INF109KC1GE9</t>
  </si>
  <si>
    <t>ICICI PRUDENTIAL PHARMA HEALTHCARE AND DIAGNOSTICS (P.H.D) FUND GROWTH</t>
  </si>
  <si>
    <t>IPRU3132</t>
  </si>
  <si>
    <t>INF109KC1GG4</t>
  </si>
  <si>
    <t>ICICI PRUDENTIAL PHARMA HEALTHCARE AND DIAGNOSTICS (P.H.D) FUND IDCW PAYOUT</t>
  </si>
  <si>
    <t>IPRU3133</t>
  </si>
  <si>
    <t>INF109KC1D77</t>
  </si>
  <si>
    <t>ICICI PRUDENTIAL MNC FUND IDCW PAYOUT</t>
  </si>
  <si>
    <t>IPRU3190</t>
  </si>
  <si>
    <t>INF109KC1LG4</t>
  </si>
  <si>
    <t>ICICI PRUDENTIAL MANUFACTURING FUND REGULAR PLAN GROWTH</t>
  </si>
  <si>
    <t>IPRU3191</t>
  </si>
  <si>
    <t>INF109KC1LH2</t>
  </si>
  <si>
    <t>ICICI PRUDENTIAL MANUFACTURING FUND REGULAR PLAN IDCW PAYOUT</t>
  </si>
  <si>
    <t>IPRU3251</t>
  </si>
  <si>
    <t>INF109KC1RE6</t>
  </si>
  <si>
    <t>ICICI PRUDENTIAL INDIA OPPORTUNITIES FUND GROWTH</t>
  </si>
  <si>
    <t>IPRU3252B</t>
  </si>
  <si>
    <t>INF109KC1RF3</t>
  </si>
  <si>
    <t>ICICI PRUDENTIAL INDIA OPPORTUNITIES FUND IDCW PAYOUT</t>
  </si>
  <si>
    <t>IPRU3349</t>
  </si>
  <si>
    <t>INF109KC1YA0</t>
  </si>
  <si>
    <t>ICICI PRUDENTIAL BHARAT CONSUMPTION FUND GROWTH</t>
  </si>
  <si>
    <t>IPRU3350</t>
  </si>
  <si>
    <t>INF109KC1YC6</t>
  </si>
  <si>
    <t>ICICI PRUDENTIAL BHARAT CONSUMPTION FUND IDCW PAYOUT</t>
  </si>
  <si>
    <t>IPRU3392</t>
  </si>
  <si>
    <t>INF109KC1D69</t>
  </si>
  <si>
    <t>ICICI PRUDENTIAL MNC FUND GROWTH</t>
  </si>
  <si>
    <t>IPRU3398</t>
  </si>
  <si>
    <t>INF109KC1F67</t>
  </si>
  <si>
    <t>ICICI PRUDENTIAL COMMODITIES FUND GROWTH</t>
  </si>
  <si>
    <t>IPRU3399</t>
  </si>
  <si>
    <t>INF109KC1F75</t>
  </si>
  <si>
    <t>ICICI PRUDENTIAL COMMODITIES FUND IDCW PAYOUT</t>
  </si>
  <si>
    <t>IPRU3435</t>
  </si>
  <si>
    <t>INF109KC1N75</t>
  </si>
  <si>
    <t>ICICI PRUDENTIAL ESG FUND GROWTH</t>
  </si>
  <si>
    <t>IPRU3436</t>
  </si>
  <si>
    <t>INF109KC1N83</t>
  </si>
  <si>
    <t>ICICI PRUDENTIAL ESG FUND IDCW PAYOUT</t>
  </si>
  <si>
    <t>IPRU3436P</t>
  </si>
  <si>
    <t>INF109KC1N91</t>
  </si>
  <si>
    <t>IPRU3439</t>
  </si>
  <si>
    <t>INF109KC1O90</t>
  </si>
  <si>
    <t>ICICI PRUDENTIAL BUSINESS CYCLE FUND GROWTH</t>
  </si>
  <si>
    <t>IPRU3440</t>
  </si>
  <si>
    <t>INF109KC1P08</t>
  </si>
  <si>
    <t>ICICI PRUDENTIAL BUSINESS CYCLE FUND IDCW PAYOUT</t>
  </si>
  <si>
    <t>IPRU3440P</t>
  </si>
  <si>
    <t>INF109KC1P16</t>
  </si>
  <si>
    <t>IPRU42P</t>
  </si>
  <si>
    <t>INF109K01EO2</t>
  </si>
  <si>
    <t>IPRU61</t>
  </si>
  <si>
    <t>INF109K01480</t>
  </si>
  <si>
    <t>ICICI PRUDENTIAL EQUITY AND DEBT FUND - GROWTH</t>
  </si>
  <si>
    <t>IPRU62</t>
  </si>
  <si>
    <t>INF109K01498</t>
  </si>
  <si>
    <t>ICICI PRUDENTIAL EQUITY AND DEBT FUND - MONTHLY IDCW PAYOUT</t>
  </si>
  <si>
    <t>IPRU62P</t>
  </si>
  <si>
    <t>INF109K01DX5</t>
  </si>
  <si>
    <t>IPRU72P</t>
  </si>
  <si>
    <t>INF109K01FO9</t>
  </si>
  <si>
    <t>ICICI PRUDENTIAL TECHNOLOGY FUND - IDCW PAYOUT</t>
  </si>
  <si>
    <t>IPRU8002</t>
  </si>
  <si>
    <t>INF109K011O5</t>
  </si>
  <si>
    <t>ICICI PRUDENTIAL LARGE AND MID CAP FUND - DIRECT PLAN - GROWTH</t>
  </si>
  <si>
    <t>IPRU8003</t>
  </si>
  <si>
    <t>INF109K010O7</t>
  </si>
  <si>
    <t>ICICI PRUDENTIAL LARGE AND MID CAP FUND - DIRECT PLAN - IDCW PAYOUT</t>
  </si>
  <si>
    <t>IPRU8003P</t>
  </si>
  <si>
    <t>INF109K019N0</t>
  </si>
  <si>
    <t>IPRU8004</t>
  </si>
  <si>
    <t>INF109K015K4</t>
  </si>
  <si>
    <t>ICICI PRUDENTIAL MULTI-ASSET FUND - DIRECT PLAN - GROWTH</t>
  </si>
  <si>
    <t>IPRU8005</t>
  </si>
  <si>
    <t>INF109K014K7</t>
  </si>
  <si>
    <t>ICICI PRUDENTIAL MULTI-ASSET FUND - DIRECT PLAN - IDCW PAYOUT</t>
  </si>
  <si>
    <t>IPRU8005P</t>
  </si>
  <si>
    <t>INF109K013K9</t>
  </si>
  <si>
    <t>IPRU8007</t>
  </si>
  <si>
    <t>INF109K017L8</t>
  </si>
  <si>
    <t>ICICI PRUDENTIAL LONG TERM BOND FUND - DIRECT PLAN - GROWTH</t>
  </si>
  <si>
    <t>IPRU8008</t>
  </si>
  <si>
    <t>INF109K015N8</t>
  </si>
  <si>
    <t>ICICI PRUDENTIAL SHORT TERM FUND - DIRECT PLAN - MONTHLY IDCW PAYOUT</t>
  </si>
  <si>
    <t>IPRU8008P</t>
  </si>
  <si>
    <t>INF109K014N1</t>
  </si>
  <si>
    <t>IPRU8009</t>
  </si>
  <si>
    <t>INF109K013N3</t>
  </si>
  <si>
    <t>ICICI PRUDENTIAL SHORT TERM FUND - DIRECT PLAN - GROWTH OPTION</t>
  </si>
  <si>
    <t>IPRU8010</t>
  </si>
  <si>
    <t>INF109K010F5</t>
  </si>
  <si>
    <t>ICICI PRUDENTIAL ALL SEASONS BOND FUND - DIRECT PLAN - WEEKLY IDCW PAYOUT</t>
  </si>
  <si>
    <t>IPRU8010P</t>
  </si>
  <si>
    <t>INF109K019E9</t>
  </si>
  <si>
    <t>ICICI PRUDENTIAL ALL SEASONS BOND FUND - DIRECT PLAN- WEEKLY IDCW PAYOUT</t>
  </si>
  <si>
    <t>IPRU8011</t>
  </si>
  <si>
    <t>INF109K01Z14</t>
  </si>
  <si>
    <t>ICICI PRUDENTIAL FMCG FUND - DIRECT PLAN - GROWTH</t>
  </si>
  <si>
    <t>IPRU8012</t>
  </si>
  <si>
    <t>INF109K01Z06</t>
  </si>
  <si>
    <t>ICICI PRUDENTIAL FMCG FUND - DIRECT PLAN - IDCW PAYOUT</t>
  </si>
  <si>
    <t>IPRU8012P</t>
  </si>
  <si>
    <t>INF109K01Y98</t>
  </si>
  <si>
    <t>IPRU8017</t>
  </si>
  <si>
    <t>INF109K01Y07</t>
  </si>
  <si>
    <t>ICICI PRUDENTIAL EQUITY AND DEBT FUND - DIRECT PLAN - GROWTH</t>
  </si>
  <si>
    <t>IPRU8018</t>
  </si>
  <si>
    <t>INF109K01X99</t>
  </si>
  <si>
    <t>ICICI PRUDENTIAL EQUITY AND DEBT FUND - DIRECT PLAN - MONTHLY IDCW PAYOUT</t>
  </si>
  <si>
    <t>IPRU8018P</t>
  </si>
  <si>
    <t>INF109K01X81</t>
  </si>
  <si>
    <t>IPRU8019</t>
  </si>
  <si>
    <t>INF109K01Z48</t>
  </si>
  <si>
    <t>ICICI PRUDENTIAL TECHNOLOGY FUND - DIRECT PLAN - GROWTH</t>
  </si>
  <si>
    <t>IPRU8020</t>
  </si>
  <si>
    <t>INF109K01Z30</t>
  </si>
  <si>
    <t>ICICI PRUDENTIAL TECHNOLOGY FUND - DIRECT PLAN - IDCW PAYOUT</t>
  </si>
  <si>
    <t>IPRU8020P</t>
  </si>
  <si>
    <t>INF109K01Z22</t>
  </si>
  <si>
    <t>IPRU8029</t>
  </si>
  <si>
    <t>INF109K01Y49</t>
  </si>
  <si>
    <t>ICICI PRUDENTIAL CHILD CARE FUND (GIFT PLAN) - DIRECT PLAN</t>
  </si>
  <si>
    <t>IPRU8030</t>
  </si>
  <si>
    <t>INF109K014O9</t>
  </si>
  <si>
    <t>ICICI PRUDENTIAL MULTICAP FUND - DIRECT PLAN - GROWTH</t>
  </si>
  <si>
    <t>IPRU8031</t>
  </si>
  <si>
    <t>INF109K013O1</t>
  </si>
  <si>
    <t>ICICI PRUDENTIAL MULTICAP FUND - DIRECT PLAN - IDCW PAYOUT</t>
  </si>
  <si>
    <t>IPRU8031P</t>
  </si>
  <si>
    <t>INF109K012O3</t>
  </si>
  <si>
    <t>IPRU8034</t>
  </si>
  <si>
    <t>INF109K015M0</t>
  </si>
  <si>
    <t>ICICI PRUDENTIAL SMALLCAP FUND - DIRECT PLAN - GROWTH</t>
  </si>
  <si>
    <t>IPRU8035</t>
  </si>
  <si>
    <t>INF109K014M3</t>
  </si>
  <si>
    <t>ICICI PRUDENTIAL SMALLCAP FUND - DIRECT PLAN - IDCW PAYOUT</t>
  </si>
  <si>
    <t>IPRU8035P</t>
  </si>
  <si>
    <t>INF109K013M5</t>
  </si>
  <si>
    <t>IPRU8042</t>
  </si>
  <si>
    <t>INF109K016L0</t>
  </si>
  <si>
    <t>ICICI PRUDENTIAL BLUECHIP FUND - DIRECT PLAN - GROWTH</t>
  </si>
  <si>
    <t>IPRU8043</t>
  </si>
  <si>
    <t>INF109K015L2</t>
  </si>
  <si>
    <t>ICICI PRUDENTIAL BLUECHIP FUND - DIRECT PLAN - IDCW PAYOUT</t>
  </si>
  <si>
    <t>IPRU8043P</t>
  </si>
  <si>
    <t>INF109K014L5</t>
  </si>
  <si>
    <t>IPRU8044</t>
  </si>
  <si>
    <t>INF109K013J1</t>
  </si>
  <si>
    <t>ICICI PRUDENTIAL BANKING AND FINANCIAL SERVICES FUND - DIRECT PLAN - GROWTH</t>
  </si>
  <si>
    <t>IPRU8045</t>
  </si>
  <si>
    <t>INF109K012J3</t>
  </si>
  <si>
    <t>ICICI PRUDENTIAL BANKING AND FINANCIAL SERVICES FUND - DIRECT PLAN - IDCW PAYOUT</t>
  </si>
  <si>
    <t>IPRU8045P</t>
  </si>
  <si>
    <t>INF109K011J5</t>
  </si>
  <si>
    <t>IPRU8048</t>
  </si>
  <si>
    <t>INF109K01V83</t>
  </si>
  <si>
    <t>ICICI PRUDENTIAL BOND FUND - DIRECT PLAN - GROWTH</t>
  </si>
  <si>
    <t>IPRU8050</t>
  </si>
  <si>
    <t>INF109K01V91</t>
  </si>
  <si>
    <t>ICICI PRUDENTIAL BOND FUND - DIRECT PLAN - QUARTERLY IDCW PAYOUT</t>
  </si>
  <si>
    <t>IPRU8050P</t>
  </si>
  <si>
    <t>INF109K01V75</t>
  </si>
  <si>
    <t>IPRU8073</t>
  </si>
  <si>
    <t>INF109K018N2</t>
  </si>
  <si>
    <t>ICICI PRUDENTIAL FOCUSED EQUITY FUND - DIRECT PLAN - GROWTH</t>
  </si>
  <si>
    <t>IPRU8074</t>
  </si>
  <si>
    <t>INF109K017N4</t>
  </si>
  <si>
    <t>ICICI PRUDENTIAL FOCUSED EQUITY FUND - DIRECT PLAN - IDCW PAYOUT</t>
  </si>
  <si>
    <t>IPRU8074P</t>
  </si>
  <si>
    <t>INF109K016N6</t>
  </si>
  <si>
    <t>IPRU8078</t>
  </si>
  <si>
    <t>INF109K016B1</t>
  </si>
  <si>
    <t>ICICI PRUDENTIAL CORPORATE BOND FUND - DIRECT PLAN - GROWTH</t>
  </si>
  <si>
    <t>IPRU8079</t>
  </si>
  <si>
    <t>INF109K013B8</t>
  </si>
  <si>
    <t>ICICI PRUDENTIAL CORPORATE BOND FUND - DIRECT PLAN - DAILY IDCW REINVESTMENT</t>
  </si>
  <si>
    <t>IPRU8082</t>
  </si>
  <si>
    <t>INF109K018B7</t>
  </si>
  <si>
    <t>ICICI PRUDENTIAL CORPORATE BOND FUND - DIRECT PLAN - MONTHLY IDCW PAYOUT</t>
  </si>
  <si>
    <t>IPRU8082P</t>
  </si>
  <si>
    <t>INF109K017B9</t>
  </si>
  <si>
    <t>IPRU8085</t>
  </si>
  <si>
    <t>INF109K01O66</t>
  </si>
  <si>
    <t>ICICI PRUDENTIAL SAVINGS FUND - DIRECT PLAN - DAILY IDCW REINVESTMENT</t>
  </si>
  <si>
    <t>IPRU8104</t>
  </si>
  <si>
    <t>INF109K010A6</t>
  </si>
  <si>
    <t>ICICI PRUDENTIAL BANKING AND PSU DEBT FUND - DIRECT PLAN - GROWTH</t>
  </si>
  <si>
    <t>IPRU8107</t>
  </si>
  <si>
    <t>INF109K01Y80</t>
  </si>
  <si>
    <t>ICICI PRUDENTIAL NIFTY NEXT 50 INDEX FUND- DIRECT GROWTH</t>
  </si>
  <si>
    <t>IPRU8108</t>
  </si>
  <si>
    <t>INF109K01Y72</t>
  </si>
  <si>
    <t>ICICI PRUDENTIAL NIFTY NEXT 50 INDEX FUND- DIRECT IDCW REINVESTMENT</t>
  </si>
  <si>
    <t>IPRU8108P</t>
  </si>
  <si>
    <t>INF109K01Y64</t>
  </si>
  <si>
    <t>ICICI PRUDENTIAL NIFTY NEXT 50 INDEX FUND- DIRECT IDCW PAYOUT</t>
  </si>
  <si>
    <t>IPRU8110</t>
  </si>
  <si>
    <t>INF109K01V00</t>
  </si>
  <si>
    <t>ICICI PRUDENTIAL CREDIT RISK FUND - DIRECT PLAN - GROWTH</t>
  </si>
  <si>
    <t>IPRU8111</t>
  </si>
  <si>
    <t>INF109K01V42</t>
  </si>
  <si>
    <t>ICICI PRUDENTIAL CREDIT RISK FUND - DIRECT PLAN - QUARTERLY IDCW REINVESTMENT</t>
  </si>
  <si>
    <t>IPRU8111P</t>
  </si>
  <si>
    <t>INF109K01V34</t>
  </si>
  <si>
    <t>ICICI PRUDENTIAL CREDIT RISK FUND - DIRECT PLAN - QUARTERLY IDCW PAYOUT</t>
  </si>
  <si>
    <t>IPRU8123</t>
  </si>
  <si>
    <t>INF109K01T04</t>
  </si>
  <si>
    <t>ICICI PRUDENTIAL ULTRA SHORT TERM FUND - DIRECT PLAN - GROWTH</t>
  </si>
  <si>
    <t>IPRU8124</t>
  </si>
  <si>
    <t>INF109K01T46</t>
  </si>
  <si>
    <t>ICICI PRUDENTIAL ULTRA SHORT TERM FUND - DIRECT PLAN - MONTHLY IDCW REINVESTMENT</t>
  </si>
  <si>
    <t>IPRU8124P</t>
  </si>
  <si>
    <t>INF109K01T38</t>
  </si>
  <si>
    <t>ICICI PRUDENTIAL ULTRA SHORT TERM FUND - DIRECT PLAN - MONTHLY IDCW PAYOUT</t>
  </si>
  <si>
    <t>IPRU8125</t>
  </si>
  <si>
    <t>INF109K01T61</t>
  </si>
  <si>
    <t>ICICI PRUDENTIAL ULTRA SHORT TERM FUND - DIRECT PLAN - QUARTERLY IDCW REINVESTMENT</t>
  </si>
  <si>
    <t>IPRU8125P</t>
  </si>
  <si>
    <t>INF109K01T53</t>
  </si>
  <si>
    <t>ICICI PRUDENTIAL ULTRA SHORT TERM FUND - DIRECT PLAN - QUARTERLY IDCW PAYOUT</t>
  </si>
  <si>
    <t>IPRU8127</t>
  </si>
  <si>
    <t>INF109K01O74</t>
  </si>
  <si>
    <t>ICICI PRUDENTIAL SAVINGS FUND - DIRECT PLAN - IDCW REINVESTMENT</t>
  </si>
  <si>
    <t>IPRU8130</t>
  </si>
  <si>
    <t>INF109K01U92</t>
  </si>
  <si>
    <t>ICICI PRUDENTIAL REGULAR GOLD SAVINGS FUND (FOF) - DIRECT PLAN - GROWTH</t>
  </si>
  <si>
    <t>IPRU8131</t>
  </si>
  <si>
    <t>INF109K01U84</t>
  </si>
  <si>
    <t>ICICI PRUDENTIAL REGULAR GOLD SAVINGS FUND (FOF) - DIRECT PLAN - IDCW REINVESTMENT</t>
  </si>
  <si>
    <t>IPRU8131P</t>
  </si>
  <si>
    <t>INF109K01U76</t>
  </si>
  <si>
    <t>ICICI PRUDENTIAL REGULAR GOLD SAVINGS FUND (FOF) - DIRECT PLAN - IDCW PAYOUT</t>
  </si>
  <si>
    <t>IPRU8132</t>
  </si>
  <si>
    <t>INF109K012A2</t>
  </si>
  <si>
    <t>ICICI PRUDENTIAL BANKING AND PSU DEBT FUND - DIRECT PLAN - QUARTERLY IDCW PAYOUT</t>
  </si>
  <si>
    <t>IPRU8132P</t>
  </si>
  <si>
    <t>INF109K011A4</t>
  </si>
  <si>
    <t>IPRU8133</t>
  </si>
  <si>
    <t>INF109K01Z71</t>
  </si>
  <si>
    <t>ICICI PRUDENTIAL US BLUECHIP EQUITY FUND - DIRECT PLAN - GROWTH</t>
  </si>
  <si>
    <t>IPRU8134</t>
  </si>
  <si>
    <t>INF109K01Z63</t>
  </si>
  <si>
    <t>ICICI PRUDENTIAL US BLUECHIP EQUITY FUND - DIRECT PLAN - IDCW PAYOUT</t>
  </si>
  <si>
    <t>IPRU8134P</t>
  </si>
  <si>
    <t>INF109K01Z55</t>
  </si>
  <si>
    <t>IPRU8140</t>
  </si>
  <si>
    <t>INF109K011M9</t>
  </si>
  <si>
    <t>ICICI PRUDENTIAL LONG TERM BOND FUND - DIRECT PLAN - QUARTERLY IDCW PAYOUT</t>
  </si>
  <si>
    <t>IPRU8140P</t>
  </si>
  <si>
    <t>INF109K010M1</t>
  </si>
  <si>
    <t>IPRU8141</t>
  </si>
  <si>
    <t>INF109K012N5</t>
  </si>
  <si>
    <t>ICICI PRUDENTIAL SHORT TERM FUND - DIRECT PLAN - FORTNIGHTLY IDCW REINVESTMENT</t>
  </si>
  <si>
    <t>IPRU8142</t>
  </si>
  <si>
    <t>INF109K015E7</t>
  </si>
  <si>
    <t>ICICI PRUDENTIAL ALL SEASONS BOND FUND - DIRECT PLAN - IDCW PAYOUT</t>
  </si>
  <si>
    <t>IPRU8142P</t>
  </si>
  <si>
    <t>INF109K014E0</t>
  </si>
  <si>
    <t>IPRU8143</t>
  </si>
  <si>
    <t>INF109K013E2</t>
  </si>
  <si>
    <t>ICICI PRUDENTIAL ALL SEASONS BOND FUND - DIRECT PLAN - ANNUAL IDCW REINVESTMENT</t>
  </si>
  <si>
    <t>IPRU8143P</t>
  </si>
  <si>
    <t>INF109K012E4</t>
  </si>
  <si>
    <t>ICICI PRUDENTIAL ALL SEASONS BOND FUND - DIRECT PLAN - ANNUAL IDCW PAYOUT</t>
  </si>
  <si>
    <t>IPRU8144</t>
  </si>
  <si>
    <t>INF109K018E1</t>
  </si>
  <si>
    <t>ICICI PRUDENTIAL ALL SEASONS BOND FUND - DIRECT PLAN - QUARTERLY IDCW REINVESTMENT</t>
  </si>
  <si>
    <t>IPRU8144P</t>
  </si>
  <si>
    <t>INF109K017E3</t>
  </si>
  <si>
    <t>ICICI PRUDENTIAL ALL SEASONS BOND FUND - DIRECT PLAN - QUARTERLY IDCW PAYOUT</t>
  </si>
  <si>
    <t>IPRU8145</t>
  </si>
  <si>
    <t>INF109K016E5</t>
  </si>
  <si>
    <t>ICICI PRUDENTIAL ALL SEASONS BOND FUND - DIRECT PLAN - GROWTH</t>
  </si>
  <si>
    <t>IPRU8157</t>
  </si>
  <si>
    <t>INF109K01X16</t>
  </si>
  <si>
    <t>ICICI PRUDENTIAL ASSET ALLOCATOR FUND (FOF) - DIRECT PLAN - GROWTH</t>
  </si>
  <si>
    <t>IPRU8162</t>
  </si>
  <si>
    <t>INF109K01X40</t>
  </si>
  <si>
    <t>ICICI PRUDENTIAL THEMATIC ADVANTAGE FUND (FOF) - DIRECT PLAN - GROWTH</t>
  </si>
  <si>
    <t>IPRU8175</t>
  </si>
  <si>
    <t>INF109K010K5</t>
  </si>
  <si>
    <t>ICICI PRUDENTIAL VALUE DISCOVERY FUND - DIRECT PLAN - IDCW PAYOUT</t>
  </si>
  <si>
    <t>IPRU8175P</t>
  </si>
  <si>
    <t>INF109K011K3</t>
  </si>
  <si>
    <t>IPRU8176</t>
  </si>
  <si>
    <t>INF109K012K1</t>
  </si>
  <si>
    <t>ICICI PRUDENTIAL VALUE DISCOVERY FUND - DIRECT PLAN - GROWTH</t>
  </si>
  <si>
    <t>IPRU8177</t>
  </si>
  <si>
    <t>INF109K015O6</t>
  </si>
  <si>
    <t>ICICI PRUDENTIAL EQUITY ARBITRAGE FUND - DIRECT PLAN - IDCW REINVESTMENT</t>
  </si>
  <si>
    <t>IPRU8177P</t>
  </si>
  <si>
    <t>INF109K017O2</t>
  </si>
  <si>
    <t>ICICI PRUDENTIAL EQUITY ARBITRAGE FUND - DIRECT PLAN - IDCW PAYOUT</t>
  </si>
  <si>
    <t>IPRU8178</t>
  </si>
  <si>
    <t>INF109K016O4</t>
  </si>
  <si>
    <t>ICICI PRUDENTIAL EQUITY ARBITRAGE FUND - DIRECT PLAN - GROWTH</t>
  </si>
  <si>
    <t>IPRU8179</t>
  </si>
  <si>
    <t>INF109K011B2</t>
  </si>
  <si>
    <t>ICICI PRUDENTIAL BALANCED ADVANTAGE FUND - DIRECT PLAN - IDCW PAYOUT</t>
  </si>
  <si>
    <t>IPRU8179P</t>
  </si>
  <si>
    <t>INF109K010B4</t>
  </si>
  <si>
    <t>IPRU8180</t>
  </si>
  <si>
    <t>INF109K012B0</t>
  </si>
  <si>
    <t>ICICI PRUDENTIAL BALANCED ADVANTAGE FUND - DIRECT PLAN - GROWTH</t>
  </si>
  <si>
    <t>IPRU8181</t>
  </si>
  <si>
    <t>INF109K010N9</t>
  </si>
  <si>
    <t>ICICI PRUDENTIAL MIDCAP FUND - DIRECT PLAN - IDCW PAYOUT</t>
  </si>
  <si>
    <t>IPRU8181P</t>
  </si>
  <si>
    <t>INF109K019M2</t>
  </si>
  <si>
    <t>IPRU8182</t>
  </si>
  <si>
    <t>INF109K011N7</t>
  </si>
  <si>
    <t>ICICI PRUDENTIAL MIDCAP FUND - DIRECT PLAN - GROWTH</t>
  </si>
  <si>
    <t>IPRU8183</t>
  </si>
  <si>
    <t>INF109K017M6</t>
  </si>
  <si>
    <t>ICICI PRUDENTIAL INFRASTRUCTURE FUND - DIRECT PLAN - IDCW PAYOUT</t>
  </si>
  <si>
    <t>IPRU8183P</t>
  </si>
  <si>
    <t>INF109K016M8</t>
  </si>
  <si>
    <t>IPRU8184</t>
  </si>
  <si>
    <t>INF109K018M4</t>
  </si>
  <si>
    <t>ICICI PRUDENTIAL INFRASTRUCTURE FUND - DIRECT PLAN - GROWTH</t>
  </si>
  <si>
    <t>IPRU8189</t>
  </si>
  <si>
    <t>INF109K012M7</t>
  </si>
  <si>
    <t>ICICI PRUDENTIAL NIFTY 50 INDEX FUND - DIRECT PLAN GROWTH</t>
  </si>
  <si>
    <t>IPRU8190</t>
  </si>
  <si>
    <t>INF109K015A5</t>
  </si>
  <si>
    <t>ICICI PRUDENTIAL MEDIUM TERM BOND FUND - DIRECT PLAN - GROWTH</t>
  </si>
  <si>
    <t>IPRU8191</t>
  </si>
  <si>
    <t>INF109K017A1</t>
  </si>
  <si>
    <t>ICICI PRUDENTIAL MEDIUM TERM BOND FUND - DIRECT PLAN - HALF YEARLY IDCW REINVESTMENT</t>
  </si>
  <si>
    <t>IPRU8191P</t>
  </si>
  <si>
    <t>INF109K016A3</t>
  </si>
  <si>
    <t>ICICI PRUDENTIAL MEDIUM TERM BOND FUND - DIRECT PLAN - HALF YEARLY IDCW PAYOUT</t>
  </si>
  <si>
    <t>IPRU8192</t>
  </si>
  <si>
    <t>INF109K019A7</t>
  </si>
  <si>
    <t>ICICI PRUDENTIAL MEDIUM TERM BOND FUND - DIRECT PLAN - QUARTERLY IDCW REINVESTMENT</t>
  </si>
  <si>
    <t>IPRU8192P</t>
  </si>
  <si>
    <t>INF109K018A9</t>
  </si>
  <si>
    <t>ICICI PRUDENTIAL MEDIUM TERM BOND FUND - DIRECT PLAN - QUARTERLY IDCW PAYOUT</t>
  </si>
  <si>
    <t>IPRU8193</t>
  </si>
  <si>
    <t>INF109K01W17</t>
  </si>
  <si>
    <t>ICICI PRUDENTIAL EXPORTS AND SERVICES - DIRECT PLAN - IDCW PAYOUT</t>
  </si>
  <si>
    <t>IPRU8193P</t>
  </si>
  <si>
    <t>INF109K01W09</t>
  </si>
  <si>
    <t>IPRU8194</t>
  </si>
  <si>
    <t>INF109K01W25</t>
  </si>
  <si>
    <t>ICICI PRUDENTIAL EXPORTS AND SERVICES - DIRECT PLAN - GROWTH</t>
  </si>
  <si>
    <t>IPRU8270</t>
  </si>
  <si>
    <t>INF109K015Y5</t>
  </si>
  <si>
    <t>ICICI PRUDENTIAL SAVINGS FUND - DIRECT PLAN - FORTNIGHTLY IDCW REINVESTMENT</t>
  </si>
  <si>
    <t>IPRU8270P</t>
  </si>
  <si>
    <t>INF109K016Y3</t>
  </si>
  <si>
    <t>ICICI PRUDENTIAL SAVINGS FUND - DIRECT PLAN - FORTNIGHTLY IDCW PAYOUT</t>
  </si>
  <si>
    <t>IPRU8271</t>
  </si>
  <si>
    <t>INF109K017Y1</t>
  </si>
  <si>
    <t>ICICI PRUDENTIAL SAVINGS FUND - DIRECT PLAN - MONTHLY IDCW REINVESTMENT</t>
  </si>
  <si>
    <t>IPRU8271P</t>
  </si>
  <si>
    <t>INF109K018Y9</t>
  </si>
  <si>
    <t>ICICI PRUDENTIAL SAVINGS FUND - DIRECT PLAN - MONTHLY IDCW PAYOUT</t>
  </si>
  <si>
    <t>IPRU8573</t>
  </si>
  <si>
    <t>INF109KA1UA0</t>
  </si>
  <si>
    <t>ICICI PRUDENTIAL DIVIDEND YIELD EQUITY FUND DIRECT PLAN GROWTH</t>
  </si>
  <si>
    <t>IPRU8574</t>
  </si>
  <si>
    <t>INF109KA1UC6</t>
  </si>
  <si>
    <t>ICICI PRUDENTIAL DIVIDEND YIELD EQUITY FUND DIRECT PLAN IDCW PAYOUT</t>
  </si>
  <si>
    <t>IPRU8574P</t>
  </si>
  <si>
    <t>INF109KA1UB8</t>
  </si>
  <si>
    <t>IPRU8726</t>
  </si>
  <si>
    <t>INF109KA1X28</t>
  </si>
  <si>
    <t>ICICI PRUDENTIAL SHORT TERM FUND - DIRECT PLAN - HALF YEARLY IDCW PAYOUT</t>
  </si>
  <si>
    <t>IPRU8726P</t>
  </si>
  <si>
    <t>INF109KA1X36</t>
  </si>
  <si>
    <t>IPRU8758</t>
  </si>
  <si>
    <t>INF109KA11J9</t>
  </si>
  <si>
    <t>ICICI PRUDENTIAL EQUITY SAVINGS FUND DIRECT PLAN CUMULATIVE</t>
  </si>
  <si>
    <t>IPRU8759</t>
  </si>
  <si>
    <t>INF109KA15J0</t>
  </si>
  <si>
    <t>ICICI PRUDENTIAL EQUITY SAVINGS FUND DIRECT PLAN MONTHLY IDCW PAYOUT</t>
  </si>
  <si>
    <t>IPRU8759P</t>
  </si>
  <si>
    <t>INF109KA12J7</t>
  </si>
  <si>
    <t>IPRU8760</t>
  </si>
  <si>
    <t>INF109KA16J8</t>
  </si>
  <si>
    <t>ICICI PRUDENTIAL EQUITY SAVINGS FUND DIRECT PLAN QUARTERLY IDCW PAYOUT</t>
  </si>
  <si>
    <t>IPRU8760P</t>
  </si>
  <si>
    <t>INF109KA13J5</t>
  </si>
  <si>
    <t>IPRU8761</t>
  </si>
  <si>
    <t>INF109KA17J6</t>
  </si>
  <si>
    <t>ICICI PRUDENTIAL EQUITY SAVINGS FUND DIRECT PLAN HALF YEARLY IDCW PAYOUT</t>
  </si>
  <si>
    <t>IPRU8761P</t>
  </si>
  <si>
    <t>INF109KA14J3</t>
  </si>
  <si>
    <t>IPRU8920</t>
  </si>
  <si>
    <t>INF109KB1NM9</t>
  </si>
  <si>
    <t>ICICI PRUDENTIAL NIFTY 50 INDEX FUND - DIRECT PLAN IDCW</t>
  </si>
  <si>
    <t>IPRU8920P</t>
  </si>
  <si>
    <t>INF109KB1NL1</t>
  </si>
  <si>
    <t>ICICI PRUDENTIAL NIFTY 50 INDEX FUND - DIRECT PLAN IDCW PAYOUT</t>
  </si>
  <si>
    <t>IPRU8961</t>
  </si>
  <si>
    <t>INF109KB1QL4</t>
  </si>
  <si>
    <t>ICICI PRUDENTIAL EQUITY AND DEBT FUND - DIRECT PLAN - ANNUAL IDCW PAYOUT</t>
  </si>
  <si>
    <t>IPRU8961P</t>
  </si>
  <si>
    <t>INF109KB1QM2</t>
  </si>
  <si>
    <t>IPRU9209</t>
  </si>
  <si>
    <t>INF109KB10X0</t>
  </si>
  <si>
    <t>ICICI PRUDENTIAL S&amp;P BSE SENSEX INDEX FUND DIRECT PLAN GROWTH</t>
  </si>
  <si>
    <t>IPRU9210</t>
  </si>
  <si>
    <t>INF109KB12X6</t>
  </si>
  <si>
    <t>ICICI PRUDENTIAL S&amp;P BSE SENSEX INDEX FUND DIRECT PLAN IDCW</t>
  </si>
  <si>
    <t>IPRU9333</t>
  </si>
  <si>
    <t>INF109KC1GH2</t>
  </si>
  <si>
    <t>ICICI PRUDENTIAL PHARMA HEALTHCARE AND DIAGNOSTICS (P.H.D) FUND DIRECT PLAN GROWTH</t>
  </si>
  <si>
    <t>IPRU9334</t>
  </si>
  <si>
    <t>INF109KC1GJ8</t>
  </si>
  <si>
    <t>ICICI PRUDENTIAL PHARMA HEALTHCARE AND DIAGNOSTICS (P.H.D) FUND DIRECT PLAN IDCW PAYOUT</t>
  </si>
  <si>
    <t>IPRU9335</t>
  </si>
  <si>
    <t>INF109KC1E01</t>
  </si>
  <si>
    <t>ICICI PRUDENTIAL MNC FUND DIRECT PLAN IDCW PAYOUT</t>
  </si>
  <si>
    <t>IPRU9392</t>
  </si>
  <si>
    <t>INF109KC1LJ8</t>
  </si>
  <si>
    <t>ICICI PRUDENTIAL MANUFACTURING FUND DIRECT PLAN GROWTH</t>
  </si>
  <si>
    <t>IPRU9393</t>
  </si>
  <si>
    <t>INF109KC1LK6</t>
  </si>
  <si>
    <t>ICICI PRUDENTIAL MANUFACTURING FUND DIRECT PLAN IDCW PAYOUT</t>
  </si>
  <si>
    <t>IPRU9453D</t>
  </si>
  <si>
    <t>INF109KC1RH9</t>
  </si>
  <si>
    <t>ICICI PRUDENTIAL INDIA OPPORTUNITIES FUND DIRECT PLAN GROWTH</t>
  </si>
  <si>
    <t>IPRU9454E</t>
  </si>
  <si>
    <t>INF109KC1RI7</t>
  </si>
  <si>
    <t>ICICI PRUDENTIAL INDIA OPPORTUNITIES FUND DIRECT PLAN IDCW PAYOUT</t>
  </si>
  <si>
    <t>IPRU9551</t>
  </si>
  <si>
    <t>INF109KC1YD4</t>
  </si>
  <si>
    <t>ICICI PRUDENTIAL BHARAT CONSUMPTION FUND DIRECT PLAN GROWTH</t>
  </si>
  <si>
    <t>IPRU9552</t>
  </si>
  <si>
    <t>INF109KC1YF9</t>
  </si>
  <si>
    <t>ICICI PRUDENTIAL BHARAT CONSUMPTION FUND DIRECT PLAN IDCW PAYOUT</t>
  </si>
  <si>
    <t>IPRU9594</t>
  </si>
  <si>
    <t>INF109KC1D93</t>
  </si>
  <si>
    <t>ICICI PRUDENTIAL MNC FUND DIRECT PLAN GROWTH</t>
  </si>
  <si>
    <t>IPRU9600</t>
  </si>
  <si>
    <t>INF109KC1F91</t>
  </si>
  <si>
    <t>ICICI PRUDENTIAL COMMODITIES FUND DIRECT PLAN GROWTH</t>
  </si>
  <si>
    <t>IPRU9601</t>
  </si>
  <si>
    <t>INF109KC1G09</t>
  </si>
  <si>
    <t>ICICI PRUDENTIAL COMMODITIES FUND DIRECT PLAN IDCW PAYOUT</t>
  </si>
  <si>
    <t>IPRU9637</t>
  </si>
  <si>
    <t>INF109KC1O09</t>
  </si>
  <si>
    <t>ICICI PRUDENTIAL ESG FUND DIRECT PLAN GROWTH</t>
  </si>
  <si>
    <t>IPRU9641</t>
  </si>
  <si>
    <t>INF109KC1P24</t>
  </si>
  <si>
    <t>ICICI PRUDENTIAL BUSINESS CYCLE FUND DIRECT PLAN GROWTH</t>
  </si>
  <si>
    <t>IPRU9642</t>
  </si>
  <si>
    <t>INF109KC1P32</t>
  </si>
  <si>
    <t>ICICI PRUDENTIAL BUSINESS CYCLE FUND DIRECT PLAN IDCW PAYOUT</t>
  </si>
  <si>
    <t>IPRU9642P</t>
  </si>
  <si>
    <t>INF109KC1P40</t>
  </si>
  <si>
    <t>IPRUAVAP</t>
  </si>
  <si>
    <t>INF109K01852</t>
  </si>
  <si>
    <t>ICICI PRUDENTIAL THEMATIC ADVANTAGE FUND (FOF) - GROWTH</t>
  </si>
  <si>
    <t>IPRUDFDP</t>
  </si>
  <si>
    <t>INF109K01EC7</t>
  </si>
  <si>
    <t>IPRUEDIRD</t>
  </si>
  <si>
    <t>INF109K01BE9</t>
  </si>
  <si>
    <t>ICICI PRUDENTIAL EQUITY ARBITRAGE FUND - IDCW PAYOUT</t>
  </si>
  <si>
    <t>IPRUEDIRG</t>
  </si>
  <si>
    <t>INF109K01BF6</t>
  </si>
  <si>
    <t>ICICI PRUDENTIAL EQUITY ARBITRAGE FUND - GROWTH</t>
  </si>
  <si>
    <t>IPRUEDIRP</t>
  </si>
  <si>
    <t>INF109K01EF0</t>
  </si>
  <si>
    <t>IPRUEDWRP</t>
  </si>
  <si>
    <t>INF109K01EG8</t>
  </si>
  <si>
    <t>ICICI PRUDENTIAL BALANCED ADVANTAGE FUND - IDCW PAYOUT</t>
  </si>
  <si>
    <t>IPRUESDP</t>
  </si>
  <si>
    <t>INF109K01EH6</t>
  </si>
  <si>
    <t>IPRUIFDP</t>
  </si>
  <si>
    <t>INF109K01FB6</t>
  </si>
  <si>
    <t>IPRUIMPDH</t>
  </si>
  <si>
    <t>INF109K01WX5</t>
  </si>
  <si>
    <t>IPRUIMPDP</t>
  </si>
  <si>
    <t>INF109K01ER5</t>
  </si>
  <si>
    <t>IPRUIMPDQ</t>
  </si>
  <si>
    <t>INF109K01WY3</t>
  </si>
  <si>
    <t>IPRULFRAG</t>
  </si>
  <si>
    <t>INF109K01AH4</t>
  </si>
  <si>
    <t>ICICI PRUDENTIAL MEDIUM TERM BOND FUND - GROWTH</t>
  </si>
  <si>
    <t>IPRULFRAQ</t>
  </si>
  <si>
    <t>INF109K01IO3</t>
  </si>
  <si>
    <t>IPRULTP25W</t>
  </si>
  <si>
    <t>INF109K01704</t>
  </si>
  <si>
    <t>IPRUSIDP</t>
  </si>
  <si>
    <t>INF109K01FL5</t>
  </si>
  <si>
    <t>ICICI PRUDENTIAL EXPORTS AND SERVICES - IDCW PAYOUT</t>
  </si>
  <si>
    <t>IPSERVESIG</t>
  </si>
  <si>
    <t>INF109K01BB5</t>
  </si>
  <si>
    <t>ICICI PRUDENTIAL EXPORTS AND SERVICES - GROWTH</t>
  </si>
  <si>
    <t>IPSID</t>
  </si>
  <si>
    <t>INF109K01BA7</t>
  </si>
  <si>
    <t>IPTECH71</t>
  </si>
  <si>
    <t>INF109K01506</t>
  </si>
  <si>
    <t>ICICI PRUDENTIAL TECHNOLOGY FUND - GROWTH</t>
  </si>
  <si>
    <t>IPTECH72</t>
  </si>
  <si>
    <t>INF109K01514</t>
  </si>
  <si>
    <t>IPTRGT1451</t>
  </si>
  <si>
    <t>INF109K01BZ4</t>
  </si>
  <si>
    <t>ICICI PRUDENTIAL FOCUSED EQUITY FUND - GROWTH</t>
  </si>
  <si>
    <t>IPTRGT1452</t>
  </si>
  <si>
    <t>INF109K01CA5</t>
  </si>
  <si>
    <t>JD119</t>
  </si>
  <si>
    <t>INF843K01KK1</t>
  </si>
  <si>
    <t>EDELWEISS FLEXI CAP FUND - DIRECT PLAN GROWTH</t>
  </si>
  <si>
    <t>JP119</t>
  </si>
  <si>
    <t>INF843K01KN5</t>
  </si>
  <si>
    <t>EDELWEISS FLEXI CAP FUND - REGULAR PLAN GROWTH</t>
  </si>
  <si>
    <t>JP120</t>
  </si>
  <si>
    <t>INF843K01KO3</t>
  </si>
  <si>
    <t>EDELWEISS FLEXI CAP FUND - REGULAR IDCW PAYOUT</t>
  </si>
  <si>
    <t>JP121</t>
  </si>
  <si>
    <t>INF843K01KP0</t>
  </si>
  <si>
    <t>EDELWEISS FLEXI CAP FUND - REGULAR IDCW REINVESTMENT</t>
  </si>
  <si>
    <t>JPCGR</t>
  </si>
  <si>
    <t>INF843K01138</t>
  </si>
  <si>
    <t>EDELWEISS GREATER CHINA EQUITY OFF-SHORE FUND - REGULAR PLAN - GROWTH OPTION</t>
  </si>
  <si>
    <t>JPEDI</t>
  </si>
  <si>
    <t>INF843K01054</t>
  </si>
  <si>
    <t>EDELWEISS LARGE AND MID CAP FUND - REGULAR PLAN - IDCW PAYOUT</t>
  </si>
  <si>
    <t>INF843K01062</t>
  </si>
  <si>
    <t>EDELWEISS LARGE AND MID CAP FUND - REGULAR PLAN - IDCW REINVESTMENT</t>
  </si>
  <si>
    <t>JPEGR</t>
  </si>
  <si>
    <t>INF843K01047</t>
  </si>
  <si>
    <t>EDELWEISS LARGE AND MID CAP FUND - REGULAR PLAN - GROWTH OPTION</t>
  </si>
  <si>
    <t>JPSDI</t>
  </si>
  <si>
    <t>INF843K01021</t>
  </si>
  <si>
    <t>EDELWEISS MID CAP FUND - REGULAR PLAN - IDCW PAYOUT</t>
  </si>
  <si>
    <t>INF843K01039</t>
  </si>
  <si>
    <t>EDELWEISS MID CAP FUND - REGULAR PLAN - IDCW REINVESTMENT</t>
  </si>
  <si>
    <t>JPSGR</t>
  </si>
  <si>
    <t>INF843K01013</t>
  </si>
  <si>
    <t>EDELWEISS MID CAP FUND - REGULAR PLAN - GROWTH OPTION</t>
  </si>
  <si>
    <t>K30</t>
  </si>
  <si>
    <t>INF174K01179</t>
  </si>
  <si>
    <t>KOTAK BLUECHIP FUND - IDCW PAYOUT</t>
  </si>
  <si>
    <t>INF174K01153</t>
  </si>
  <si>
    <t>KOTAK BLUECHIP FUND - GROWTH</t>
  </si>
  <si>
    <t>INF174K01161</t>
  </si>
  <si>
    <t>KOTAK BLUECHIP FUND - IDCW REINVESTMENT</t>
  </si>
  <si>
    <t>K3003DDP</t>
  </si>
  <si>
    <t>INF174K01KX4</t>
  </si>
  <si>
    <t>KOTAK BLUECHIP FUND - DIRECT PLAN - IDCW PAYOUT</t>
  </si>
  <si>
    <t>K30G13D</t>
  </si>
  <si>
    <t>INF174K01KW6</t>
  </si>
  <si>
    <t>KOTAK BLUECHIP FUND - DIRECT PLAN - GROWTH</t>
  </si>
  <si>
    <t>K30R03D</t>
  </si>
  <si>
    <t>INF174K01KY2</t>
  </si>
  <si>
    <t>KBAL04D</t>
  </si>
  <si>
    <t>INF174K01LM5</t>
  </si>
  <si>
    <t>KOTAK EQUITY HYBRID FUND - DIRECT PLAN - IDCW PAYOUT</t>
  </si>
  <si>
    <t>KBALAFDP</t>
  </si>
  <si>
    <t>INF174KA1160</t>
  </si>
  <si>
    <t>KOTAK BALANCED ADVANTAGE FUND -REGULAR PLAN - IDCW PAYOUT</t>
  </si>
  <si>
    <t>KBALAFDR</t>
  </si>
  <si>
    <t>INF174KA1178</t>
  </si>
  <si>
    <t>KBALAFGR</t>
  </si>
  <si>
    <t>INF174KA1186</t>
  </si>
  <si>
    <t>KOTAK BALANCED ADVANTAGE FUND -REGULAR PLAN - GROWTH</t>
  </si>
  <si>
    <t>KBALANCE</t>
  </si>
  <si>
    <t>INF174K01450</t>
  </si>
  <si>
    <t>KOTAK EQUITY HYBRID FUND - REGULAR PLAN - IDCW PAYOUT</t>
  </si>
  <si>
    <t>INF174K01443</t>
  </si>
  <si>
    <t>KOTAK EQUITY HYBRID FUND - REGULAR PLAN - IDCW REINVESTMENT</t>
  </si>
  <si>
    <t>KBALG04GD</t>
  </si>
  <si>
    <t>INF174K01F00</t>
  </si>
  <si>
    <t>KOTAK EQUITY HYBRID FUND - DIRECT PLAN GROWTH</t>
  </si>
  <si>
    <t>KBG</t>
  </si>
  <si>
    <t>INF174K01E92</t>
  </si>
  <si>
    <t>KOTAK EQUITY HYBRID FUND - REGULAR PLAN GROWTH</t>
  </si>
  <si>
    <t>KBONG06D</t>
  </si>
  <si>
    <t>INF174K01JC0</t>
  </si>
  <si>
    <t>KOTAK BOND FUND - DIRECT PLAN - GROWTH</t>
  </si>
  <si>
    <t>KBONREGADP</t>
  </si>
  <si>
    <t>INF174K01EQ1</t>
  </si>
  <si>
    <t>KOTAK BOND FUND - REGULAR PLAN - STANDARD - IDCW PAYOUT</t>
  </si>
  <si>
    <t>KBONREGADR</t>
  </si>
  <si>
    <t>INF174K01EP3</t>
  </si>
  <si>
    <t>KOTAK BOND FUND - REGULAR PLAN - STANDARD - IDCW REINVESTMENT</t>
  </si>
  <si>
    <t>KBONREGG</t>
  </si>
  <si>
    <t>INF174K01EM0</t>
  </si>
  <si>
    <t>KOTAK BOND FUND - GROWTH</t>
  </si>
  <si>
    <t>KBST20NDD</t>
  </si>
  <si>
    <t>INF174K01Z22</t>
  </si>
  <si>
    <t>KOTAK BOND SHORT TERM FUND - DIRECT PLAN - STANDARD - IDCW REINVESTMENT</t>
  </si>
  <si>
    <t>KBST20NDPD</t>
  </si>
  <si>
    <t>INF174K01Z14</t>
  </si>
  <si>
    <t>KOTAK BOND SHORT TERM FUND - DIRECT PLAN - STANDARD - IDCW PAYOUT</t>
  </si>
  <si>
    <t>KBSTG</t>
  </si>
  <si>
    <t>INF174K01ES7</t>
  </si>
  <si>
    <t>KOTAK BOND SHORT TERM FUND - GROWTH</t>
  </si>
  <si>
    <t>KBSTG10D</t>
  </si>
  <si>
    <t>INF174K01JI7</t>
  </si>
  <si>
    <t>KOTAK BOND SHORT TERM FUND - DIRECT PLAN - GROWTH</t>
  </si>
  <si>
    <t>KCONG124D</t>
  </si>
  <si>
    <t>INF174K01KZ9</t>
  </si>
  <si>
    <t>KOTAK INDIA EQ CONTRA FUND - DIRECT PLAN - GROWTH</t>
  </si>
  <si>
    <t>KCONTRA</t>
  </si>
  <si>
    <t>INF174K01260</t>
  </si>
  <si>
    <t>KOTAK INDIA EQ CONTRA FUND - IDCW PAYOUT</t>
  </si>
  <si>
    <t>INF174K01245</t>
  </si>
  <si>
    <t>KOTAK INDIA EQ CONTRA FUND - GROWTH</t>
  </si>
  <si>
    <t>INF174K01252</t>
  </si>
  <si>
    <t>KOTAK INDIA EQ CONTRA FUND - IDCW REINVESTMENT</t>
  </si>
  <si>
    <t>KCPLG179D</t>
  </si>
  <si>
    <t>INF174K01LC6</t>
  </si>
  <si>
    <t>KOTAK EQUITY ARBITRAGE FUND - DIRECT PLAN - GROWTH</t>
  </si>
  <si>
    <t>KCPLM189D</t>
  </si>
  <si>
    <t>INF174K01LE2</t>
  </si>
  <si>
    <t>KOTAK EQUITY ARBITRAGE FUND - DIRECT PLAN- MONTHLY IDCW PAYOUT</t>
  </si>
  <si>
    <t>KCROADP</t>
  </si>
  <si>
    <t>INF174K01EG2</t>
  </si>
  <si>
    <t>KOTAK CREDIT RISK FUND - REGULAR PLAN - STANDARD - IDCW PAYOUT</t>
  </si>
  <si>
    <t>KCROADR</t>
  </si>
  <si>
    <t>INF174K01EF4</t>
  </si>
  <si>
    <t>KOTAK CREDIT RISK FUND - REGULAR PLAN - STANDARD - IDCW REINVESTMENT</t>
  </si>
  <si>
    <t>KCROG</t>
  </si>
  <si>
    <t>INF174K01DY7</t>
  </si>
  <si>
    <t>KOTAK CREDIT RISK FUND - GROWTH</t>
  </si>
  <si>
    <t>KCROG190D</t>
  </si>
  <si>
    <t>INF174K01LZ7</t>
  </si>
  <si>
    <t>KOTAK CREDIT RISK FUND - DIRECT PLAN - GROWTH</t>
  </si>
  <si>
    <t>KDLMR255MD</t>
  </si>
  <si>
    <t>INF178L01AY2</t>
  </si>
  <si>
    <t>KOTAK LOW DURATION FUND - DIRECT PLAN STANDARD - IDCW PAYOUT</t>
  </si>
  <si>
    <t>KEME133D</t>
  </si>
  <si>
    <t>INF174K01LV6</t>
  </si>
  <si>
    <t>KOTAK EMERGING EQUITY FUND - DIRECT PLAN - IDCW PAYOUT</t>
  </si>
  <si>
    <t>KEMEDP</t>
  </si>
  <si>
    <t>INF174K01DU5</t>
  </si>
  <si>
    <t>KOTAK EMERGING EQUITY FUND - IDCW PAYOUT</t>
  </si>
  <si>
    <t>KEMEDR</t>
  </si>
  <si>
    <t>INF174K01DT7</t>
  </si>
  <si>
    <t>KOTAK EMERGING EQUITY FUND - IDCW REINVESTMENT</t>
  </si>
  <si>
    <t>KEMEG</t>
  </si>
  <si>
    <t>INF174K01DS9</t>
  </si>
  <si>
    <t>KOTAK EMERGING EQUITY FUND - GROWTH</t>
  </si>
  <si>
    <t>KEMEG123D</t>
  </si>
  <si>
    <t>INF174K01LT0</t>
  </si>
  <si>
    <t>KOTAK EMERGING EQUITY FUND - DIRECT PLAN - GROWTH</t>
  </si>
  <si>
    <t>KEQARBIT</t>
  </si>
  <si>
    <t>INF174K01328</t>
  </si>
  <si>
    <t>KOTAK EQUITY ARBITRAGE FUND - REGULAR PLAN - MONTHLY IDCW PAYOUT</t>
  </si>
  <si>
    <t>INF174K01302</t>
  </si>
  <si>
    <t>KOTAK EQUITY ARBITRAGE FUND - REGULAR PLAN - GROWTH</t>
  </si>
  <si>
    <t>INF174K01310</t>
  </si>
  <si>
    <t>KOTAK EQUITY ARBITRAGE FUND - REGULAR PLAN - MONTHLY IDCW REINVESTMENT</t>
  </si>
  <si>
    <t>KEQFOF</t>
  </si>
  <si>
    <t>INF174K01484</t>
  </si>
  <si>
    <t>KOTAK MULTI ASSET ALLOCATOR FUND OF FUND - DYNAMIC - IDCW PAYOUT</t>
  </si>
  <si>
    <t>INF174K01468</t>
  </si>
  <si>
    <t>KOTAK MULTI ASSET ALLOCATOR FUND OF FUND - DYNAMIC - GROWTH</t>
  </si>
  <si>
    <t>INF174K01476</t>
  </si>
  <si>
    <t>KOTAK MULTI ASSET ALLOCATOR FUND OF FUND - DYNAMIC - IDCW REINVESTMENT</t>
  </si>
  <si>
    <t>KESFMD</t>
  </si>
  <si>
    <t>INF174K01C86</t>
  </si>
  <si>
    <t>KOTAK EQUITY SAVINGS FUND - REGULAR PLAN - MONTHLY IDCW PAYOUT</t>
  </si>
  <si>
    <t>KESFRG</t>
  </si>
  <si>
    <t>INF174K01C78</t>
  </si>
  <si>
    <t>KOTAK EQUITY SAVINGS FUND - REGULAR PLAN - GROWTH</t>
  </si>
  <si>
    <t>KFG117DP</t>
  </si>
  <si>
    <t>INF174K01LO1</t>
  </si>
  <si>
    <t>KOTAK MULTI ASSET ALLOCATOR FUND OF FUND - DYNAMIC - DIRECT PLAN - IDCW PAYOUT</t>
  </si>
  <si>
    <t>KFLTG</t>
  </si>
  <si>
    <t>INF174K01FD6</t>
  </si>
  <si>
    <t>KOTAK SAVINGS FUND - GROWTH</t>
  </si>
  <si>
    <t>KFLTG135D</t>
  </si>
  <si>
    <t>INF174K01JP2</t>
  </si>
  <si>
    <t>KOTAK SAVINGS FUND - DIRECT PLAN - GROWTH</t>
  </si>
  <si>
    <t>KFLTM145D</t>
  </si>
  <si>
    <t>INF174K01JQ0</t>
  </si>
  <si>
    <t>KOTAK SAVINGS FUND - DIRECT PLAN - MONTHLY IDCW REINVESTMENT</t>
  </si>
  <si>
    <t>KFLTMDR</t>
  </si>
  <si>
    <t>INF174K01FH7</t>
  </si>
  <si>
    <t>KOTAK SAVINGS FUND - MONTHLY IDCW REINVESTMENT</t>
  </si>
  <si>
    <t>KFLXG197D</t>
  </si>
  <si>
    <t>INF174K01JU2</t>
  </si>
  <si>
    <t>KOTAK DYNAMIC BOND FUND - DIRECT PLAN - GROWTH</t>
  </si>
  <si>
    <t>KFOFG107D</t>
  </si>
  <si>
    <t>INF174K01LN3</t>
  </si>
  <si>
    <t>KOTAK MULTI ASSET ALLOCATOR FUND OF FUND - DYNAMIC - DIRECT PLAN - GROWTH</t>
  </si>
  <si>
    <t>KGOF47D</t>
  </si>
  <si>
    <t>INF174K01MR2</t>
  </si>
  <si>
    <t>KOTAK GOLD FUND - DIRECT PLAN - IDCW REINVESTMENT</t>
  </si>
  <si>
    <t>KGOFG46D</t>
  </si>
  <si>
    <t>INF174K01MP6</t>
  </si>
  <si>
    <t>KOTAK GOLD FUND - DIRECT PLAN-GROWTH</t>
  </si>
  <si>
    <t>KGOLDDP</t>
  </si>
  <si>
    <t>INF174K01AU1</t>
  </si>
  <si>
    <t>KOTAK GOLD FUND IDCW PAYOUT</t>
  </si>
  <si>
    <t>KGOLDDR</t>
  </si>
  <si>
    <t>INF174K01AV9</t>
  </si>
  <si>
    <t>KOTAK GOLD FUND IDCW REINVESTMENT</t>
  </si>
  <si>
    <t>KGOLDG</t>
  </si>
  <si>
    <t>INF174K01AT3</t>
  </si>
  <si>
    <t>KOTAK GOLD FUND-GROWTH</t>
  </si>
  <si>
    <t>KGSG</t>
  </si>
  <si>
    <t>INF174K01FO3</t>
  </si>
  <si>
    <t>KOTAK BANKING AND PSU FUND - GROWTH</t>
  </si>
  <si>
    <t>KGSMDP</t>
  </si>
  <si>
    <t>INF174K01FQ8</t>
  </si>
  <si>
    <t>KOTAK BANKING AND PSU FUND - MONTHLY IDCW PAYOUT</t>
  </si>
  <si>
    <t>KGSMDR</t>
  </si>
  <si>
    <t>INF174K01FP0</t>
  </si>
  <si>
    <t>KOTAK BANKING AND PSU FUND - MONTHLY IDCW REINVESTMENT</t>
  </si>
  <si>
    <t>KINCOME+</t>
  </si>
  <si>
    <t>INF174K01419</t>
  </si>
  <si>
    <t>KOTAK DEBT HYBRID FUND - MONTHLY IDCW PAYOUT</t>
  </si>
  <si>
    <t>INF174K01393</t>
  </si>
  <si>
    <t>KOTAK DEBT HYBRID FUND - GROWTH</t>
  </si>
  <si>
    <t>INF174K01401</t>
  </si>
  <si>
    <t>KOTAK DEBT HYBRID FUND - MONTHLY IDCW REINVESTMENT</t>
  </si>
  <si>
    <t>KKCBG258G</t>
  </si>
  <si>
    <t>INF178L01BY0</t>
  </si>
  <si>
    <t>KOTAK CORPORATE BOND FUND - DIRECT PLAN - GROWTH</t>
  </si>
  <si>
    <t>KKDL255G</t>
  </si>
  <si>
    <t>INF178L01AX4</t>
  </si>
  <si>
    <t>KOTAK LOW DURATION FUND - DIRECT PLAN - GROWTH</t>
  </si>
  <si>
    <t>KKGSG01D</t>
  </si>
  <si>
    <t>INF174K01KH7</t>
  </si>
  <si>
    <t>KOTAK BANKING AND PSU FUND - DIRECT PLAN - GROWTH</t>
  </si>
  <si>
    <t>KKIE53D</t>
  </si>
  <si>
    <t>INF178L01AJ3</t>
  </si>
  <si>
    <t>KOTAK INFRASTRUCTURE AND ECONOMIC REFORM FUND - DIRECT PLAN - IDCW REINVESTMENT</t>
  </si>
  <si>
    <t>KKIEG53G</t>
  </si>
  <si>
    <t>INF178L01AL9</t>
  </si>
  <si>
    <t>KOTAK INFRASTRUCTURE AND ECONOMIC REFORM FUND - DIRECT PLAN - GROWTH</t>
  </si>
  <si>
    <t>KKIPG41D</t>
  </si>
  <si>
    <t>INF174K01JZ1</t>
  </si>
  <si>
    <t>KOTAK DEBT HYBRID FUND - DIRECT PLAN - GROWTH</t>
  </si>
  <si>
    <t>KKOPG108D</t>
  </si>
  <si>
    <t>INF174K01LF9</t>
  </si>
  <si>
    <t>KOTAK EQUITY OPPORTUNITIES FUND - DIRECT PLAN - GROWTH</t>
  </si>
  <si>
    <t>KKSFG35D</t>
  </si>
  <si>
    <t>INF174K01D28</t>
  </si>
  <si>
    <t>KOTAK EQUITY SAVINGS FUND - DIRECT PLAN - GROWTH</t>
  </si>
  <si>
    <t>KKSFM36D</t>
  </si>
  <si>
    <t>INF174K01D51</t>
  </si>
  <si>
    <t>KOTAK EQUITY SAVINGS FUND - DIRECT PLAN - MONTHLY IDCW REINVESTMENT</t>
  </si>
  <si>
    <t>KMDFA50D</t>
  </si>
  <si>
    <t>INF174K01VU7</t>
  </si>
  <si>
    <t>KOTAK MEDIUM TERM FUND - DIRECT PLAN - STANDARD - IDCW REINVESTMENT</t>
  </si>
  <si>
    <t>KMDFG48D</t>
  </si>
  <si>
    <t>INF174K01VQ5</t>
  </si>
  <si>
    <t>KOTAK MEDIUM TERM FUND - DIRECT PLAN - GROWTH</t>
  </si>
  <si>
    <t>KMEDIUM</t>
  </si>
  <si>
    <t>INF174K01VL6</t>
  </si>
  <si>
    <t>KOTAK MEDIUM TERM FUND - REGULAR PLAN - GROWTH</t>
  </si>
  <si>
    <t>KMEDIUMAD</t>
  </si>
  <si>
    <t>INF174K01VN2</t>
  </si>
  <si>
    <t>KOTAK MEDIUM TERM FUND - REGULAR PLAN - STANDARD - IDCW PAYOUT</t>
  </si>
  <si>
    <t>INF174K01VP7</t>
  </si>
  <si>
    <t>KMID114D</t>
  </si>
  <si>
    <t>INF174K01KU0</t>
  </si>
  <si>
    <t>KOTAK SMALL CAP FUND - DIRECT PLAN - IDCW PAYOUT</t>
  </si>
  <si>
    <t>KMIDCAP</t>
  </si>
  <si>
    <t>INF174K01237</t>
  </si>
  <si>
    <t>KOTAK SMALL CAP FUND - IDCW PAYOUT</t>
  </si>
  <si>
    <t>INF174K01211</t>
  </si>
  <si>
    <t>KOTAK SMALL CAP FUND - GROWTH</t>
  </si>
  <si>
    <t>INF174K01229</t>
  </si>
  <si>
    <t>KOTAK SMALL CAP FUND - IDCW REINVESTMENT</t>
  </si>
  <si>
    <t>KMIDG104D</t>
  </si>
  <si>
    <t>INF174K01KT2</t>
  </si>
  <si>
    <t>KOTAK SMALL CAP FUND - DIRECT PLAN - GROWTH</t>
  </si>
  <si>
    <t>KOPPORT</t>
  </si>
  <si>
    <t>INF174K01203</t>
  </si>
  <si>
    <t>KOTAK EQUITY OPPORTUNITIES FUND - IDCW PAYOUT</t>
  </si>
  <si>
    <t>INF174K01187</t>
  </si>
  <si>
    <t>KOTAK EQUITY OPPORTUNITIES FUND - GROWTH</t>
  </si>
  <si>
    <t>INF174K01195</t>
  </si>
  <si>
    <t>KOTAK EQUITY OPPORTUNITIES FUND - IDCW REINVESTMENT</t>
  </si>
  <si>
    <t>KOTAKMFESG</t>
  </si>
  <si>
    <t>INF174KA1FI4</t>
  </si>
  <si>
    <t>KOTAK ESG OPPORTUNITIES FUND-DIRECT PLAN - GROWTH</t>
  </si>
  <si>
    <t>KSEF178D</t>
  </si>
  <si>
    <t>INF174K01LR4</t>
  </si>
  <si>
    <t>KOTAK FLEXICAP FUND - DIRECT PLAN - IDCW PAYOUT</t>
  </si>
  <si>
    <t>KSEFR168D</t>
  </si>
  <si>
    <t>INF174K01LS2</t>
  </si>
  <si>
    <t>KOTAK FLEXICAP FUND - DIRECT PLAN - GROWTH</t>
  </si>
  <si>
    <t>KSFOCUS</t>
  </si>
  <si>
    <t>INF174K01351</t>
  </si>
  <si>
    <t>KOTAK FLEXICAP FUND - IDCW PAYOUT</t>
  </si>
  <si>
    <t>INF174K01336</t>
  </si>
  <si>
    <t>KOTAK FLEXICAP FUND - GROWTH</t>
  </si>
  <si>
    <t>INF174K01344</t>
  </si>
  <si>
    <t>KOTAK FLEXICAP FUND - IDCW REINVESTMENT</t>
  </si>
  <si>
    <t>KTAKFLRDRM</t>
  </si>
  <si>
    <t>INF174KA1EB2</t>
  </si>
  <si>
    <t>KOTAK FLOATING RATE FUND-REGULAR PLAN - STANDARD - IDCW PAYOUT</t>
  </si>
  <si>
    <t>KTAKFLRGR</t>
  </si>
  <si>
    <t>INF174KA1DY6</t>
  </si>
  <si>
    <t>KOTAK FLOATING RATE FUND - REGULAR PLAN - GROWTH</t>
  </si>
  <si>
    <t>KTKBAFDDP</t>
  </si>
  <si>
    <t>INF174KA1194</t>
  </si>
  <si>
    <t>KOTAK BALANCED ADVANTAGE FUND -DIRECT PLAN - IDCW PAYOUT</t>
  </si>
  <si>
    <t>KTKBAFDDR</t>
  </si>
  <si>
    <t>INF174KA1202</t>
  </si>
  <si>
    <t>KTKBAFDG</t>
  </si>
  <si>
    <t>INF174KA1210</t>
  </si>
  <si>
    <t>KOTAK BALANCED ADVANTAGE FUND -DIRECT PLAN - GROWTH</t>
  </si>
  <si>
    <t>KTKEQSAV</t>
  </si>
  <si>
    <t>INF174K01D02</t>
  </si>
  <si>
    <t>KTKFEFD</t>
  </si>
  <si>
    <t>INF174KA1EM9</t>
  </si>
  <si>
    <t>KOTAK FOCUSED EQUITY FUND - REGULAR PLAN - IDCW PAYOUT</t>
  </si>
  <si>
    <t>INF174KA1EL1</t>
  </si>
  <si>
    <t>KTKFEFG</t>
  </si>
  <si>
    <t>INF174KA1EK3</t>
  </si>
  <si>
    <t>KOTAK FOCUSED EQUITY FUND - REGULAR PLAN - GROWTH</t>
  </si>
  <si>
    <t>KTKFLEXI</t>
  </si>
  <si>
    <t>INF174K01FA2</t>
  </si>
  <si>
    <t>KOTAK DYNAMIC BOND FUND - REGULAR PLAN - GROWTH</t>
  </si>
  <si>
    <t>INF174K01IY6</t>
  </si>
  <si>
    <t>KOTAK DYNAMIC BOND FUND - REGULAR PLAN - STANDARD - IDCW PAYOUT</t>
  </si>
  <si>
    <t>INF174K01IZ3</t>
  </si>
  <si>
    <t>KOTAK DYNAMIC BOND FUND - REGULAR PLAN - STANDARD - IDCW REINVESTMENT</t>
  </si>
  <si>
    <t>KTKFLRGRD</t>
  </si>
  <si>
    <t>INF174KA1EC0</t>
  </si>
  <si>
    <t>KOTAK FLOATING RATE FUND - DIRECT PLAN - GROWTH</t>
  </si>
  <si>
    <t>KTKPFDR</t>
  </si>
  <si>
    <t>INF174KA1EV0</t>
  </si>
  <si>
    <t>KOTAK PIONEER FUND - REGULAR PLAN - IDCW PAYOUT</t>
  </si>
  <si>
    <t>KTKPFG</t>
  </si>
  <si>
    <t>INF174KA1EW8</t>
  </si>
  <si>
    <t>KOTAK PIONEER FUND - REGULAR PLAN - GROWTH</t>
  </si>
  <si>
    <t>LARG</t>
  </si>
  <si>
    <t>INF917K01QL8</t>
  </si>
  <si>
    <t>L&amp;T ARBITRAGE OPPORTUNITIES FUND - GROWTH</t>
  </si>
  <si>
    <t>LARMD</t>
  </si>
  <si>
    <t>INF917K01QM6</t>
  </si>
  <si>
    <t>L&amp;T ARBITRAGE OPPORTUNITIES FUND MONTHLY IDCW PAYOUT</t>
  </si>
  <si>
    <t>LARMP</t>
  </si>
  <si>
    <t>INF917K01QN4</t>
  </si>
  <si>
    <t>LBCFD</t>
  </si>
  <si>
    <t>INF917K01RG6</t>
  </si>
  <si>
    <t>L&amp;T BUSINESS CYCLES FUND IDCW PAYOUT</t>
  </si>
  <si>
    <t>LBCFG</t>
  </si>
  <si>
    <t>INF917K01RF8</t>
  </si>
  <si>
    <t>L&amp;T BUSINESS CYCLES FUND GROWTH</t>
  </si>
  <si>
    <t>LBCFP</t>
  </si>
  <si>
    <t>INF917K01RH4</t>
  </si>
  <si>
    <t>LD080B</t>
  </si>
  <si>
    <t>INF200K01SV4</t>
  </si>
  <si>
    <t>SBI CREDIT RISK FUND DIRECT GROWTH</t>
  </si>
  <si>
    <t>LD086G</t>
  </si>
  <si>
    <t>INF200K01TF5</t>
  </si>
  <si>
    <t>SBI MAGNUM ULTRA SHORT DURATION FUND DIRECT GROWTH</t>
  </si>
  <si>
    <t>LD114G</t>
  </si>
  <si>
    <t>INF200K01QU0</t>
  </si>
  <si>
    <t>SBI ARBITRAGE OPPORTUNITIES FUND - DIRECT PLAN - GROWTH</t>
  </si>
  <si>
    <t>LEBFD</t>
  </si>
  <si>
    <t>INF917K01XQ3</t>
  </si>
  <si>
    <t>L&amp;T EMERGING BUSINESSES FUND IDCW REINVESTENT</t>
  </si>
  <si>
    <t>LEBFG</t>
  </si>
  <si>
    <t>INF917K01QC7</t>
  </si>
  <si>
    <t>L&amp;T EMERGING BUSINESSES FUND GROWTH</t>
  </si>
  <si>
    <t>LEBFP</t>
  </si>
  <si>
    <t>INF917K01QB9</t>
  </si>
  <si>
    <t>L&amp;T EMERGING BUSINESSES FUND IDCW PAYOUT</t>
  </si>
  <si>
    <t>LFSG</t>
  </si>
  <si>
    <t>INF677K01AE7</t>
  </si>
  <si>
    <t>L&amp;T BANKING AND PSU DEBT FUND - GROWTH</t>
  </si>
  <si>
    <t>LFSMD</t>
  </si>
  <si>
    <t>INF677K01AJ6</t>
  </si>
  <si>
    <t>L&amp;T BANKING AND PSU DEBT FUND - MONTHLY IDCW REINVESTENT</t>
  </si>
  <si>
    <t>LFSMP</t>
  </si>
  <si>
    <t>INF677K01AI8</t>
  </si>
  <si>
    <t>L&amp;T BANKING AND PSU DEBT FUND - MONTHLY IDCW PAYOUT</t>
  </si>
  <si>
    <t>LICNSTDPD</t>
  </si>
  <si>
    <t>INF767K01AM9</t>
  </si>
  <si>
    <t>LIC MF SAVINGS FUND-REGULAR PLAN-MONTHLY DIVIDEND-IDCW PAYOUT</t>
  </si>
  <si>
    <t>LICNSTDPR</t>
  </si>
  <si>
    <t>INF767K01AN7</t>
  </si>
  <si>
    <t>LIC MF SAVINGS FUND-REGULAR PLAN-MONTHLY IDCW REINVESTMENT</t>
  </si>
  <si>
    <t>LICNSTGPG</t>
  </si>
  <si>
    <t>INF767K01AO5</t>
  </si>
  <si>
    <t>LIC MF SAVINGS FUND-REGULAR PLAN-GROWTH-GROWTH</t>
  </si>
  <si>
    <t>LICSTDDR</t>
  </si>
  <si>
    <t>INF767K01AL1</t>
  </si>
  <si>
    <t>LIC MF SAVINGS FUND-REGULAR PLAN-DAILY IDCW REINVESTMENT</t>
  </si>
  <si>
    <t>LNT01D</t>
  </si>
  <si>
    <t>INF917K01HO1</t>
  </si>
  <si>
    <t>L&amp;T TRIPLE ACE BOND FUND DIRECT PLAN - QUARTERLY IDCW PAYOUT</t>
  </si>
  <si>
    <t>LNT01DP</t>
  </si>
  <si>
    <t>INF917K01HP8</t>
  </si>
  <si>
    <t>LNT02D</t>
  </si>
  <si>
    <t>INF917K01HN3</t>
  </si>
  <si>
    <t>L&amp;T TRIPLE ACE BOND FUND DIRECT PLAN - GROWTH</t>
  </si>
  <si>
    <t>LNT131D</t>
  </si>
  <si>
    <t>INF917K01IO9</t>
  </si>
  <si>
    <t>L&amp;T SHORT TERM BOND FUND DIRECT PLAN - IDCW PAYOUT</t>
  </si>
  <si>
    <t>LNT131DP</t>
  </si>
  <si>
    <t>INF917K01IP6</t>
  </si>
  <si>
    <t>LNT133D</t>
  </si>
  <si>
    <t>INF917K01IQ4</t>
  </si>
  <si>
    <t>L&amp;T SHORT TERM BOND FUND DIRECT PLAN - GROWTH</t>
  </si>
  <si>
    <t>LNT16D</t>
  </si>
  <si>
    <t>INF917K01FX6</t>
  </si>
  <si>
    <t>L&amp;T MIDCAP FUND DIRECT PLAN - IDCW PAYOUT</t>
  </si>
  <si>
    <t>LNT17D</t>
  </si>
  <si>
    <t>INF917K01FZ1</t>
  </si>
  <si>
    <t>L&amp;T MIDCAP FUND DIRECT PLAN - GROWTH</t>
  </si>
  <si>
    <t>LNT415D</t>
  </si>
  <si>
    <t>INF917K01FU2</t>
  </si>
  <si>
    <t>L&amp;T INFRASTRUCTURE FUND DIRECT PLAN - IDCW PAYOUT</t>
  </si>
  <si>
    <t>LNT416D</t>
  </si>
  <si>
    <t>INF917K01FW8</t>
  </si>
  <si>
    <t>L&amp;T INFRASTRUCTURE FUND DIRECT PLAN - GROWTH</t>
  </si>
  <si>
    <t>LNTFCADD</t>
  </si>
  <si>
    <t>INF917K01TX7</t>
  </si>
  <si>
    <t>L&amp;T HYBRID EQUITY FUND DIRECT PLAN - ANNUAL IDCW PAYOUT</t>
  </si>
  <si>
    <t>LNTFCDDP</t>
  </si>
  <si>
    <t>INF917K01TY5</t>
  </si>
  <si>
    <t>LNTFCEDD</t>
  </si>
  <si>
    <t>INF917K01LD6</t>
  </si>
  <si>
    <t>L&amp;T HYBRID EQUITY FUND DIRECT PLAN - IDCW PAYOUT</t>
  </si>
  <si>
    <t>LNTFCEGD</t>
  </si>
  <si>
    <t>INF917K01LE4</t>
  </si>
  <si>
    <t>L&amp;T HYBRID EQUITY FUND DIRECT PLAN - GROWTH</t>
  </si>
  <si>
    <t>LNTFCMDD</t>
  </si>
  <si>
    <t>INF917K01IL5</t>
  </si>
  <si>
    <t>L&amp;T BALANCED ADVANTAGE FUND DIRECT PLAN - IDCW PAYOUT</t>
  </si>
  <si>
    <t>LNTFCMDP</t>
  </si>
  <si>
    <t>INF917K01IM3</t>
  </si>
  <si>
    <t>LNTFCMGD</t>
  </si>
  <si>
    <t>INF917K01IN1</t>
  </si>
  <si>
    <t>L&amp;T BALANCED ADVANTAGE FUND DIRECT PLAN - GROWTH</t>
  </si>
  <si>
    <t>LNTFEFDD</t>
  </si>
  <si>
    <t>INF917K01FA4</t>
  </si>
  <si>
    <t>L&amp;T FLEXICAP FUND - DIRECT PLAN - IDCW PAYOUT</t>
  </si>
  <si>
    <t>LNTFEFDP</t>
  </si>
  <si>
    <t>INF917K01FB2</t>
  </si>
  <si>
    <t>LNTFEFGD</t>
  </si>
  <si>
    <t>INF917K01FC0</t>
  </si>
  <si>
    <t>L&amp;T FLEXICAP FUND - DIRECT PLAN - GROWTH</t>
  </si>
  <si>
    <t>LNTFIGDD</t>
  </si>
  <si>
    <t>INF917K01FO5</t>
  </si>
  <si>
    <t>L&amp;T INDIA LARGE CAP FUND DIRECT PLAN - IDCW PAYOUT</t>
  </si>
  <si>
    <t>LNTFIGDP</t>
  </si>
  <si>
    <t>INF917K01FP2</t>
  </si>
  <si>
    <t>LNTFIGGD</t>
  </si>
  <si>
    <t>INF917K01FQ0</t>
  </si>
  <si>
    <t>L&amp;T INDIA LARGE CAP FUND DIRECT PLAN - GROWTH</t>
  </si>
  <si>
    <t>LNTFISDD</t>
  </si>
  <si>
    <t>INF917K01FR8</t>
  </si>
  <si>
    <t>L&amp;T LARGE AND MIDCAP FUND DIRECT PLAN - IDCW PAYOUT</t>
  </si>
  <si>
    <t>LNTFISDP</t>
  </si>
  <si>
    <t>INF917K01FS6</t>
  </si>
  <si>
    <t>LNTFISGD</t>
  </si>
  <si>
    <t>INF917K01FT4</t>
  </si>
  <si>
    <t>L&amp;T LARGE AND MIDCAP FUND DIRECT PLAN - GROWTH</t>
  </si>
  <si>
    <t>LNTFIVDD</t>
  </si>
  <si>
    <t>INF917K01HB8</t>
  </si>
  <si>
    <t>L&amp;T INDIA VALUE FUND DIRECT PLAN - IDCW PAYOUT</t>
  </si>
  <si>
    <t>LNTFIVDP</t>
  </si>
  <si>
    <t>INF917K01HC6</t>
  </si>
  <si>
    <t>LNTFIVGD</t>
  </si>
  <si>
    <t>INF917K01HD4</t>
  </si>
  <si>
    <t>L&amp;T INDIA VALUE FUND DIRECT PLAN - GROWTH</t>
  </si>
  <si>
    <t>LNTFSIGD</t>
  </si>
  <si>
    <t>INF917K01GM7</t>
  </si>
  <si>
    <t>L&amp;T LOW DURATION FUND FUND DIRECT PLAN - GROWTH</t>
  </si>
  <si>
    <t>LNTLADQP</t>
  </si>
  <si>
    <t>INF917K01QV7</t>
  </si>
  <si>
    <t>L&amp;T ARBITRAGE OPPORTUNITIES FUND DIRECT QUARTERLY IDCW PAYOUT</t>
  </si>
  <si>
    <t>LNTLARDG</t>
  </si>
  <si>
    <t>INF917K01QR5</t>
  </si>
  <si>
    <t>L&amp;T ARBITRAGE OPPORTUNITIES FUND DIRECT GROWTH</t>
  </si>
  <si>
    <t>LNTLARDM</t>
  </si>
  <si>
    <t>INF917K01QS3</t>
  </si>
  <si>
    <t>L&amp;T ARBITRAGE OPPORTUNITIES FUND DIRECT MONTHLY IDCW PAYOUT</t>
  </si>
  <si>
    <t>LNTLARDP</t>
  </si>
  <si>
    <t>INF917K01QT1</t>
  </si>
  <si>
    <t>LNTLARDQ</t>
  </si>
  <si>
    <t>INF917K01QU9</t>
  </si>
  <si>
    <t>LNTLBCDD</t>
  </si>
  <si>
    <t>INF917K01RJ0</t>
  </si>
  <si>
    <t>L&amp;T BUSINESS CYCLES FUND-DIRECT PLAN-IDCW PAYOUT</t>
  </si>
  <si>
    <t>LNTLBCDG</t>
  </si>
  <si>
    <t>INF917K01RI2</t>
  </si>
  <si>
    <t>L&amp;T BUSINESS CYCLES FUND-DIRECT PLAN-GROWTH</t>
  </si>
  <si>
    <t>LNTLBCDP</t>
  </si>
  <si>
    <t>INF917K01RK8</t>
  </si>
  <si>
    <t>LNTLEBDD</t>
  </si>
  <si>
    <t>INF917K01XP5</t>
  </si>
  <si>
    <t>L&amp;T EMERGING BUSINESSES FUND DIRECT IDCW REINVESTENT</t>
  </si>
  <si>
    <t>LNTLEBDG</t>
  </si>
  <si>
    <t>INF917K01QA1</t>
  </si>
  <si>
    <t>L&amp;T EMERGING BUSINESSES FUND DIRECT GROWTH</t>
  </si>
  <si>
    <t>LNTLEBDP</t>
  </si>
  <si>
    <t>INF917K01PZ0</t>
  </si>
  <si>
    <t>L&amp;T EMERGING BUSINESSES FUND DIRECT IDCW PAYOUT</t>
  </si>
  <si>
    <t>LNTLFMDD</t>
  </si>
  <si>
    <t>INF917K01HI3</t>
  </si>
  <si>
    <t>L&amp;T BANKING AND PSU DEBT FUND DIRECT PLAN - MONTHLY IDCW PAYOUT</t>
  </si>
  <si>
    <t>LNTLFSGD</t>
  </si>
  <si>
    <t>INF917K01HH5</t>
  </si>
  <si>
    <t>L&amp;T BANKING AND PSU DEBT FUND DIRECT PLAN - GROWTH</t>
  </si>
  <si>
    <t>LNTLRCDG</t>
  </si>
  <si>
    <t>INF917K01TK4</t>
  </si>
  <si>
    <t>L&amp;T RESURGENT INDIA BOND FUND DIRECT GROWTH</t>
  </si>
  <si>
    <t>LNTLRDAD</t>
  </si>
  <si>
    <t>INF917K01WC5</t>
  </si>
  <si>
    <t>L&amp;T RESURGENT INDIA BOND FUND DIRECT ANNUAL IDCW PAYOUT</t>
  </si>
  <si>
    <t>LNTLRDAP</t>
  </si>
  <si>
    <t>INF917K01WF8</t>
  </si>
  <si>
    <t>LPDDD</t>
  </si>
  <si>
    <t>INF767K01519</t>
  </si>
  <si>
    <t>LIC MF BANKING AND PSU DEBT FUND-REGULAR PLAN-DAILY DIVIDEND-IDCW PAYOUT</t>
  </si>
  <si>
    <t>LPDDR</t>
  </si>
  <si>
    <t>INF767K01527</t>
  </si>
  <si>
    <t>LIC MF BANKING AND PSU DEBT FUND-REGULAR PLAN-DAILY IDCW REINVESTMENT</t>
  </si>
  <si>
    <t>LPG1G</t>
  </si>
  <si>
    <t>INF767K01GI4</t>
  </si>
  <si>
    <t>LIC MF BANKING AND PSU DEBT FUND-DIRECT PLAN-GROWTH-GROWTH</t>
  </si>
  <si>
    <t>LPGPG</t>
  </si>
  <si>
    <t>INF767K01535</t>
  </si>
  <si>
    <t>LIC MF BANKING AND PSU DEBT FUND-REGULAR PLAN-GROWTH-GROWTH</t>
  </si>
  <si>
    <t>LPWDD</t>
  </si>
  <si>
    <t>INF767K01568</t>
  </si>
  <si>
    <t>LIC MF BANKING AND PSU DEBT FUND-REGULAR PLAN-WEEKLY DIVIDEND-IDCW PAYOUT</t>
  </si>
  <si>
    <t>LPWDR</t>
  </si>
  <si>
    <t>INF767K01576</t>
  </si>
  <si>
    <t>LIC MF BANKING AND PSU DEBT FUND-REGULAR PLAN-WEEKLY IDCW REINVESTMENT</t>
  </si>
  <si>
    <t>LRCBG</t>
  </si>
  <si>
    <t>INF917K01TH0</t>
  </si>
  <si>
    <t>L&amp;T RESURGENT INDIA BOND FUND GROWTH</t>
  </si>
  <si>
    <t>LTOPSTDDP</t>
  </si>
  <si>
    <t>INF917K01CH6</t>
  </si>
  <si>
    <t>L&amp;T SHORT TERM BOND FUND - IDCW PAYOUT</t>
  </si>
  <si>
    <t>LTOPSTDDR</t>
  </si>
  <si>
    <t>INF917K01CI4</t>
  </si>
  <si>
    <t>LTOPSTDG</t>
  </si>
  <si>
    <t>INF917K01CL8</t>
  </si>
  <si>
    <t>L&amp;T SHORT TERM BOND FUND - GROWTH</t>
  </si>
  <si>
    <t>LTOPSTDQDP</t>
  </si>
  <si>
    <t>INF917K01CJ2</t>
  </si>
  <si>
    <t>L&amp;T SHORT TERM BOND FUND - QUARTERLY IDCW PAYOUT</t>
  </si>
  <si>
    <t>LTOPSTDQDR</t>
  </si>
  <si>
    <t>INF917K01CK0</t>
  </si>
  <si>
    <t>MBALF-DP</t>
  </si>
  <si>
    <t>INF200K01115</t>
  </si>
  <si>
    <t>SBI EQUITY HYBRID FUND REGULAR IDCW PAYOUT</t>
  </si>
  <si>
    <t>MBALF-DR</t>
  </si>
  <si>
    <t>INF200K01123</t>
  </si>
  <si>
    <t>SBI EQUITY HYBRID FUND REGULAR IDCW REINVESTMENT</t>
  </si>
  <si>
    <t>MBALF-G</t>
  </si>
  <si>
    <t>INF200K01107</t>
  </si>
  <si>
    <t>SBI EQUITY HYBRID FUND REGULAR GROWTH</t>
  </si>
  <si>
    <t>MCD1D</t>
  </si>
  <si>
    <t>INF767K01ND1</t>
  </si>
  <si>
    <t>LIC MF LARGE AND MIDCAP FUND-DIRECT PLAN-DIVIDEND-IDCW PAYOUT</t>
  </si>
  <si>
    <t>MCD1R</t>
  </si>
  <si>
    <t>INF767K01NF6</t>
  </si>
  <si>
    <t>LIC MF LARGE AND MIDCAP FUND-DIRECT PLAN-IDCW REINVESTMENT</t>
  </si>
  <si>
    <t>MCDPD</t>
  </si>
  <si>
    <t>INF767K01NA7</t>
  </si>
  <si>
    <t>LIC MF LARGE AND MIDCAP FUND-REGULAR PLAN-DIVIDEND-IDCW PAYOUT</t>
  </si>
  <si>
    <t>MCDPR</t>
  </si>
  <si>
    <t>INF767K01NC3</t>
  </si>
  <si>
    <t>LIC MF LARGE AND MIDCAP FUND-REGULAR PLAN-IDCW REINVESTMENT</t>
  </si>
  <si>
    <t>MCG1G</t>
  </si>
  <si>
    <t>INF767K01NE9</t>
  </si>
  <si>
    <t>LIC MF LARGE AND MIDCAP FUND-DIRECT PLAN-GROWTH-GROWTH</t>
  </si>
  <si>
    <t>MCGPG</t>
  </si>
  <si>
    <t>INF767K01NB5</t>
  </si>
  <si>
    <t>LIC MF LARGE AND MIDCAP FUND-REGULAR PLAN-GROWTH-GROWTH</t>
  </si>
  <si>
    <t>MEF-DP</t>
  </si>
  <si>
    <t>INF200K01198</t>
  </si>
  <si>
    <t>SBI MAGNUM EQUITY ESG FUND REGULAR IDCW PAYOUT</t>
  </si>
  <si>
    <t>MEF-DR</t>
  </si>
  <si>
    <t>INF200K01206</t>
  </si>
  <si>
    <t>SBI MAGNUM EQUITY ESG FUND REGULAR IDCW REINVESTMENT</t>
  </si>
  <si>
    <t>MEF-G</t>
  </si>
  <si>
    <t>INF200K01214</t>
  </si>
  <si>
    <t>SBI MAGNUM EQUITY ESG FUND REGULAR GROWTH</t>
  </si>
  <si>
    <t>MFDAG</t>
  </si>
  <si>
    <t>INF204KB19V4</t>
  </si>
  <si>
    <t>NIPPON INDIA MULTI ASSET FUND-DIRECT PLAN-GROWTH</t>
  </si>
  <si>
    <t>MFDAP</t>
  </si>
  <si>
    <t>INF204KB10W1</t>
  </si>
  <si>
    <t>NIPPON INDIA MULTI ASSET FUND-DIRECT PLAN-IDCW PAYOUT</t>
  </si>
  <si>
    <t>MFDAR</t>
  </si>
  <si>
    <t>INF204KB11W9</t>
  </si>
  <si>
    <t>NIPPON INDIA MULTI ASSET FUND-DIRECT PLAN-IDCW REINVESTEMENT</t>
  </si>
  <si>
    <t>MFDP</t>
  </si>
  <si>
    <t>INF247L01171</t>
  </si>
  <si>
    <t>MOTILAL OSWAL FOCUSED 25 FUND - REGULAR IDCW PAYOUT</t>
  </si>
  <si>
    <t>INF247L01163</t>
  </si>
  <si>
    <t>MOTILAL OSWAL FOCUSED 25 FUND - REGULAR IDCW REINVESTMENT</t>
  </si>
  <si>
    <t>MFDR</t>
  </si>
  <si>
    <t>INF204KB18V6</t>
  </si>
  <si>
    <t>NIPPON INDIA MULTI ASSET FUND-REGULAR PLAN-IDCW REINVESTEMENT</t>
  </si>
  <si>
    <t>MFGD</t>
  </si>
  <si>
    <t>INF247L01189</t>
  </si>
  <si>
    <t>MOTILAL OSWAL FOCUSED 25 FUND - DIRECT GROWTH</t>
  </si>
  <si>
    <t>MFGP</t>
  </si>
  <si>
    <t>INF247L01155</t>
  </si>
  <si>
    <t>MOTILAL OSWAL FOCUSED 25 FUND - REGULAR GROWTH</t>
  </si>
  <si>
    <t>MFPDD</t>
  </si>
  <si>
    <t>INF247L01205</t>
  </si>
  <si>
    <t>MOTILAL OSWAL FOCUSED 25 FUND - DIRECT IDCW PAYOUT</t>
  </si>
  <si>
    <t>MFRG</t>
  </si>
  <si>
    <t>INF204KB16V0</t>
  </si>
  <si>
    <t>NIPPON INDIA MULTI ASSET FUND-REGULAR PLAN-GROWTH</t>
  </si>
  <si>
    <t>MGLF-94-DP</t>
  </si>
  <si>
    <t>INF200K01255</t>
  </si>
  <si>
    <t>SBI MAGNUM GLOBAL FUND - IDCW PAYOUT</t>
  </si>
  <si>
    <t>MGLF-94-DR</t>
  </si>
  <si>
    <t>INF200K01263</t>
  </si>
  <si>
    <t>SBI MAGNUM GLOBAL FUND - IDCW REINVESTMENT</t>
  </si>
  <si>
    <t>MGLF-94-G</t>
  </si>
  <si>
    <t>INF200K01271</t>
  </si>
  <si>
    <t>SBI MAGNUM GLOBAL FUND - GROWTH</t>
  </si>
  <si>
    <t>MIDCAP-DP</t>
  </si>
  <si>
    <t>INF200K01578</t>
  </si>
  <si>
    <t>SBI MAGNUM MIDCAP FUND - IDCW PAYOUT</t>
  </si>
  <si>
    <t>MIDCAP-DR</t>
  </si>
  <si>
    <t>INF200K01586</t>
  </si>
  <si>
    <t>SBI MAGNUM MIDCAP FUND - IDCW REINVESTMENT</t>
  </si>
  <si>
    <t>MIDCAP-G</t>
  </si>
  <si>
    <t>INF200K01560</t>
  </si>
  <si>
    <t>SBI MAGNUM MIDCAP FUND - GROWTH</t>
  </si>
  <si>
    <t>MIF-FL-DP</t>
  </si>
  <si>
    <t>INF200K01693</t>
  </si>
  <si>
    <t>SBI CREDIT RISK FUND REGULAR IDCW PAYOUT</t>
  </si>
  <si>
    <t>MIF-FL-DR</t>
  </si>
  <si>
    <t>INF200K01701</t>
  </si>
  <si>
    <t>SBI CREDIT RISK FUND REGULAR IDCW REINVESTMENT</t>
  </si>
  <si>
    <t>MIF-FL-G</t>
  </si>
  <si>
    <t>INF200K01685</t>
  </si>
  <si>
    <t>SBI CREDIT RISK FUND REGULAR GROWTH</t>
  </si>
  <si>
    <t>MINDEX-DP</t>
  </si>
  <si>
    <t>INF200K01545</t>
  </si>
  <si>
    <t>SBI NIFTY INDEX FUND - IDCW PAYOUT</t>
  </si>
  <si>
    <t>MINDEX-DR</t>
  </si>
  <si>
    <t>INF200K01552</t>
  </si>
  <si>
    <t>SBI NIFTY INDEX FUND - IDCW REINVESTMENT</t>
  </si>
  <si>
    <t>MINDEX-G</t>
  </si>
  <si>
    <t>INF200K01537</t>
  </si>
  <si>
    <t>SBI NIFTY INDEX FUND- REGULAR PLAN - GROWTH</t>
  </si>
  <si>
    <t>MIRAEBFRD</t>
  </si>
  <si>
    <t>INF769K01GT7</t>
  </si>
  <si>
    <t>MIRAE ASSET BANKING AND FINANCIAL SERVICES FUND - REGULAR PLAN - IDCW PAYOUT</t>
  </si>
  <si>
    <t>MIRAEBFRG</t>
  </si>
  <si>
    <t>INF769K01GU5</t>
  </si>
  <si>
    <t>MIRAE ASSET BANKING AND FINANCIAL SERVICES FUND - REGULAR PLAN - GROWTH</t>
  </si>
  <si>
    <t>MIRAEBFRR</t>
  </si>
  <si>
    <t>INF769K01GV3</t>
  </si>
  <si>
    <t>MIRAE ASSET BANKING AND FINANCIAL SERVICES FUND - REGULAR PLAN - IDCW REINVESTMENT</t>
  </si>
  <si>
    <t>MIRAEEBD1</t>
  </si>
  <si>
    <t>INF769K01BI1</t>
  </si>
  <si>
    <t>MIRAE ASSET EMERGING BLUECHIP FUND - DIRECT PLAN - GROWTH</t>
  </si>
  <si>
    <t>MIRAEEBD2</t>
  </si>
  <si>
    <t>INF769K01BJ9</t>
  </si>
  <si>
    <t>MIRAE ASSET EMERGING BLUECHIP FUND - DIRECT PLAN - IDCW PAYOUT</t>
  </si>
  <si>
    <t>INF769K01BK7</t>
  </si>
  <si>
    <t>MIRAE ASSET EMERGING BLUECHIP FUND - DIRECT PLAN - IDCW REINVESTMENT</t>
  </si>
  <si>
    <t>MIRAEEBRDD</t>
  </si>
  <si>
    <t>INF769K01127</t>
  </si>
  <si>
    <t>MIRAE ASSET EMERGING BLUECHIP FUND - REGULAR PLAN - IDCW PAYOUT OPTION</t>
  </si>
  <si>
    <t>MIRAEEBRDR</t>
  </si>
  <si>
    <t>INF769K01119</t>
  </si>
  <si>
    <t>MIRAE ASSET EMERGING BLUECHIP FUND - REGULAR PLAN - IDCW REINVESTMENT OPTION</t>
  </si>
  <si>
    <t>MIRAEEBRGG</t>
  </si>
  <si>
    <t>INF769K01101</t>
  </si>
  <si>
    <t>MIRAE ASSET EMERGING BLUECHIP FUND - REGULAR PLAN - GROWTH OPTION</t>
  </si>
  <si>
    <t>MIRAEESRD</t>
  </si>
  <si>
    <t>INF769K01EH7</t>
  </si>
  <si>
    <t>MIRAE ASSET EQUITY SAVINGS FUND REGULAR IDCW PAYOUT</t>
  </si>
  <si>
    <t>INF769K01EL9</t>
  </si>
  <si>
    <t>MIRAE ASSET EQUITY SAVINGS FUND REGULAR IDCW REINVESTMENT</t>
  </si>
  <si>
    <t>MIRAEESRG</t>
  </si>
  <si>
    <t>INF769K01EI5</t>
  </si>
  <si>
    <t>MIRAE ASSET EQUITY SAVINGS FUND REGULAR GROWTH</t>
  </si>
  <si>
    <t>MIRAEFFD1</t>
  </si>
  <si>
    <t>INF769K01EU0</t>
  </si>
  <si>
    <t>MIRAE ASSET FOCUSED FUND - DIRECT PLAN - GROWTH</t>
  </si>
  <si>
    <t>MIRAEFFD2</t>
  </si>
  <si>
    <t>INF769K01ET2</t>
  </si>
  <si>
    <t>MIRAE ASSET FOCUSED FUND - DIRECT PLAN - IDCW PAYOUT</t>
  </si>
  <si>
    <t>INF769K01EW6</t>
  </si>
  <si>
    <t>MIRAE ASSET FOCUSED FUND - DIRECT PLAN - IDCW REINVESTMENT</t>
  </si>
  <si>
    <t>MIRAEFFRD</t>
  </si>
  <si>
    <t>INF769K01ER6</t>
  </si>
  <si>
    <t>MIRAE ASSET FOCUSED FUND - REGULAR PLAN - IDCW PAYOUT</t>
  </si>
  <si>
    <t>INF769K01EV8</t>
  </si>
  <si>
    <t>MIRAE ASSET FOCUSED FUND - REGULAR PLAN - IDCW REINVESTMENT</t>
  </si>
  <si>
    <t>MIRAEFFRG</t>
  </si>
  <si>
    <t>INF769K01ES4</t>
  </si>
  <si>
    <t>MIRAE ASSET FOCUSED FUND - REGULAR PLAN - GROWTH</t>
  </si>
  <si>
    <t>MIRAEHCD1</t>
  </si>
  <si>
    <t>INF769K01ED6</t>
  </si>
  <si>
    <t>MIRAE ASSET HEALTHCARE FUND - DIRECT PLAN - GROWTH</t>
  </si>
  <si>
    <t>MIRAEICD1</t>
  </si>
  <si>
    <t>INF769K01BL5</t>
  </si>
  <si>
    <t>MIRAE ASSET GREAT CONSUMER FUND - DIRECT PLAN - GROWTH</t>
  </si>
  <si>
    <t>MIRAEICD2</t>
  </si>
  <si>
    <t>INF769K01BM3</t>
  </si>
  <si>
    <t>MIRAE ASSET GREAT CONSUMER FUND - DIRECT PLAN - IDCW PAYOUT</t>
  </si>
  <si>
    <t>INF769K01BN1</t>
  </si>
  <si>
    <t>MIRAE ASSET GREAT CONSUMER FUND - DIRECT PLAN - IDCW REINVESTMENT</t>
  </si>
  <si>
    <t>MIRAEICRDD</t>
  </si>
  <si>
    <t>INF769K01150</t>
  </si>
  <si>
    <t>MIRAE ASSET GREAT CONSUMER FUND - REGULAR PLAN IDCW PAYOUT</t>
  </si>
  <si>
    <t>MIRAEICRDR</t>
  </si>
  <si>
    <t>INF769K01143</t>
  </si>
  <si>
    <t>MIRAE ASSET GREAT CONSUMER FUND - REGULAR IDCW REINVESTMENT PLAN</t>
  </si>
  <si>
    <t>MIRAEICRGG</t>
  </si>
  <si>
    <t>INF769K01135</t>
  </si>
  <si>
    <t>MIRAE ASSET GREAT CONSUMER FUND - REGULAR PLAN GROWTH OPTION</t>
  </si>
  <si>
    <t>MIRAEIOD1</t>
  </si>
  <si>
    <t>INF769K01AX2</t>
  </si>
  <si>
    <t>MIRAE ASSET LARGE CAP FUND - DIRECT PLAN - GROWTH</t>
  </si>
  <si>
    <t>MIRAEIOD2</t>
  </si>
  <si>
    <t>INF769K01AY0</t>
  </si>
  <si>
    <t>MIRAE ASSET LARGE CAP FUND - DIRECT PLAN - IDCW PAYOUT</t>
  </si>
  <si>
    <t>INF769K01AZ7</t>
  </si>
  <si>
    <t>MIRAE ASSET LARGE CAP FUND - DIRECT PLAN - IDCW REINVESTMENT</t>
  </si>
  <si>
    <t>MIRAEIORDD</t>
  </si>
  <si>
    <t>INF769K01036</t>
  </si>
  <si>
    <t>MIRAE ASSET LARGE CAP FUND - REGULAR - IDCW PAYOUT</t>
  </si>
  <si>
    <t>MIRAEIORDR</t>
  </si>
  <si>
    <t>INF769K01028</t>
  </si>
  <si>
    <t>MIRAE ASSET LARGE CAP FUND - REGULAR - IDCW REINVESTMENT</t>
  </si>
  <si>
    <t>MIRAEIORGG</t>
  </si>
  <si>
    <t>INF769K01010</t>
  </si>
  <si>
    <t>MIRAE ASSET LARGE CAP FUND - REGULAR - GROWTH</t>
  </si>
  <si>
    <t>MIRAELPD1</t>
  </si>
  <si>
    <t>INF769K01BO9</t>
  </si>
  <si>
    <t>MIRAE ASSET SAVINGS FUND - DIRECT PLAN - GROWTH</t>
  </si>
  <si>
    <t>MIRAELPIGG</t>
  </si>
  <si>
    <t>INF769K01937</t>
  </si>
  <si>
    <t>MIRAE ASSET SAVINGS FUND - REGULAR SAVINGS PLAN - GROWTH PLAN</t>
  </si>
  <si>
    <t>MIRAELPIMD</t>
  </si>
  <si>
    <t>INF769K01960</t>
  </si>
  <si>
    <t>MIRAE ASSET SAVINGS FUND - REGULAR SAVINGS PLAN - (MONTHLY)-IDCW PAYOUT</t>
  </si>
  <si>
    <t>MIRAELPIMR</t>
  </si>
  <si>
    <t>INF769K01AA0</t>
  </si>
  <si>
    <t>MIRAE ASSET SAVINGS FUND - REGULAR SAVINGS PLAN - IDCW REINVESTMENT PLAN (MONTHLY)</t>
  </si>
  <si>
    <t>MIRAELPIWR</t>
  </si>
  <si>
    <t>INF769K01994</t>
  </si>
  <si>
    <t>MIRAE ASSET SAVINGS FUND - REGULAR SAVINGS PLAN - IDCW REINVESTMENT PLAN (WEEKLY)</t>
  </si>
  <si>
    <t>MIRAEMCD1</t>
  </si>
  <si>
    <t>INF769K01FA9</t>
  </si>
  <si>
    <t>MIRAE ASSET MIDCAP FUND - DIRECT PLAN - GROWTH</t>
  </si>
  <si>
    <t>MIRAEMCD2</t>
  </si>
  <si>
    <t>INF769K01EZ9</t>
  </si>
  <si>
    <t>MIRAE ASSET MIDCAP FUND - DIRECT PLAN - IDCW PAYOUT</t>
  </si>
  <si>
    <t>INF769K01FC5</t>
  </si>
  <si>
    <t>MIRAE ASSET MIDCAP FUND - DIRECT PLAN - IDCW REINVESTMENT</t>
  </si>
  <si>
    <t>MIRAEMCRD</t>
  </si>
  <si>
    <t>INF769K01EX4</t>
  </si>
  <si>
    <t>MIRAE ASSET MIDCAP FUND - REGULAR PLAN - IDCW PAYOUT</t>
  </si>
  <si>
    <t>INF769K01FB7</t>
  </si>
  <si>
    <t>MIRAE ASSET MIDCAP FUND - REGULAR PLAN - IDCW REINVESTMENT</t>
  </si>
  <si>
    <t>MIRAEMCRG</t>
  </si>
  <si>
    <t>INF769K01EY2</t>
  </si>
  <si>
    <t>MIRAE ASSET MIDCAP FUND - REGULAR PLAN - GROWTH</t>
  </si>
  <si>
    <t>MIRAEPFD1</t>
  </si>
  <si>
    <t>INF769K01DH9</t>
  </si>
  <si>
    <t>MIRAE ASSET HYBRID - EQUITY FUND - DIRECT PLAN - GROWTH</t>
  </si>
  <si>
    <t>MIRAEPFD2</t>
  </si>
  <si>
    <t>INF769K01DI7</t>
  </si>
  <si>
    <t>MIRAE ASSET HYBRID - EQUITY FUND - DIRECT PLAN - IDCW PAYOUT</t>
  </si>
  <si>
    <t>INF769K01DJ5</t>
  </si>
  <si>
    <t>MIRAE ASSET HYBRID - EQUITY FUND - DIRECT PLAN - IDCW REINVESTMENT</t>
  </si>
  <si>
    <t>MIRAEPFRDD</t>
  </si>
  <si>
    <t>INF769K01DF3</t>
  </si>
  <si>
    <t>MIRAE ASSET HYBRID - EQUITY FUND - REGULAR PLAN - IDCW PAYOUT</t>
  </si>
  <si>
    <t>MIRAEPFRDR</t>
  </si>
  <si>
    <t>INF769K01DG1</t>
  </si>
  <si>
    <t>MIRAE ASSET HYBRID - EQUITY FUND - REGULAR PLAN - IDCW REINVESTMENT</t>
  </si>
  <si>
    <t>MIRAEPFRGG</t>
  </si>
  <si>
    <t>INF769K01DE6</t>
  </si>
  <si>
    <t>MIRAE ASSET HYBRID - EQUITY FUND - REGULAR PLAN - GROWTH</t>
  </si>
  <si>
    <t>MLIF-98-DP</t>
  </si>
  <si>
    <t>INF200K01610</t>
  </si>
  <si>
    <t>SBI MAGNUM INCOME FUND - 1998 - IDCW PAYOUT</t>
  </si>
  <si>
    <t>MLIF-98-DR</t>
  </si>
  <si>
    <t>INF200K01628</t>
  </si>
  <si>
    <t>SBI MAGNUM INCOME FUND - 1998 - IDCW REINVESTMENT</t>
  </si>
  <si>
    <t>MLIF-98-G</t>
  </si>
  <si>
    <t>INF200K01594</t>
  </si>
  <si>
    <t>SBI MAGNUM INCOME FUND - 1998 - GROWTH</t>
  </si>
  <si>
    <t>MMEBYDD</t>
  </si>
  <si>
    <t>INF174V01515</t>
  </si>
  <si>
    <t>MAHINDRA MANULIFE MID CAP UNNATI YOJANA - DIRECT - IDCW PAYOUT</t>
  </si>
  <si>
    <t>MMEBYDG</t>
  </si>
  <si>
    <t>INF174V01507</t>
  </si>
  <si>
    <t>MAHINDRA MANULIFE MID CAP UNNATI YOJANA - DIRECT - GROWTH</t>
  </si>
  <si>
    <t>MMEBYDP</t>
  </si>
  <si>
    <t>INF174V01523</t>
  </si>
  <si>
    <t>MMEBYRD</t>
  </si>
  <si>
    <t>INF174V01481</t>
  </si>
  <si>
    <t>MAHINDRA MANULIFE MID CAP UNNATI YOJANA - REGULAR - IDCW PAYOUT</t>
  </si>
  <si>
    <t>MMEBYRG</t>
  </si>
  <si>
    <t>INF174V01473</t>
  </si>
  <si>
    <t>MAHINDRA MANULIFE MID CAP UNNATI YOJANA - REGULAR - GROWTH</t>
  </si>
  <si>
    <t>MMEBYRP</t>
  </si>
  <si>
    <t>INF174V01499</t>
  </si>
  <si>
    <t>MMIP-A-DP</t>
  </si>
  <si>
    <t>INF200K01909</t>
  </si>
  <si>
    <t>SBI CONSERVATIVE HYBRID FUND REGULAR ANNUAL IDCW PAYOUT</t>
  </si>
  <si>
    <t>MMIP-A-DR</t>
  </si>
  <si>
    <t>INF200K01917</t>
  </si>
  <si>
    <t>SBI CONSERVATIVE HYBRID FUND REGULAR ANNUAL IDCW REINVESTMENT</t>
  </si>
  <si>
    <t>MMIP-FA-DP</t>
  </si>
  <si>
    <t>INF200K01784</t>
  </si>
  <si>
    <t>SBI MULTI ASSET ALLOCATION FUND REGULAR ANNUAL IDCW PAYOUT</t>
  </si>
  <si>
    <t>MMIP-FA-DR</t>
  </si>
  <si>
    <t>INF200K01792</t>
  </si>
  <si>
    <t>SBI MULTI ASSET ALLOCATION FUND REGULAR ANNUAL IDCW REINVESTMENT</t>
  </si>
  <si>
    <t>MMIP-F-G</t>
  </si>
  <si>
    <t>INF200K01800</t>
  </si>
  <si>
    <t>SBI MULTI ASSET ALLOCATION FUND REGULAR GROWTH</t>
  </si>
  <si>
    <t>MMIP-FM-DP</t>
  </si>
  <si>
    <t>INF200K01818</t>
  </si>
  <si>
    <t>SBI MULTI ASSET ALLOCATION FUND REGULAR MONTHLY IDCW PAYOUT</t>
  </si>
  <si>
    <t>MMIP-FM-DR</t>
  </si>
  <si>
    <t>INF200K01826</t>
  </si>
  <si>
    <t>SBI MULTI ASSET ALLOCATION FUND REGULAR MONTHLY IDCW REINVESTMENT</t>
  </si>
  <si>
    <t>MMIP-FQ-DP</t>
  </si>
  <si>
    <t>INF200K01834</t>
  </si>
  <si>
    <t>SBI MULTI ASSET ALLOCATION FUND REGULAR QUARTERLY IDCW PAYOUT</t>
  </si>
  <si>
    <t>MMIP-FQ-DR</t>
  </si>
  <si>
    <t>INF200K01842</t>
  </si>
  <si>
    <t>SBI MULTI ASSET ALLOCATION FUND REGULAR QUARTERLY IDCW REINVESTMENT</t>
  </si>
  <si>
    <t>MMIP-G</t>
  </si>
  <si>
    <t>INF200K01859</t>
  </si>
  <si>
    <t>SBI CONSERVATIVE HYBRID FUND REGULAR GROWTH</t>
  </si>
  <si>
    <t>MMIP-M-DP</t>
  </si>
  <si>
    <t>INF200K01867</t>
  </si>
  <si>
    <t>SBI CONSERVATIVE HYBRID FUND REGULAR MONTHLY IDCW PAYOUT</t>
  </si>
  <si>
    <t>MMIP-M-DR</t>
  </si>
  <si>
    <t>INF200K01875</t>
  </si>
  <si>
    <t>SBI CONSERVATIVE HYBRID FUND REGULAR MONTHLY IDCW REINVESTMENT</t>
  </si>
  <si>
    <t>MMIP-Q-DP</t>
  </si>
  <si>
    <t>INF200K01883</t>
  </si>
  <si>
    <t>SBI CONSERVATIVE HYBRID FUND REGULAR QUARTERLY IDCW PAYOUT</t>
  </si>
  <si>
    <t>MMIP-Q-DR</t>
  </si>
  <si>
    <t>INF200K01891</t>
  </si>
  <si>
    <t>SBI CONSERVATIVE HYBRID FUND REGULAR QUARTERLY IDCW REINVESTMENT</t>
  </si>
  <si>
    <t>MMMBYDD</t>
  </si>
  <si>
    <t>INF174V01358</t>
  </si>
  <si>
    <t>MAHINDRA MANULIFE MULTI CAP BADHAT YOJANA - DIRECT - IDCW PAYOUT</t>
  </si>
  <si>
    <t>MMMBYDG</t>
  </si>
  <si>
    <t>INF174V01341</t>
  </si>
  <si>
    <t>MAHINDRA MANULIFE MULTI CAP BADHAT YOJANA - DIRECT - GROWTH</t>
  </si>
  <si>
    <t>MMMBYDP</t>
  </si>
  <si>
    <t>INF174V01366</t>
  </si>
  <si>
    <t>MMMBYRD</t>
  </si>
  <si>
    <t>INF174V01325</t>
  </si>
  <si>
    <t>MAHINDRA MANULIFE MULTI CAP BADHAT YOJANA - REGULAR - IDCW PAYOUT</t>
  </si>
  <si>
    <t>MMMBYRG</t>
  </si>
  <si>
    <t>INF174V01317</t>
  </si>
  <si>
    <t>MAHINDRA MANULIFE MULTI CAP BADHAT YOJANA - REGULAR - GROWTH</t>
  </si>
  <si>
    <t>MMMBYRP</t>
  </si>
  <si>
    <t>INF174V01333</t>
  </si>
  <si>
    <t>MMMFEDG</t>
  </si>
  <si>
    <t>INF174V01AG7</t>
  </si>
  <si>
    <t>MAHINDRA MANULIFE FOCUSED EQUITY YOJANA - DIRECT PLAN - GROWTH</t>
  </si>
  <si>
    <t>MMMFERD</t>
  </si>
  <si>
    <t>INF174V01AE2</t>
  </si>
  <si>
    <t>MAHINDRA MANULIFE FOCUSED EQUITY YOJANA - REGULAR PLAN - IDCW PAYOUT</t>
  </si>
  <si>
    <t>MMMFERG</t>
  </si>
  <si>
    <t>INF174V01AD4</t>
  </si>
  <si>
    <t>MAHINDRA MANULIFE FOCUSED EQUITY YOJANA - REGULAR PLAN - GROWTH</t>
  </si>
  <si>
    <t>MMMFERP</t>
  </si>
  <si>
    <t>INF174V01AF9</t>
  </si>
  <si>
    <t>MMMNYDG</t>
  </si>
  <si>
    <t>INF174V01945</t>
  </si>
  <si>
    <t>MAHINDRA MANULIFE TOP 250 NIVESH YOJANA - DIRECT - GROWTH</t>
  </si>
  <si>
    <t>MMMNYRD</t>
  </si>
  <si>
    <t>INF174V01929</t>
  </si>
  <si>
    <t>MAHINDRA MANULIFE TOP 250 NIVESH YOJANA - REGULAR - IDCW PAYOUT</t>
  </si>
  <si>
    <t>MMMNYRG</t>
  </si>
  <si>
    <t>INF174V01911</t>
  </si>
  <si>
    <t>MAHINDRA MANULIFE TOP 250 NIVESH YOJANA - REGULAR - GROWTH</t>
  </si>
  <si>
    <t>MMMNYRP</t>
  </si>
  <si>
    <t>INF174V01937</t>
  </si>
  <si>
    <t>MMMSYDG</t>
  </si>
  <si>
    <t>INF174V01267</t>
  </si>
  <si>
    <t>MAHINDRA MANULIFE LOW DURATION FUND - DIRECT - GROWTH</t>
  </si>
  <si>
    <t>MMMSYRG</t>
  </si>
  <si>
    <t>INF174V01218</t>
  </si>
  <si>
    <t>MAHINDRA MANULIFE LOW DURATION FUND - REGULAR - GROWTH</t>
  </si>
  <si>
    <t>MMPS-DP</t>
  </si>
  <si>
    <t>INF200K01289</t>
  </si>
  <si>
    <t>SBI LARGE AND MIDCAP FUND REGULAR IDCW PAYOUT</t>
  </si>
  <si>
    <t>MMPS-DR</t>
  </si>
  <si>
    <t>INF200K01297</t>
  </si>
  <si>
    <t>SBI LARGE AND MIDCAP FUND REGULAR IDCW REINVESTMENT</t>
  </si>
  <si>
    <t>MMPS-G</t>
  </si>
  <si>
    <t>INF200K01305</t>
  </si>
  <si>
    <t>SBI LARGE AND MIDCAP FUND REGULAR GROWTH</t>
  </si>
  <si>
    <t>MMULTI-DP</t>
  </si>
  <si>
    <t>INF200K01230</t>
  </si>
  <si>
    <t>SBI FLEXICAP FUND - IDCW PAYOUT</t>
  </si>
  <si>
    <t>MMULTI-DR</t>
  </si>
  <si>
    <t>INF200K01248</t>
  </si>
  <si>
    <t>SBI FLEXICAP FUND - IDCW REINVESTMENT</t>
  </si>
  <si>
    <t>MMULTI-G</t>
  </si>
  <si>
    <t>INF200K01222</t>
  </si>
  <si>
    <t>SBI FLEXICAP FUND - GROWTH</t>
  </si>
  <si>
    <t>MN1GDG</t>
  </si>
  <si>
    <t>INF247L01700</t>
  </si>
  <si>
    <t>MOTILAL OSWAL NASDAQ 100 FUND OF FUND - REGULAR GROWTH</t>
  </si>
  <si>
    <t>MOFFMGDG</t>
  </si>
  <si>
    <t>INF247L01445</t>
  </si>
  <si>
    <t>MOTILAL OSWAL MIDCAP FUND - DIRECT GROWTH</t>
  </si>
  <si>
    <t>MOFFMPDD</t>
  </si>
  <si>
    <t>INF247L01460</t>
  </si>
  <si>
    <t>MOTILAL OSWAL MIDCAP FUND - DIRECT IDCW PAYOUT</t>
  </si>
  <si>
    <t>MOFFMPDR</t>
  </si>
  <si>
    <t>INF247L01452</t>
  </si>
  <si>
    <t>MOTILAL OSWAL MIDCAP FUND - DIRECT IDCW REINVESTMENT</t>
  </si>
  <si>
    <t>MOFLMDP</t>
  </si>
  <si>
    <t>INF247L01981</t>
  </si>
  <si>
    <t>MOTILAL OSWAL LARGE AND MIDCAP FUND-REGULAR IDCW PAYOUT</t>
  </si>
  <si>
    <t>MOFLMDR</t>
  </si>
  <si>
    <t>INF247L01973</t>
  </si>
  <si>
    <t>MOTILAL OSWAL LARGE AND MIDCAP FUND-REGULAR IDCW REINVESTMENT</t>
  </si>
  <si>
    <t>MOFLMGD</t>
  </si>
  <si>
    <t>INF247L01999</t>
  </si>
  <si>
    <t>MOTILAL OSWAL LARGE AND MIDCAP FUND-DIRECT GROWTH</t>
  </si>
  <si>
    <t>MOFLMGP</t>
  </si>
  <si>
    <t>INF247L01965</t>
  </si>
  <si>
    <t>MOTILAL OSWAL LARGE AND MIDCAP FUND-REGULAR GROWTH</t>
  </si>
  <si>
    <t>MOFLMPD</t>
  </si>
  <si>
    <t>INF247L01AB3</t>
  </si>
  <si>
    <t>MOTILAL OSWAL LARGE AND MIDCAP FUND-DIRECT IDCW PAYOUT</t>
  </si>
  <si>
    <t>INF247L01AA5</t>
  </si>
  <si>
    <t>MOTILAL OSWAL LARGE AND MIDCAP FUND-DIRECT IDCW REINVESTMENT</t>
  </si>
  <si>
    <t>MOFMDPD</t>
  </si>
  <si>
    <t>INF247L01437</t>
  </si>
  <si>
    <t>MOTILAL OSWAL MIDCAP FUND - REGULAR IDCW PAYOUT</t>
  </si>
  <si>
    <t>MOFMDPR</t>
  </si>
  <si>
    <t>INF247L01429</t>
  </si>
  <si>
    <t>MOTILAL OSWAL MIDCAP FUND - REGULAR IDCW REINVESTMENT</t>
  </si>
  <si>
    <t>MOFMGPG</t>
  </si>
  <si>
    <t>INF247L01411</t>
  </si>
  <si>
    <t>MOTILAL OSWAL MIDCAP FUND - REGULAR GROWTH</t>
  </si>
  <si>
    <t>MOFMIGD</t>
  </si>
  <si>
    <t>INF247L01916</t>
  </si>
  <si>
    <t>MOTILAL OSWAL NIFTY MIDCAP 150 INDEX FUND-DIRECT GROWTH</t>
  </si>
  <si>
    <t>MOFMIGP</t>
  </si>
  <si>
    <t>INF247L01908</t>
  </si>
  <si>
    <t>MOTILAL OSWAL NIFTY MIDCAP 150 INDEX FUND-REGULAR GROWTH</t>
  </si>
  <si>
    <t>MSF-CON-DP</t>
  </si>
  <si>
    <t>INF200K01347</t>
  </si>
  <si>
    <t>SBI CONTRA FUND - REGULAR PLAN - IDCW PAYOUT</t>
  </si>
  <si>
    <t>MSF-CON-DR</t>
  </si>
  <si>
    <t>INF200K01354</t>
  </si>
  <si>
    <t>SBI CONTRA FUND - REGULAR PLAN - IDCW REINVESTMENT</t>
  </si>
  <si>
    <t>MSF-CON-G</t>
  </si>
  <si>
    <t>INF200K01362</t>
  </si>
  <si>
    <t>SBI CONTRA FUND - REGULAR PLAN - GROWTH</t>
  </si>
  <si>
    <t>MSF-EBF-DP</t>
  </si>
  <si>
    <t>INF200K01388</t>
  </si>
  <si>
    <t>SBI FOCUSED EQUITY FUND REGULAR IDCW PAYOUT</t>
  </si>
  <si>
    <t>MSF-EBF-DR</t>
  </si>
  <si>
    <t>INF200K01396</t>
  </si>
  <si>
    <t>SBI FOCUSED EQUITY FUND REGULAR IDCW REINVESTMENT</t>
  </si>
  <si>
    <t>MSF-EBF-G</t>
  </si>
  <si>
    <t>INF200K01370</t>
  </si>
  <si>
    <t>SBI FOCUSED EQUITY FUND REGULAR GROWTH</t>
  </si>
  <si>
    <t>MSF-FMC-DP</t>
  </si>
  <si>
    <t>INF200K01404</t>
  </si>
  <si>
    <t>SBI CONSUMPTION OPPORTUNITIES FUND REGULAR IDCW PAYOUT</t>
  </si>
  <si>
    <t>MSF-FMC-DR</t>
  </si>
  <si>
    <t>INF200K01412</t>
  </si>
  <si>
    <t>SBI CONSUMPTION OPPORTUNITIES FUND REGULAR IDCW REINVESTMENT</t>
  </si>
  <si>
    <t>MSF-IT-DP</t>
  </si>
  <si>
    <t>INF200K01420</t>
  </si>
  <si>
    <t>SBI TECHNOLOGY OPPORTUNITIES FUND REGULAR IDCW PAYOUT</t>
  </si>
  <si>
    <t>MSF-IT-DR</t>
  </si>
  <si>
    <t>INF200K01438</t>
  </si>
  <si>
    <t>SBI TECHNOLOGY OPPORTUNITIES FUND REGULAR IDCW REINVESTMENT</t>
  </si>
  <si>
    <t>MSF-PHA-DP</t>
  </si>
  <si>
    <t>INF200K01453</t>
  </si>
  <si>
    <t>SBI HEALTHCARE OPPORTUNITIES FUND REGULAR IDCW PAYOUT</t>
  </si>
  <si>
    <t>MSF-PHA-DR</t>
  </si>
  <si>
    <t>INF200K01461</t>
  </si>
  <si>
    <t>SBI HEALTHCARE OPPORTUNITIES FUND REGULAR IDCW REINVESTMENT</t>
  </si>
  <si>
    <t>MSF-PHA-G</t>
  </si>
  <si>
    <t>INF200K01446</t>
  </si>
  <si>
    <t>SBI HEALTHCARE OPPORTUNITIES FUND REGULAR GROWTH</t>
  </si>
  <si>
    <t>MTOPNDDPL0</t>
  </si>
  <si>
    <t>INF179KA1D17</t>
  </si>
  <si>
    <t>HDFC CORPORATE BOND FUND - DIRECT PLAN - NORMAL-IDCW PAYOUT</t>
  </si>
  <si>
    <t>MTOPRPNDP</t>
  </si>
  <si>
    <t>INF179KA1D33</t>
  </si>
  <si>
    <t>HDFC CORPORATE BOND FUND - REGULAR PLAN - NORMAL IDCW PAYOUT</t>
  </si>
  <si>
    <t>MTOPRPNDR</t>
  </si>
  <si>
    <t>INF179KA1D25</t>
  </si>
  <si>
    <t>HDFC CORPORATE BOND FUND - REGULAR PLAN - NORMAL IDCW REINVESTMENT</t>
  </si>
  <si>
    <t>NID2G</t>
  </si>
  <si>
    <t>INF789F01XA0</t>
  </si>
  <si>
    <t>UTI NIFTY 50 INDEX FUND-DIRECT GROWTH PLAN-GROWTH</t>
  </si>
  <si>
    <t>NIGPG</t>
  </si>
  <si>
    <t>INF789F01JN2</t>
  </si>
  <si>
    <t>UTI NIFTY 50 INDEX FUND - GROWTH</t>
  </si>
  <si>
    <t>NLAGG</t>
  </si>
  <si>
    <t>INF204KB1YQ1</t>
  </si>
  <si>
    <t>NIPPON INDIA NIVESH LAKSHYA FUND - DIRECT GROWTH PLAN GROWTH</t>
  </si>
  <si>
    <t>NYG1G</t>
  </si>
  <si>
    <t>INF789FC12T1</t>
  </si>
  <si>
    <t>UTI NIFTY NEXT 50 INDEX FUND - DIRECT GROWTH PLAN</t>
  </si>
  <si>
    <t>NYGPG</t>
  </si>
  <si>
    <t>INF789FC11T3</t>
  </si>
  <si>
    <t>UTI NIFTY NEXT 50 INDEX FUND - REGULAR GROWTH PLAN</t>
  </si>
  <si>
    <t>OEFD</t>
  </si>
  <si>
    <t>INF336L01032</t>
  </si>
  <si>
    <t>HSBC LARGE CAP EQUITY FUND - IDCW REINVESTMENT</t>
  </si>
  <si>
    <t>OEFDP</t>
  </si>
  <si>
    <t>INF336L01024</t>
  </si>
  <si>
    <t>HSBC LARGE CAP EQUITY FUND - IDCW PAYOUT</t>
  </si>
  <si>
    <t>OEFG</t>
  </si>
  <si>
    <t>INF336L01016</t>
  </si>
  <si>
    <t>HSBC LARGE CAP EQUITY FUND - GROWTH</t>
  </si>
  <si>
    <t>OFED</t>
  </si>
  <si>
    <t>INF336L01PG1</t>
  </si>
  <si>
    <t>HSBC FOCUSED EQUITY FUND REGULAR PLAN IDCW PAYOUT</t>
  </si>
  <si>
    <t>OFEDP</t>
  </si>
  <si>
    <t>INF336L01PF3</t>
  </si>
  <si>
    <t>OFEG</t>
  </si>
  <si>
    <t>INF336L01PE6</t>
  </si>
  <si>
    <t>HSBC FOCUSED EQUITY FUND REGULAR PLAN GROWTH</t>
  </si>
  <si>
    <t>OHEFD</t>
  </si>
  <si>
    <t>INF336L01CL9</t>
  </si>
  <si>
    <t>HSBC LARGE CAP EQUITY FUND - IDCW PAYOUT DIRECT PLAN</t>
  </si>
  <si>
    <t>OHEFDP</t>
  </si>
  <si>
    <t>INF336L01CK1</t>
  </si>
  <si>
    <t>OHEFG</t>
  </si>
  <si>
    <t>INF336L01CM7</t>
  </si>
  <si>
    <t>HSBC LARGE CAP EQUITY FUND - GROWTH DIRECT PLAN</t>
  </si>
  <si>
    <t>OHFEG</t>
  </si>
  <si>
    <t>INF336L01PB2</t>
  </si>
  <si>
    <t>HSBC FOCUSED EQUITY FUND DIRECT PLAN GROWTH</t>
  </si>
  <si>
    <t>OHSDOG</t>
  </si>
  <si>
    <t>INF336L01OR1</t>
  </si>
  <si>
    <t>HSBC ULTRA SHORT DURATION FUND DIRECT GROWTH</t>
  </si>
  <si>
    <t>OSDODD</t>
  </si>
  <si>
    <t>INF336L01OX9</t>
  </si>
  <si>
    <t>HSBC ULTRA SHORT DURATION FUND DAILY IDCW REINVESTMENT</t>
  </si>
  <si>
    <t>OSDOG</t>
  </si>
  <si>
    <t>INF336L01OW1</t>
  </si>
  <si>
    <t>HSBC ULTRA SHORT DURATION FUND GROWTH</t>
  </si>
  <si>
    <t>OSDOMD</t>
  </si>
  <si>
    <t>INF336L01OZ4</t>
  </si>
  <si>
    <t>HSBC ULTRA SHORT DURATION FUND MONTHLY IDCW PAYOUT</t>
  </si>
  <si>
    <t>OSDOMP</t>
  </si>
  <si>
    <t>INF336L01PA4</t>
  </si>
  <si>
    <t>OSDOWD</t>
  </si>
  <si>
    <t>INF336L01OY7</t>
  </si>
  <si>
    <t>HSBC ULTRA SHORT DURATION FUND WEEKLY IDCW REINVESTMENT</t>
  </si>
  <si>
    <t>PB208G</t>
  </si>
  <si>
    <t>INF178L01BO1</t>
  </si>
  <si>
    <t>KOTAK CORPORATE BOND FUND STANDARD GROWTH</t>
  </si>
  <si>
    <t>PB208MD</t>
  </si>
  <si>
    <t>INF178L01BP8</t>
  </si>
  <si>
    <t>KOTAK CORPORATE BOND FUND STANDARD MONTHLY IDCW PAYOUT</t>
  </si>
  <si>
    <t>PB208MP</t>
  </si>
  <si>
    <t>INF178L01BQ6</t>
  </si>
  <si>
    <t>PLTVFDP</t>
  </si>
  <si>
    <t>INF879O01027</t>
  </si>
  <si>
    <t>PARAG PARIKH FLEXI CAP FUND - DIRECT PLAN GROWTH</t>
  </si>
  <si>
    <t>PLTVFRPA</t>
  </si>
  <si>
    <t>INF879O01019</t>
  </si>
  <si>
    <t>PARAG PARIKH FLEXI CAP FUND- REGULAR PLAN GROWTH</t>
  </si>
  <si>
    <t>PMFFFIG</t>
  </si>
  <si>
    <t>INF173K01DG6</t>
  </si>
  <si>
    <t>SUNDARAM LOW DURATION FUND - REGULAR PLAN GROWTH</t>
  </si>
  <si>
    <t>PMFFFIM</t>
  </si>
  <si>
    <t>INF173K01DJ0</t>
  </si>
  <si>
    <t>SUNDARAM LOW DURATION FUND - REGULAR PLAN IDCW MONTHLY PAYOUT</t>
  </si>
  <si>
    <t>INF173K01DK8</t>
  </si>
  <si>
    <t>SUNDARAM LOW DURATION FUND - REGULAR PLAN IDCW MONTHLY REINVESTMENT</t>
  </si>
  <si>
    <t>PMFFFZG</t>
  </si>
  <si>
    <t>INF173K01FS6</t>
  </si>
  <si>
    <t>SUNDARAM LOW DURATION FUND - DIRECT PLAN GROWTH</t>
  </si>
  <si>
    <t>PMFFFZM</t>
  </si>
  <si>
    <t>INF173K01FT4</t>
  </si>
  <si>
    <t>SUNDARAM LOW DURATION FUND - DIRECT PLAN IDCW MONTHLY PAYOUT</t>
  </si>
  <si>
    <t>INF173K01FU2</t>
  </si>
  <si>
    <t>SUNDARAM LOW DURATION FUND - DIRECT PLAN IDCW MONTHLY REINVESTMENT</t>
  </si>
  <si>
    <t>PMFGFDP</t>
  </si>
  <si>
    <t>INF173K01957</t>
  </si>
  <si>
    <t>SUNDARAM MULTI CAP FUND - REGULAR PLAN HALF YEARLY IDCW PAYOUT</t>
  </si>
  <si>
    <t>INF173K01965</t>
  </si>
  <si>
    <t>SUNDARAM MULTI CAP FUND - REGULAR PLAN HALF YEARLY IDCW REINVESTMENT</t>
  </si>
  <si>
    <t>PMFGFGP</t>
  </si>
  <si>
    <t>INF173K01940</t>
  </si>
  <si>
    <t>SUNDARAM MULTI CAP FUND - REGULAR PLAN GROWTH</t>
  </si>
  <si>
    <t>PMFGFZG</t>
  </si>
  <si>
    <t>INF173K01FQ0</t>
  </si>
  <si>
    <t>SUNDARAM MULTI CAP FUND - DIRECT PLAN GROWTH</t>
  </si>
  <si>
    <t>PMFGFZP</t>
  </si>
  <si>
    <t>INF173K01FN7</t>
  </si>
  <si>
    <t>SUNDARAM MULTI CAP FUND - DIRECT PLAN HALF YEARLY IDCW PAYOUT</t>
  </si>
  <si>
    <t>INF173K01FO5</t>
  </si>
  <si>
    <t>SUNDARAM MULTI CAP FUND - DIRECT PLAN HALF YEARLY IDCW REINVESTMENT</t>
  </si>
  <si>
    <t>PMFLCDP</t>
  </si>
  <si>
    <t>INF173K01197</t>
  </si>
  <si>
    <t>SUNDARAM FOCUSED FUND - REGULAR HALF YEARLY IDCW PAYOUT</t>
  </si>
  <si>
    <t>INF173K01205</t>
  </si>
  <si>
    <t>SUNDARAM FOCUSED FUND - REGULAR HALF YEARLY IDCW REINVESTMENT</t>
  </si>
  <si>
    <t>PMFLCGP</t>
  </si>
  <si>
    <t>INF173K01189</t>
  </si>
  <si>
    <t>SUNDARAM FOCUSED FUND - REGULAR GROWTH</t>
  </si>
  <si>
    <t>PMFLCZG</t>
  </si>
  <si>
    <t>INF173K01EK6</t>
  </si>
  <si>
    <t>SUNDARAM FOCUSED FUND - DIRECT GROWTH</t>
  </si>
  <si>
    <t>PMFLCZP</t>
  </si>
  <si>
    <t>INF173K01EM2</t>
  </si>
  <si>
    <t>SUNDARAM FOCUSED FUND - DIRECT HALF YEARLY IDCW PAYOUT</t>
  </si>
  <si>
    <t>INF173K01EL4</t>
  </si>
  <si>
    <t>SUNDARAM FOCUSED FUND - DIRECT HALF YEARLY IDCW REINVESTMENT</t>
  </si>
  <si>
    <t>PMFMMID</t>
  </si>
  <si>
    <t>INF173K01CV7</t>
  </si>
  <si>
    <t>SUNDARAM ULTRA SHORT DURATION FUND - REGULAR PLAN IDCW DAILY REINVESTMENT</t>
  </si>
  <si>
    <t>PMFMMIG</t>
  </si>
  <si>
    <t>INF173K01CU9</t>
  </si>
  <si>
    <t>SUNDARAM ULTRA SHORT DURATION FUND - REGULAR PLAN GROWTH</t>
  </si>
  <si>
    <t>PMFMMIW</t>
  </si>
  <si>
    <t>INF173K01CW5</t>
  </si>
  <si>
    <t>SUNDARAM ULTRA SHORT DURATION FUND - REGULAR PLAN IDCW WEEKLY REINVESTMENT</t>
  </si>
  <si>
    <t>PMFMMZG</t>
  </si>
  <si>
    <t>INF173K01HI3</t>
  </si>
  <si>
    <t>SUNDARAM ULTRA SHORT DURATION FUND - DIRECT PLAN GROWTH</t>
  </si>
  <si>
    <t>PMFSADP</t>
  </si>
  <si>
    <t>INF173K01551</t>
  </si>
  <si>
    <t>SUNDARAM BALANCED ADVANTAGE FUND - REGULAR PLAN MONTHLY IDCW PAYOUT</t>
  </si>
  <si>
    <t>INF173K01569</t>
  </si>
  <si>
    <t>SUNDARAM BALANCED ADVANTAGE FUND - REGULAR PLAN MONTHLY IDCW REINVESTMENT</t>
  </si>
  <si>
    <t>PMFSAGP</t>
  </si>
  <si>
    <t>INF173K01585</t>
  </si>
  <si>
    <t>SUNDARAM BALANCED ADVANTAGE FUND - REGULAR PLAN GROWTH</t>
  </si>
  <si>
    <t>PMFSAZG</t>
  </si>
  <si>
    <t>INF173K01FI7</t>
  </si>
  <si>
    <t>SUNDARAM BALANCED ADVANTAGE FUND - DIRECT PLAN GROWTH</t>
  </si>
  <si>
    <t>PMFSAZP</t>
  </si>
  <si>
    <t>INF173K01FF3</t>
  </si>
  <si>
    <t>SUNDARAM BALANCED ADVANTAGE FUND - DIRECT PLAN MONTHLY IDCW PAYOUT</t>
  </si>
  <si>
    <t>INF173K01FG1</t>
  </si>
  <si>
    <t>SUNDARAM BALANCED ADVANTAGE FUND - DIRECT PLAN MONTHLY IDCW REINVESTMENT</t>
  </si>
  <si>
    <t>PMFSBDP</t>
  </si>
  <si>
    <t>INF173K01CI4</t>
  </si>
  <si>
    <t>SUNDARAM AGGRESSIVE HYBRID FUND - REGULAR PLAN MONTHLY IDCW PAYOUT</t>
  </si>
  <si>
    <t>INF173K01CJ2</t>
  </si>
  <si>
    <t>SUNDARAM AGGRESSIVE HYBRID FUND - REGULAR PLAN MONTHLY IDCW REINVESTMENT</t>
  </si>
  <si>
    <t>PMFSBGP</t>
  </si>
  <si>
    <t>INF173K01CL8</t>
  </si>
  <si>
    <t>SUNDARAM AGGRESSIVE HYBRID FUND - REGULAR PLAN GROWTH</t>
  </si>
  <si>
    <t>PMFSBZG</t>
  </si>
  <si>
    <t>INF173K01FE6</t>
  </si>
  <si>
    <t>SUNDARAM AGGRESSIVE HYBRID FUND - DIRECT PLAN GROWTH</t>
  </si>
  <si>
    <t>PMFSBZP</t>
  </si>
  <si>
    <t>INF173K01FB2</t>
  </si>
  <si>
    <t>SUNDARAM AGGRESSIVE HYBRID FUND - DIRECT PLAN MONTHLY IDCW PAYOUT</t>
  </si>
  <si>
    <t>INF173K01FC0</t>
  </si>
  <si>
    <t>SUNDARAM AGGRESSIVE HYBRID FUND - DIRECT PLAN MONTHLY IDCW REINVESTMENT</t>
  </si>
  <si>
    <t>PPCHFDPG</t>
  </si>
  <si>
    <t>INF879O01175</t>
  </si>
  <si>
    <t>PARAG PARIKH CONSERVATIVE HYBRID FUND - DIRECT PLAN GROWTH</t>
  </si>
  <si>
    <t>PPCHFRPG</t>
  </si>
  <si>
    <t>INF879O01209</t>
  </si>
  <si>
    <t>PARAG PARIKH CONSERVATIVE HYBRID FUND - REGULAR PLAN GROWTH</t>
  </si>
  <si>
    <t>PRM2FD1</t>
  </si>
  <si>
    <t>INF223J01QO7</t>
  </si>
  <si>
    <t>PGIM INDIA ULTRA SHORT DURATION FUND DIRECT PLAN - GROWTH</t>
  </si>
  <si>
    <t>PRM2FD2</t>
  </si>
  <si>
    <t>INF223J01QL3</t>
  </si>
  <si>
    <t>PGIM INDIA ULTRA SHORT DURATION FUND DIRECT PLAN - DAILY IDCW REINVESTMENT</t>
  </si>
  <si>
    <t>PRMBLG1</t>
  </si>
  <si>
    <t>INF663L01V49</t>
  </si>
  <si>
    <t>PGIM INDIA BALANCED ADVANTAGE FUND - DIRECT PLAN - GROWTH</t>
  </si>
  <si>
    <t>PRMBLGP</t>
  </si>
  <si>
    <t>INF663L01V72</t>
  </si>
  <si>
    <t>PGIM INDIA BALANCED ADVANTAGE FUND - REGULAR PLAN - GROWTH</t>
  </si>
  <si>
    <t>PRMDED1</t>
  </si>
  <si>
    <t>INF663L01FG9</t>
  </si>
  <si>
    <t>PGIM INDIA FLEXI CAP FUND - DIRECT PLAN - IDCW PAYOUT</t>
  </si>
  <si>
    <t>INF663L01FH7</t>
  </si>
  <si>
    <t>PGIM INDIA FLEXI CAP FUND - DIRECT PLAN - IDCW REINVESTMENT</t>
  </si>
  <si>
    <t>PRMDEDPP</t>
  </si>
  <si>
    <t>INF663L01FK1</t>
  </si>
  <si>
    <t>PGIM INDIA FLEXI CAP FUND - IDCW PAYOUT</t>
  </si>
  <si>
    <t>PRMDEDPR</t>
  </si>
  <si>
    <t>INF663L01FL9</t>
  </si>
  <si>
    <t>PGIM INDIA FLEXI CAP FUND - IDCW REINVESTMENT</t>
  </si>
  <si>
    <t>PRMDEG1</t>
  </si>
  <si>
    <t>INF663L01FF1</t>
  </si>
  <si>
    <t>PGIM INDIA FLEXI CAP FUND - DIRECT PLAN - GROWTH OPTION - GROWTH</t>
  </si>
  <si>
    <t>PRMDEGP</t>
  </si>
  <si>
    <t>INF663L01FJ3</t>
  </si>
  <si>
    <t>PGIM INDIA FLEXI CAP FUND - GROWTH OPTION</t>
  </si>
  <si>
    <t>PRMGAD1</t>
  </si>
  <si>
    <t>INF223J01NF2</t>
  </si>
  <si>
    <t>PGIM INDIA GLOBAL EQUITY OPPORTUNITIES FUND - DIRECT PLAN - GROWTH - GROWTH</t>
  </si>
  <si>
    <t>PRMGAD2</t>
  </si>
  <si>
    <t>INF223J01NG0</t>
  </si>
  <si>
    <t>PGIM INDIA GLOBAL EQUITY OPPORTUNITIES FUND - DIRECT PLAN - IDCW PAYOUT</t>
  </si>
  <si>
    <t>PRMGADID</t>
  </si>
  <si>
    <t>INF223J01AS2</t>
  </si>
  <si>
    <t>PGIM INDIA GLOBAL EQUITY OPPORTUNITIES FUND - DIVIDEND - IDCW PAYOUT</t>
  </si>
  <si>
    <t>PRMGADIR</t>
  </si>
  <si>
    <t>INF223J01AT0</t>
  </si>
  <si>
    <t>PGIM INDIA GLOBAL EQUITY OPPORTUNITIES FUND - DIVIDEND - IDCW REINVESTMENT</t>
  </si>
  <si>
    <t>PRMGAGR</t>
  </si>
  <si>
    <t>INF223J01AU8</t>
  </si>
  <si>
    <t>PGIM INDIA GLOBAL EQUITY OPPORTUNITIES FUND - GROWTH - GROWTH</t>
  </si>
  <si>
    <t>PRMMOD1</t>
  </si>
  <si>
    <t>INF663L01DW1</t>
  </si>
  <si>
    <t>PGIM INDIA MIDCAP OPPORTUNITIES FUND - DIRECT PLAN - IDCW PAYOUT</t>
  </si>
  <si>
    <t>INF663L01DX9</t>
  </si>
  <si>
    <t>PGIM INDIA MIDCAP OPPORTUNITIES FUND - DIRECT PLAN - IDCW REINVESTMENT</t>
  </si>
  <si>
    <t>PRMMODP</t>
  </si>
  <si>
    <t>INF663L01EB3</t>
  </si>
  <si>
    <t>PGIM INDIA MIDCAP OPPORTUNITIES FUND - IDCW REINVESTMENT</t>
  </si>
  <si>
    <t>PRMMODPP</t>
  </si>
  <si>
    <t>INF663L01EA5</t>
  </si>
  <si>
    <t>PGIM INDIA MIDCAP OPPORTUNITIES FUND - IDCW PAYOUT</t>
  </si>
  <si>
    <t>PRMMOG1</t>
  </si>
  <si>
    <t>INF663L01DV3</t>
  </si>
  <si>
    <t>PGIM INDIA MIDCAP OPPORTUNITIES FUND - DIRECT PLAN - GROWTH OPTION - GROWTH</t>
  </si>
  <si>
    <t>PRMMOGP</t>
  </si>
  <si>
    <t>INF663L01DZ4</t>
  </si>
  <si>
    <t>PGIM INDIA MIDCAP OPPORTUNITIES FUND - GROWTH</t>
  </si>
  <si>
    <t>QMFEFRGG</t>
  </si>
  <si>
    <t>INF082J01242</t>
  </si>
  <si>
    <t>QUANTUM LONG TERM EQUITY VALUE FUND - REGULAR PLAN GROWTH OPTION</t>
  </si>
  <si>
    <t>RBAPSUDGR</t>
  </si>
  <si>
    <t>INF204KA1U53</t>
  </si>
  <si>
    <t>NIPPON INDIA BANKING AND PSU DEBT FUND - DIRECT GROWTH PLAN - GROWTH</t>
  </si>
  <si>
    <t>RBAPSUDP</t>
  </si>
  <si>
    <t>INF204KA1T72</t>
  </si>
  <si>
    <t>NIPPON INDIA BANKING AND PSU DEBT FUND - DIVIDEND PLAN-IDCW PAYOUT OPTION</t>
  </si>
  <si>
    <t>RBAPSUDR</t>
  </si>
  <si>
    <t>INF204KA1T80</t>
  </si>
  <si>
    <t>NIPPON INDIA BANKING AND PSU DEBT FUND - IDCW REINVESTMENT</t>
  </si>
  <si>
    <t>RBAPSUDWDP</t>
  </si>
  <si>
    <t>INF204KA1V11</t>
  </si>
  <si>
    <t>NIPPON INDIA BANKING AND PSU DEBT FUND - DIRECT WEEKLY IDCW PAYOUT</t>
  </si>
  <si>
    <t>RBAPSUDWDR</t>
  </si>
  <si>
    <t>INF204KA1V29</t>
  </si>
  <si>
    <t>NIPPON INDIA BANKING AND PSU DEBT FUND - DIRECT WEEKLY IDCW REINVESTMENT</t>
  </si>
  <si>
    <t>RBAPSUGR</t>
  </si>
  <si>
    <t>INF204KA1T56</t>
  </si>
  <si>
    <t>NIPPON INDIA BANKING AND PSU DEBT FUND - GROWTH PLAN-GROWTH OPTION</t>
  </si>
  <si>
    <t>RBAPSUMDP</t>
  </si>
  <si>
    <t>INF204KA1U38</t>
  </si>
  <si>
    <t>NIPPON INDIA BANKING AND PSU DEBT FUND - MONTHLY DIVIDEND PLAN-IDCW PAYOUT OPTION</t>
  </si>
  <si>
    <t>RBAPSUMDR</t>
  </si>
  <si>
    <t>INF204KA1U46</t>
  </si>
  <si>
    <t>NIPPON INDIA BANKING AND PSU DEBT FUND - MONTHLY IDCW REINVESTMENT</t>
  </si>
  <si>
    <t>REL200DPDP</t>
  </si>
  <si>
    <t>INF204K01XG7</t>
  </si>
  <si>
    <t>NIPPON INDIA LARGE CAP FUND DIRECT PLAN DIVIDEND PLAN IDCW PAYOUT</t>
  </si>
  <si>
    <t>INF204K01XH5</t>
  </si>
  <si>
    <t>NIPPON INDIA LARGE CAP FUND DIRECT PLAN DIVIDEND PLAN IDCW REINVESTMENT</t>
  </si>
  <si>
    <t>REL200DPGP</t>
  </si>
  <si>
    <t>INF204K01XI3</t>
  </si>
  <si>
    <t>NIPPON INDIA LARGE CAP FUND DIRECT PLAN GROWTH PLAN GROWTH</t>
  </si>
  <si>
    <t>RELABDPMDP</t>
  </si>
  <si>
    <t>INF204KA1MV7</t>
  </si>
  <si>
    <t>NIPPON INDIA ARBITRAGE FUND DIRECT MONTHLY IDCW PAYOUT PLAN</t>
  </si>
  <si>
    <t>RELABDPMDR</t>
  </si>
  <si>
    <t>INF204KA1MW5</t>
  </si>
  <si>
    <t>NIPPON INDIA ARBITRAGE FUND DIRECT MONTHLY IDCW REINVESTMENT PLAN</t>
  </si>
  <si>
    <t>RELABRDMDP</t>
  </si>
  <si>
    <t>INF204KA1MT1</t>
  </si>
  <si>
    <t>NIPPON INDIA ARBITRAGE FUND - MONTHLY DIVIDEND PLAN - IDCW PAYOUT OPTION</t>
  </si>
  <si>
    <t>RELABRDMDR</t>
  </si>
  <si>
    <t>INF204KA1MU9</t>
  </si>
  <si>
    <t>NIPPON INDIA ARBITRAGE FUND - MONTHLY DIVIDEND PLAN - IDCW REINVESTMENT OPTION</t>
  </si>
  <si>
    <t>RELABTDPDP</t>
  </si>
  <si>
    <t>INF204K01YA8</t>
  </si>
  <si>
    <t>NIPPON INDIA ARBITRAGE FUND DIRECT PLAN DIVIDEND PLAN IDCW PAYOUT</t>
  </si>
  <si>
    <t>INF204K01YB6</t>
  </si>
  <si>
    <t>NIPPON INDIA ARBITRAGE FUND DIRECT PLAN DIVIDEND PLAN IDCW REINVESTMENT</t>
  </si>
  <si>
    <t>RELABTDPGL</t>
  </si>
  <si>
    <t>INF204K01XZ7</t>
  </si>
  <si>
    <t>NIPPON INDIA ARBITRAGE FUND DIRECT PLAN GROWTH PLAN GROWTH</t>
  </si>
  <si>
    <t>RELABTGADP</t>
  </si>
  <si>
    <t>INF204K01IZ8</t>
  </si>
  <si>
    <t>NIPPON INDIA ARBITRAGE FUND - IDCW PAYOUT</t>
  </si>
  <si>
    <t>RELABTGADR</t>
  </si>
  <si>
    <t>INF204K01JA9</t>
  </si>
  <si>
    <t>NIPPON INDIA ARBITRAGE FUND - IDCW REINVESTMENT</t>
  </si>
  <si>
    <t>RELABTGAGF</t>
  </si>
  <si>
    <t>INF204K01IY1</t>
  </si>
  <si>
    <t>NIPPON INDIA ARBITRAGE FUND - GROWTH</t>
  </si>
  <si>
    <t>RELBANDPDP</t>
  </si>
  <si>
    <t>INF204K01XM5</t>
  </si>
  <si>
    <t>NIPPON INDIA BANKING AND FINANCIAL SERVICES FUND DIRECT PLAN DIVIDEND PLAN IDCW PAYOUT</t>
  </si>
  <si>
    <t>INF204K01XN3</t>
  </si>
  <si>
    <t>NIPPON INDIA BANKING AND FINANCIAL SERVICES FUND DIRECT PLAN DIVIDEND PLAN IDCW REINVESTMENT</t>
  </si>
  <si>
    <t>RELBANDPGP</t>
  </si>
  <si>
    <t>INF204K01XO1</t>
  </si>
  <si>
    <t>NIPPON INDIA BANKING AND FINANCIAL SERVICES FUND DIRECT PLAN GROWTH PLAN GROWTH</t>
  </si>
  <si>
    <t>RELBANKGBP</t>
  </si>
  <si>
    <t>INF204K01919</t>
  </si>
  <si>
    <t>NIPPON INDIA BANKING AND FINANCIAL SERVICES FUND - GROWTH PLAN- BONUS OPTION</t>
  </si>
  <si>
    <t>RELBANKGDP</t>
  </si>
  <si>
    <t>INF204K01893</t>
  </si>
  <si>
    <t>NIPPON INDIA BANKING AND FINANCIAL SERVICES FUND - DIVIDEND PLAN-IDCW PAYOUT OPTION</t>
  </si>
  <si>
    <t>RELBANKGDR</t>
  </si>
  <si>
    <t>INF204K01901</t>
  </si>
  <si>
    <t>NIPPON INDIA BANKING AND FINANCIAL SERVICES FUND DIVIDEND PLAN IDCW REINVESTMENT OPT</t>
  </si>
  <si>
    <t>RELBANKGGP</t>
  </si>
  <si>
    <t>INF204K01927</t>
  </si>
  <si>
    <t>NIPPON INDIA BANKING AND FINANCIAL SERVICES FUND - GROWTH PLAN- GROWTH OPTION</t>
  </si>
  <si>
    <t>RELCASDPGP</t>
  </si>
  <si>
    <t>INF204K01YH3</t>
  </si>
  <si>
    <t>NIPPON INDIA ULTRA SHORT DURATION FUND - DIRECT GROWTH PLAN</t>
  </si>
  <si>
    <t>RELCASDPMD</t>
  </si>
  <si>
    <t>INF204K01YI1</t>
  </si>
  <si>
    <t>NIPPON INDIA ULTRA SHORT DURATION FUND - DIRECT MONTHLY IDCW PAYOUT</t>
  </si>
  <si>
    <t>INF204K01YJ9</t>
  </si>
  <si>
    <t>NIPPON INDIA ULTRA SHORT DURATION FUND - DIRECT MONTHLY IDCW REINVESTMENT</t>
  </si>
  <si>
    <t>RELDIVDPDP</t>
  </si>
  <si>
    <t>INF204K01I76</t>
  </si>
  <si>
    <t>NIPPON INDIA POWER AND INFRA FUND DIRECT PLAN DIVIDEND PLAN IDCW PAYOUT</t>
  </si>
  <si>
    <t>INF204K01I84</t>
  </si>
  <si>
    <t>NIPPON INDIA POWER AND INFRA FUND DIRECT PLAN DIVIDEND PLAN IDCW REINVESTMENT</t>
  </si>
  <si>
    <t>RELDIVDPGP</t>
  </si>
  <si>
    <t>INF204K01I92</t>
  </si>
  <si>
    <t>NIPPON INDIA POWER AND INFRA FUND DIRECT PLAN GROWTH PLAN - GROWTH OPTION GROWTH</t>
  </si>
  <si>
    <t>RELDYNBFDP</t>
  </si>
  <si>
    <t>INF204K01FJ8</t>
  </si>
  <si>
    <t>NIPPON INDIA DYNAMIC BOND FUND - DIVIDEND PLAN (IDCW PAYOUT)</t>
  </si>
  <si>
    <t>RELDYNBFDR</t>
  </si>
  <si>
    <t>INF204K01FK6</t>
  </si>
  <si>
    <t>NIPPON INDIA DYNAMIC BOND FUND - DIVIDEND PLAN (IDCW REINVESTMENT)</t>
  </si>
  <si>
    <t>RELDYNBFGP</t>
  </si>
  <si>
    <t>INF204K01FI0</t>
  </si>
  <si>
    <t>NIPPON INDIA DYNAMIC BOND FUND - GROWTH PLAN</t>
  </si>
  <si>
    <t>RELDYNBQDP</t>
  </si>
  <si>
    <t>INF204K01XB8</t>
  </si>
  <si>
    <t>NIPPON INDIA DYNAMIC BOND FUND - QUARTERLY DIVIDEND PLAN - IDCW PAYOUT</t>
  </si>
  <si>
    <t>RELDYNBQDR</t>
  </si>
  <si>
    <t>INF204K01XC6</t>
  </si>
  <si>
    <t>NIPPON INDIA DYNAMIC BOND FUND - QUARTERLY DIVIDEND PLAN - IDCW REINVESTMENT</t>
  </si>
  <si>
    <t>RELDYNDPGP</t>
  </si>
  <si>
    <t>INF204K01A25</t>
  </si>
  <si>
    <t>NIPPON INDIA DYNAMIC BOND FUND DIRECT PLAN GROWTH PLAN - GROWTH OPTION GROWTH</t>
  </si>
  <si>
    <t>RELEQADVBP</t>
  </si>
  <si>
    <t>INF204K01554</t>
  </si>
  <si>
    <t>NIPPON INDIA LARGE CAP FUND - GROWTH PLAN - BONUS OPTION - BONUS</t>
  </si>
  <si>
    <t>RELEQADVDP</t>
  </si>
  <si>
    <t>INF204K01539</t>
  </si>
  <si>
    <t>NIPPON INDIA LARGE CAP FUND - DIVIDEND PLAN - IDCW PAYOUT</t>
  </si>
  <si>
    <t>RELEQADVDR</t>
  </si>
  <si>
    <t>INF204K01547</t>
  </si>
  <si>
    <t>NIPPON INDIA LARGE CAP FUND - DIVIDEND PLAN - IDCW REINVESTMENT</t>
  </si>
  <si>
    <t>RELEQADVGP</t>
  </si>
  <si>
    <t>INF204K01562</t>
  </si>
  <si>
    <t>NIPPON INDIA LARGE CAP FUND - GROWTH PLAN - GROWTH</t>
  </si>
  <si>
    <t>RELEQOPPBP</t>
  </si>
  <si>
    <t>INF204K01471</t>
  </si>
  <si>
    <t>NIPPON INDIA MULTI CAP FUND GROWTH PLAN - BONUS OPT</t>
  </si>
  <si>
    <t>RELEQOPPDP</t>
  </si>
  <si>
    <t>INF204K01455</t>
  </si>
  <si>
    <t>NIPPON INDIA MULTI CAP FUND - DIV PLAN-IDCW PAYOUT OPTION</t>
  </si>
  <si>
    <t>RELEQOPPDR</t>
  </si>
  <si>
    <t>INF204K01463</t>
  </si>
  <si>
    <t>NIPPON INDIA MULTI CAP FUND - IDCW REINVESTMENT OPTION</t>
  </si>
  <si>
    <t>RELEQOPPGP</t>
  </si>
  <si>
    <t>INF204K01489</t>
  </si>
  <si>
    <t>NIPPON INDIA MULTI CAP FUND - GROWTH PLAN</t>
  </si>
  <si>
    <t>RELFLRFMDP</t>
  </si>
  <si>
    <t>INF204K01CH9</t>
  </si>
  <si>
    <t>NIPPON INDIA FLOATING RATE FUND - MONTHLY IDCW PAYOUT</t>
  </si>
  <si>
    <t>RELFLRFMDR</t>
  </si>
  <si>
    <t>INF204K01CK3</t>
  </si>
  <si>
    <t>NIPPON INDIA FLOATING RATE FUND - MONTHLY IDCW REINVESTMENT</t>
  </si>
  <si>
    <t>RELFLRTFGP</t>
  </si>
  <si>
    <t>INF204K01CG1</t>
  </si>
  <si>
    <t>NIPPON INDIA FLOATING RATE FUND - GROWTH PLAN</t>
  </si>
  <si>
    <t>RELFSHDPGP</t>
  </si>
  <si>
    <t>INF204K01E05</t>
  </si>
  <si>
    <t>NIPPON INDIA FLOATING RATE FUND - DIRECT GROWTH PLAN</t>
  </si>
  <si>
    <t>RELGLDSFDP</t>
  </si>
  <si>
    <t>INF204K01KO8</t>
  </si>
  <si>
    <t>NIPPON INDIA GOLD SAVINGS FUND - IDCW PAYOUT OPTION</t>
  </si>
  <si>
    <t>RELGLDSFDR</t>
  </si>
  <si>
    <t>INF204K01KP5</t>
  </si>
  <si>
    <t>NIPPON INDIA GOLD SAVINGS FUND - IDCW REINVESTMENT OPTION</t>
  </si>
  <si>
    <t>RELGLDSFGP</t>
  </si>
  <si>
    <t>INF204K01KN0</t>
  </si>
  <si>
    <t>NIPPON INDIA GOLD SAVINGS FUND - GROWTH OPTION</t>
  </si>
  <si>
    <t>RELGOLDPDP</t>
  </si>
  <si>
    <t>INF204K01YD2</t>
  </si>
  <si>
    <t>NIPPON INDIA GOLD SAVINGS FUND DIRECT PLAN DIVIDEND PLAN IDCW PAYOUT</t>
  </si>
  <si>
    <t>INF204K01YE0</t>
  </si>
  <si>
    <t>NIPPON INDIA GOLD SAVINGS FUND DIRECT PLAN DIVIDEND PLAN IDCW REINVESTMENT</t>
  </si>
  <si>
    <t>RELGOLDPGP</t>
  </si>
  <si>
    <t>INF204K01YC4</t>
  </si>
  <si>
    <t>NIPPON INDIA GOLD SAVINGS FUND DIRECT PLAN GROWTH PLAN GROWTH</t>
  </si>
  <si>
    <t>RELGRODPDP</t>
  </si>
  <si>
    <t>INF204K01E39</t>
  </si>
  <si>
    <t>NIPPON INDIA GROWTH FUND DIRECT PLAN DIVIDEND PLAN IDCW PAYOUT</t>
  </si>
  <si>
    <t>INF204K01E47</t>
  </si>
  <si>
    <t>NIPPON INDIA GROWTH FUND DIRECT PLAN DIVIDEND PLAN IDCW REINVESTMENT</t>
  </si>
  <si>
    <t>RELGRODPGP</t>
  </si>
  <si>
    <t>INF204K01E54</t>
  </si>
  <si>
    <t>NIPPON INDIA GROWTH FUND DIRECT PLAN GROWTH PLAN GROWTH</t>
  </si>
  <si>
    <t>RELGROWTBP</t>
  </si>
  <si>
    <t>INF204K01315</t>
  </si>
  <si>
    <t>NIPPON INDIA GROWTH FUND- GROWTH PLAN - BONUS OPTION</t>
  </si>
  <si>
    <t>RELGROWTDP</t>
  </si>
  <si>
    <t>INF204K01299</t>
  </si>
  <si>
    <t>NIPPON INDIA GROWTH FUND DIVIDEND PLAN- IDCW PAYOUT OPTION</t>
  </si>
  <si>
    <t>RELGROWTDR</t>
  </si>
  <si>
    <t>INF204K01307</t>
  </si>
  <si>
    <t>NIPPON INDIA GROWTH FUND DIVIDEND PLAN - IDCW REINVESTMENT OPT</t>
  </si>
  <si>
    <t>RELGROWTGP</t>
  </si>
  <si>
    <t>INF204K01323</t>
  </si>
  <si>
    <t>NIPPON INDIA GROWTH FUND - GROWTH PLAN - GROWTH OPTION</t>
  </si>
  <si>
    <t>RELGSBDPQD</t>
  </si>
  <si>
    <t>INF204K013R8</t>
  </si>
  <si>
    <t>NIPPON INDIA EQUITY HYBRID FUND QUARTERLY IDCW PAYOUT</t>
  </si>
  <si>
    <t>RELGSBDRQD</t>
  </si>
  <si>
    <t>INF204K014R6</t>
  </si>
  <si>
    <t>NIPPON INDIA EQUITY HYBRID FUND QUARTERLY IDCW REINVESTMENT</t>
  </si>
  <si>
    <t>RELIGAREAF</t>
  </si>
  <si>
    <t>INF205K01122</t>
  </si>
  <si>
    <t>INVESCO INDIA ARBITRAGE GROWTH</t>
  </si>
  <si>
    <t>INF205K01148</t>
  </si>
  <si>
    <t>INVESCO INDIA ARBITRAGE IDCW PAYOUT</t>
  </si>
  <si>
    <t>INF205K01130</t>
  </si>
  <si>
    <t>INVESCO INDIA ARBITRAGE IDCW REINVESTMENT</t>
  </si>
  <si>
    <t>RELIGAREBL</t>
  </si>
  <si>
    <t>INF205K01304</t>
  </si>
  <si>
    <t>INVESCO INDIA LARGECAP FUND - GROWTH</t>
  </si>
  <si>
    <t>INF205K01320</t>
  </si>
  <si>
    <t>INVESCO INDIA LARGECAP FUND - IDCW PAYOUT</t>
  </si>
  <si>
    <t>INF205K01312</t>
  </si>
  <si>
    <t>INVESCO INDIA LARGECAP FUND - IDCW REINVESTMENT</t>
  </si>
  <si>
    <t>RELIGARECF</t>
  </si>
  <si>
    <t>INF205K01205</t>
  </si>
  <si>
    <t>INVESCO INDIA CONTRA FUND - IDCW PAYOUT</t>
  </si>
  <si>
    <t>INF205K01189</t>
  </si>
  <si>
    <t>INVESCO INDIA CONTRA FUND - GROWTH</t>
  </si>
  <si>
    <t>INF205K01197</t>
  </si>
  <si>
    <t>INVESCO INDIA CONTRA FUND - IDCW REINVESTMENT</t>
  </si>
  <si>
    <t>RELIGAREEF</t>
  </si>
  <si>
    <t>INF205K01239</t>
  </si>
  <si>
    <t>INVESCO INDIA DYNAMIC EQUITY FUND- IDCW PAYOUT</t>
  </si>
  <si>
    <t>INF205K01213</t>
  </si>
  <si>
    <t>INVESCO INDIA DYNAMIC EQUITY FUND-GROWTH</t>
  </si>
  <si>
    <t>INF205K01221</t>
  </si>
  <si>
    <t>INVESCO INDIA DYNAMIC EQUITY FUND- IDCW REINVESTMENT</t>
  </si>
  <si>
    <t>RELIGAREGF</t>
  </si>
  <si>
    <t>INF205K01262</t>
  </si>
  <si>
    <t>INVESCO INDIA GROWTH OPPORTUNITIES FUND - IDCW PAYOUT</t>
  </si>
  <si>
    <t>INF205K01247</t>
  </si>
  <si>
    <t>INVESCO INDIA GROWTH OPPORTUNITIES FUND - GROWTH</t>
  </si>
  <si>
    <t>INF205K01254</t>
  </si>
  <si>
    <t>INVESCO INDIA GROWTH OPPORTUNITIES FUND - IDCW REINVESTMENT</t>
  </si>
  <si>
    <t>RELIGAREMC</t>
  </si>
  <si>
    <t>INF205K01BC9</t>
  </si>
  <si>
    <t>INVESCO INDIA MIDCAP FUND - GROWTH</t>
  </si>
  <si>
    <t>INF205K01BD7</t>
  </si>
  <si>
    <t>INVESCO INDIA MIDCAP FUND - IDCW PAYOUT</t>
  </si>
  <si>
    <t>INF205K01BE5</t>
  </si>
  <si>
    <t>INVESCO INDIA MIDCAP FUND - IDCW REINVESTMENT</t>
  </si>
  <si>
    <t>RELIGAREMS</t>
  </si>
  <si>
    <t>INF205K01DO0</t>
  </si>
  <si>
    <t>INVESCO INDIA MULTICAP FUND - IDCW PAYOUT</t>
  </si>
  <si>
    <t>INF205K01DN2</t>
  </si>
  <si>
    <t>INVESCO INDIA MULTICAP FUND - GROWTH</t>
  </si>
  <si>
    <t>INF205K01DP7</t>
  </si>
  <si>
    <t>INVESCO INDIA MULTICAP FUND - IDCW REINVESTMENT</t>
  </si>
  <si>
    <t>RELIGARMTG</t>
  </si>
  <si>
    <t>INF205K01TM0</t>
  </si>
  <si>
    <t>INVESCO INDIA ULTRA SHORT TERM FUND - GROWTH</t>
  </si>
  <si>
    <t>RELLIQCDDR</t>
  </si>
  <si>
    <t>INF204K01UC2</t>
  </si>
  <si>
    <t>NIPPON INDIA ULTRA SHORT DURATION FUND - DAILY IDCW REINVESTMENT</t>
  </si>
  <si>
    <t>RELLIQCMDP</t>
  </si>
  <si>
    <t>INF204K01UF5</t>
  </si>
  <si>
    <t>NIPPON INDIA ULTRA SHORT DURATION FUND - MONTHLY IDCW PAYOUT</t>
  </si>
  <si>
    <t>RELLIQCMDR</t>
  </si>
  <si>
    <t>INF204K01UG3</t>
  </si>
  <si>
    <t>NIPPON INDIA ULTRA SHORT DURATION FUND - MONTHLY IDCW REINVESTMENT</t>
  </si>
  <si>
    <t>RELLIQCPGP</t>
  </si>
  <si>
    <t>INF204K01UE8</t>
  </si>
  <si>
    <t>NIPPON INDIA ULTRA SHORT DURATION FUND - GROWTH OPTION</t>
  </si>
  <si>
    <t>RELLIQCWDR</t>
  </si>
  <si>
    <t>INF204K01UD0</t>
  </si>
  <si>
    <t>NIPPON INDIA ULTRA SHORT DURATION FUND - WEEKLY IDCW REINVESTMENT</t>
  </si>
  <si>
    <t>RELLNGEQDP</t>
  </si>
  <si>
    <t>INF204K01GF4</t>
  </si>
  <si>
    <t>NIPPON INDIA FOCUSED EQUITY FUND - DIVIDEND PLAN - IDCW PAYOUT OPTION</t>
  </si>
  <si>
    <t>RELLNGEQDR</t>
  </si>
  <si>
    <t>INF204K01GG2</t>
  </si>
  <si>
    <t>NIPPON INDIA FOCUSED EQUITY FUND - DIVIDEND PLAN - IDCW REINVESTMENT OPTION</t>
  </si>
  <si>
    <t>RELLNGEQGP</t>
  </si>
  <si>
    <t>INF204K01GE7</t>
  </si>
  <si>
    <t>NIPPON INDIA FOCUSED EQUITY FUND - GROWTH PLAN</t>
  </si>
  <si>
    <t>RELLTEDPDP</t>
  </si>
  <si>
    <t>INF204K01F79</t>
  </si>
  <si>
    <t>NIPPON INDIA FOCUSED EQUITY FUND - DIRECT PLAN DIVIDEND OPTION IDCW PAYOUT</t>
  </si>
  <si>
    <t>INF204K01F87</t>
  </si>
  <si>
    <t>NIPPON INDIA FOCUSED EQUITY FUND - DIRECT PLAN DIVIDEND OPTION IDCW REINVESTMENT</t>
  </si>
  <si>
    <t>RELLTEDPGP</t>
  </si>
  <si>
    <t>INF204K01F95</t>
  </si>
  <si>
    <t>NIPPON INDIA FOCUSED EQUITY FUND - DIRECT PLAN GROWTH OPTION GROWTH</t>
  </si>
  <si>
    <t>RELMEDIMDP</t>
  </si>
  <si>
    <t>INF204K01EJ1</t>
  </si>
  <si>
    <t>NIPPON INDIA CORPORATE BOND FUND - MONTHLY IDCW PAYOUT</t>
  </si>
  <si>
    <t>RELMEDIMDR</t>
  </si>
  <si>
    <t>INF204K01EK9</t>
  </si>
  <si>
    <t>NIPPON INDIA CORPORATE BOND FUND - MONTHLY IDCW REINVESTMENT</t>
  </si>
  <si>
    <t>RELMEDIQDP</t>
  </si>
  <si>
    <t>INF204K01EL7</t>
  </si>
  <si>
    <t>NIPPON INDIA CORPORATE BOND FUND - QUARTERLY IDCW PLAN PAYOUT</t>
  </si>
  <si>
    <t>RELMEDIQDR</t>
  </si>
  <si>
    <t>INF204K01EM5</t>
  </si>
  <si>
    <t>NIPPON INDIA CORPORATE BOND FUND - QUARTERLY IDCW REINVESTMENT</t>
  </si>
  <si>
    <t>RELMEDIUGP</t>
  </si>
  <si>
    <t>INF204K01EF9</t>
  </si>
  <si>
    <t>NIPPON INDIA CORPORATE BOND FUND - GROWTH PLAN - GROWTH OPTION</t>
  </si>
  <si>
    <t>RELMIPDPGP</t>
  </si>
  <si>
    <t>INF204K01YV4</t>
  </si>
  <si>
    <t>NIPPON INDIA HYBRID BOND FUND - DIRECT GROWTH PLAN GROWTH OPTION</t>
  </si>
  <si>
    <t>RELMIPDPMD</t>
  </si>
  <si>
    <t>INF204K01YW2</t>
  </si>
  <si>
    <t>NIPPON INDIA HYBRID BOND FUND - DIRECT MONTHLY IDCW PAYOUT</t>
  </si>
  <si>
    <t>INF204K01YX0</t>
  </si>
  <si>
    <t>NIPPON INDIA HYBRID BOND FUND - DIRECT MONTHLY IDCW REINVESTMENT</t>
  </si>
  <si>
    <t>RELMIPDPQD</t>
  </si>
  <si>
    <t>INF204K01YY8</t>
  </si>
  <si>
    <t>NIPPON INDIA HYBRID BOND FUND - DIRECT QUARTERLY IDCW PLAN PAYOUT</t>
  </si>
  <si>
    <t>INF204K01YZ5</t>
  </si>
  <si>
    <t>NIPPON INDIA HYBRID BOND FUND - DIRECT QUARTERLY IDCW REINVESTMENT</t>
  </si>
  <si>
    <t>RELMMFDPBP</t>
  </si>
  <si>
    <t>INF204K01G03</t>
  </si>
  <si>
    <t>NIPPON INDIA LOW DURATION FUND - DIRECT BONUS PLAN BONUS OPTION</t>
  </si>
  <si>
    <t>RELMMFDPDP</t>
  </si>
  <si>
    <t>INF204KA1EK7</t>
  </si>
  <si>
    <t>NIPPON INDIA LOW DURATION FUND - DIRECT IDCW PLAN PAYOUT</t>
  </si>
  <si>
    <t>RELMMFDPDR</t>
  </si>
  <si>
    <t>INF204KA1EL5</t>
  </si>
  <si>
    <t>NIPPON INDIA LOW DURATION FUND - DIRECT IDCW REINVESTMENT</t>
  </si>
  <si>
    <t>RELMMFDPGP</t>
  </si>
  <si>
    <t>INF204K01ZU3</t>
  </si>
  <si>
    <t>NIPPON INDIA LOW DURATION FUND - DIRECT GROWTH PLAN GROWTH OPTION</t>
  </si>
  <si>
    <t>RELMMFDPMD</t>
  </si>
  <si>
    <t>INF204K01ZX7</t>
  </si>
  <si>
    <t>NIPPON INDIA LOW DURATION FUND - DIRECT MONTHLY IDCW PAYOUT</t>
  </si>
  <si>
    <t>INF204K01ZY5</t>
  </si>
  <si>
    <t>NIPPON INDIA LOW DURATION FUND - DIRECT MONTHLY IDCW REINVESTMENT</t>
  </si>
  <si>
    <t>RELMMFDPQD</t>
  </si>
  <si>
    <t>INF204K01ZZ2</t>
  </si>
  <si>
    <t>NIPPON INDIA LOW DURATION FUND - DIRECT QUARTERLY IDCW PLAN PAYOUT</t>
  </si>
  <si>
    <t>INF204K01A09</t>
  </si>
  <si>
    <t>NIPPON INDIA LOW DURATION FUND - DIRECT QUARTERLY IDCW REINVESTMENT</t>
  </si>
  <si>
    <t>RELMMFIDDP</t>
  </si>
  <si>
    <t>INF204KA1EI1</t>
  </si>
  <si>
    <t>NIPPON INDIA LOW DURATION FUND - IDCW PLAN PAYOUT</t>
  </si>
  <si>
    <t>RELMMFIDDR</t>
  </si>
  <si>
    <t>INF204KA1EJ9</t>
  </si>
  <si>
    <t>NIPPON INDIA LOW DURATION FUND - IDCW REINVESTMENT</t>
  </si>
  <si>
    <t>RELMMGRDDR</t>
  </si>
  <si>
    <t>INF204K01EX2</t>
  </si>
  <si>
    <t>NIPPON INDIA LOW DURATION FUND - DAILY IDCW REINVESTMENT</t>
  </si>
  <si>
    <t>RELMMGRGP</t>
  </si>
  <si>
    <t>INF204K01EN3</t>
  </si>
  <si>
    <t>NIPPON INDIA LOW DURATION FUND - RETAIL OPTION - GROWTH PLAN</t>
  </si>
  <si>
    <t>RELMMGRMDP</t>
  </si>
  <si>
    <t>INF204K01ER4</t>
  </si>
  <si>
    <t>NIPPON INDIA LOW DURATION FUND - RETAIL OPTION - MONTHLY IDCW PAYOUT</t>
  </si>
  <si>
    <t>RELMMGRMDR</t>
  </si>
  <si>
    <t>INF204K01ES2</t>
  </si>
  <si>
    <t>NIPPON INDIA LOW DURATION FUND - RETAIL OPTION - MONTHLY IDCW REINVESTMENT</t>
  </si>
  <si>
    <t>RELMMGRWDP</t>
  </si>
  <si>
    <t>INF204K01OO0</t>
  </si>
  <si>
    <t>NIPPON INDIA LOW DURATION FUND - WEEKLY IDCW PLAN PAYOUT</t>
  </si>
  <si>
    <t>RELMMGRWDR</t>
  </si>
  <si>
    <t>INF204K01EY0</t>
  </si>
  <si>
    <t>NIPPON INDIA LOW DURATION FUND - WEEKLY IDCW REINVESTMENT</t>
  </si>
  <si>
    <t>RELMMIGPB</t>
  </si>
  <si>
    <t>INF204K01EW4</t>
  </si>
  <si>
    <t>NIPPON INDIA LOW DURATION FUND - BONUS PLAN BONUS OPTION</t>
  </si>
  <si>
    <t>RELMMIGPG</t>
  </si>
  <si>
    <t>INF204K01EV6</t>
  </si>
  <si>
    <t>NIPPON INDIA LOW DURATION FUND - GROWTH PLAN GROWTH OPTION</t>
  </si>
  <si>
    <t>RELMMIMDP</t>
  </si>
  <si>
    <t>INF204K01EZ7</t>
  </si>
  <si>
    <t>NIPPON INDIA LOW DURATION FUND - MONTHLY IDCW PAYOUT</t>
  </si>
  <si>
    <t>RELMMIMDR</t>
  </si>
  <si>
    <t>INF204K01FA7</t>
  </si>
  <si>
    <t>NIPPON INDIA LOW DURATION FUND - MONTHLY IDCW REINVESTMENT</t>
  </si>
  <si>
    <t>RELMTFDPGP</t>
  </si>
  <si>
    <t>INF204K01C15</t>
  </si>
  <si>
    <t>NIPPON INDIA CORPORATE BOND FUND - DIRECT GROWTH PLAN - GROWTH OPTION</t>
  </si>
  <si>
    <t>RELMTLIPGP</t>
  </si>
  <si>
    <t>INF204K01FD1</t>
  </si>
  <si>
    <t>NIPPON INDIA HYBRID BOND FUND - GROWTH PLAN GROWTH OPTION</t>
  </si>
  <si>
    <t>RELMTLIPMP</t>
  </si>
  <si>
    <t>INF204K01FE9</t>
  </si>
  <si>
    <t>NIPPON INDIA HYBRID BOND FUND - MONTHLY IDCW PAYOUT</t>
  </si>
  <si>
    <t>RELMTLIPMR</t>
  </si>
  <si>
    <t>INF204K01FF6</t>
  </si>
  <si>
    <t>NIPPON INDIA HYBRID BOND FUND - MONTHLY IDCW REINVESTMENT</t>
  </si>
  <si>
    <t>RELMTLIPQP</t>
  </si>
  <si>
    <t>INF204K01FG4</t>
  </si>
  <si>
    <t>NIPPON INDIA HYBRID BOND FUND - QUARTERLY IDCW PLAN PAYOUT</t>
  </si>
  <si>
    <t>RELMTLIPQR</t>
  </si>
  <si>
    <t>INF204K01FH2</t>
  </si>
  <si>
    <t>NIPPON INDIA HYBRID BOND FUND - QUARTERLY IDCW REINVESTMENT</t>
  </si>
  <si>
    <t>RELNRIDPDP</t>
  </si>
  <si>
    <t>INF204K01G78</t>
  </si>
  <si>
    <t>NIPPON INDIA BALANCED ADVANTAGE FUND DIRECT PLAN DIVIDEND PLAN IDCW PAYOUT</t>
  </si>
  <si>
    <t>INF204K01G86</t>
  </si>
  <si>
    <t>NIPPON INDIA BALANCED ADVANTAGE FUND DIRECT PLAN DIVIDEND PLAN IDCW REINVESTMENT</t>
  </si>
  <si>
    <t>RELNRIDPGP</t>
  </si>
  <si>
    <t>INF204K01G94</t>
  </si>
  <si>
    <t>NIPPON INDIA BALANCED ADVANTAGE FUND DIRECT PLAN GROWTH PLAN - GROWTH OPTION GROWTH</t>
  </si>
  <si>
    <t>RELNRIRPDP</t>
  </si>
  <si>
    <t>INF204K01570</t>
  </si>
  <si>
    <t>NIPPON INDIA BALANCED ADVANTAGE FUND - IDCW PAYOUT OPTION</t>
  </si>
  <si>
    <t>RELNRIRPDR</t>
  </si>
  <si>
    <t>INF204K01588</t>
  </si>
  <si>
    <t>NIPPON INDIA BALANCED ADVANTAGE FUND - IDCW REINVESTMENT OPTION</t>
  </si>
  <si>
    <t>RELNRIRPGR</t>
  </si>
  <si>
    <t>INF204K01604</t>
  </si>
  <si>
    <t>NIPPON INDIA BALANCED ADVANTAGE FUND - GROWTH PLAN - GROWTH OPTION</t>
  </si>
  <si>
    <t>RELOPPDPDP</t>
  </si>
  <si>
    <t>INF204K01XD4</t>
  </si>
  <si>
    <t>NIPPON INDIA MULTI CAP FUND DIRECT PLAN DIVIDEND PLAN IDCW PAYOUT</t>
  </si>
  <si>
    <t>INF204K01XE2</t>
  </si>
  <si>
    <t>NIPPON INDIA MULTI CAP FUND DIRECT PLAN DIVIDEND PLAN IDCW REINVESTMENT</t>
  </si>
  <si>
    <t>RELOPPDPGP</t>
  </si>
  <si>
    <t>INF204K01XF9</t>
  </si>
  <si>
    <t>NIPPON INDIA MULTI CAP FUND - DIRECT GROWTH PLAN</t>
  </si>
  <si>
    <t>RELPHADPDP</t>
  </si>
  <si>
    <t>INF204K01I35</t>
  </si>
  <si>
    <t>NIPPON INDIA PHARMA FUND DIRECT PLAN DIVIDEND PLAN IDCW PAYOUT</t>
  </si>
  <si>
    <t>INF204K01I43</t>
  </si>
  <si>
    <t>NIPPON INDIA PHARMA FUND DIRECT PLAN DIVIDEND PLAN IDCW REINVESTMENT</t>
  </si>
  <si>
    <t>RELPHADPGP</t>
  </si>
  <si>
    <t>INF204K01I50</t>
  </si>
  <si>
    <t>NIPPON INDIA PHARMA FUND DIRECT PLAN GROWTH PLAN - GROWTH OPTION GROWTH</t>
  </si>
  <si>
    <t>RELPHARMBP</t>
  </si>
  <si>
    <t>INF204K01950</t>
  </si>
  <si>
    <t>NIPPON INDIA PHARMA FUND - BONUS PLAN</t>
  </si>
  <si>
    <t>RELPHARMDP</t>
  </si>
  <si>
    <t>INF204K01935</t>
  </si>
  <si>
    <t>NIPPON INDIA PHARMA FUND - IDCW PAYOUT OPTION</t>
  </si>
  <si>
    <t>RELPHARMDR</t>
  </si>
  <si>
    <t>INF204K01943</t>
  </si>
  <si>
    <t>NIPPON INDIA PHARMA FUND - IDCW REINVESTMENT OPTION</t>
  </si>
  <si>
    <t>RELPHARMGP</t>
  </si>
  <si>
    <t>INF204K01968</t>
  </si>
  <si>
    <t>NIPPON INDIA PHARMA FUND - GROWTH PLAN - GROWTH OPTION</t>
  </si>
  <si>
    <t>RELPOWERBP</t>
  </si>
  <si>
    <t>INF204K01AD2</t>
  </si>
  <si>
    <t>NIPPON INDIA POWER AND INFRA FUND GROWTH PLAN-BONUS OPT</t>
  </si>
  <si>
    <t>RELPOWERDP</t>
  </si>
  <si>
    <t>INF204K01AB6</t>
  </si>
  <si>
    <t>NIPPON INDIA POWER AND INFRA FUND- DIV PLAN-IDCW PAYOUT OPTION</t>
  </si>
  <si>
    <t>RELPOWERDR</t>
  </si>
  <si>
    <t>INF204K01AC4</t>
  </si>
  <si>
    <t>NIPPON INDIA POWER AND INFRA FUND IDCW REINVESTMENT OPT</t>
  </si>
  <si>
    <t>RELPOWERGP</t>
  </si>
  <si>
    <t>INF204K01AE0</t>
  </si>
  <si>
    <t>NIPPON INDIA POWER AND INFRA FUND- GROWTH PLAN-GROWTH OPT</t>
  </si>
  <si>
    <t>RELREGSBDP</t>
  </si>
  <si>
    <t>INF204K01FX9</t>
  </si>
  <si>
    <t>NIPPON INDIA EQUITY HYBRID FUND DIVIDEND PLAN IDCW PAYOUT OPTION</t>
  </si>
  <si>
    <t>RELREGSBDR</t>
  </si>
  <si>
    <t>INF204K01FY7</t>
  </si>
  <si>
    <t>NIPPON INDIA EQUITY HYBRID FUND DIVIDEND PLAN IDCW REINVESTMENT OPTION</t>
  </si>
  <si>
    <t>RELREGSBGP</t>
  </si>
  <si>
    <t>INF204K01FW1</t>
  </si>
  <si>
    <t>NIPPON INDIA EQUITY HYBRID FUND GROWTH PLAN</t>
  </si>
  <si>
    <t>RELREGSDDP</t>
  </si>
  <si>
    <t>INF204K01FR1</t>
  </si>
  <si>
    <t>NIPPON INDIA CREDIT RISK FUND - QUARTERLY IDCW PLAN PAYOUT</t>
  </si>
  <si>
    <t>RELREGSDDR</t>
  </si>
  <si>
    <t>INF204K01FS9</t>
  </si>
  <si>
    <t>NIPPON INDIA CREDIT RISK FUND - QUARTERLY IDCW REINVESTMENT</t>
  </si>
  <si>
    <t>RELREGSDGP</t>
  </si>
  <si>
    <t>INF204K01FQ3</t>
  </si>
  <si>
    <t>NIPPON INDIA CREDIT RISK FUND - GROWTH PLAN</t>
  </si>
  <si>
    <t>RELREGSEDP</t>
  </si>
  <si>
    <t>INF204K01GC1</t>
  </si>
  <si>
    <t>NIPPON INDIA VALUE FUND - DIVIDEND PLAN - IDCW PAYOUT OPTION</t>
  </si>
  <si>
    <t>RELREGSEDR</t>
  </si>
  <si>
    <t>INF204K01GD9</t>
  </si>
  <si>
    <t>NIPPON INDIA VALUE FUND - DIVIDEND PLAN - IDCW REINVESTMENT OPTION</t>
  </si>
  <si>
    <t>RELREGSEGP</t>
  </si>
  <si>
    <t>INF204K01GB3</t>
  </si>
  <si>
    <t>NIPPON INDIA VALUE FUND - GROWTH OPTION</t>
  </si>
  <si>
    <t>RELREWCB</t>
  </si>
  <si>
    <t>INF204KA1B80</t>
  </si>
  <si>
    <t>NIPPON INDIA RETIREMENT FUND-WEALTH CREATION SCHEME-BONUS PLAN BONUS OPTION</t>
  </si>
  <si>
    <t>RELREWCDDP</t>
  </si>
  <si>
    <t>INF204KA1C14</t>
  </si>
  <si>
    <t>NIPPON INDIA RETIREMENT FUND-WEALTH CREATION SCHEME DIRECT PLAN DIRECT DIVIDEND PLAN-IDCW PAYOUT OPTION</t>
  </si>
  <si>
    <t>RELREWCDG</t>
  </si>
  <si>
    <t>INF204KA1B72</t>
  </si>
  <si>
    <t>NIPPON INDIA RETIREMENT FUND-WEALTH CREATION SCHEME DIRECT PLAN-GROWTH OPTION</t>
  </si>
  <si>
    <t>RELREWCDP</t>
  </si>
  <si>
    <t>INF204KA1C06</t>
  </si>
  <si>
    <t>NIPPON INDIA RETIREMENT FUND-WEALTH CREATION SCHEME-DIVIDEND PLAN IDCW PAYOUT OPTION</t>
  </si>
  <si>
    <t>RELREWCG</t>
  </si>
  <si>
    <t>INF204KA1B64</t>
  </si>
  <si>
    <t>NIPPON INDIA RETIREMENT FUND-WEALTH CREATION SCHEME-GROWTH PLAN GROWTH OPTION</t>
  </si>
  <si>
    <t>RELRSBDPDP</t>
  </si>
  <si>
    <t>INF204K01B16</t>
  </si>
  <si>
    <t>NIPPON INDIA EQUITY HYBRID FUND DIRECT PLAN DIVIDEND PLAN IDCW PAYOUT</t>
  </si>
  <si>
    <t>INF204K01B24</t>
  </si>
  <si>
    <t>NIPPON INDIA EQUITY HYBRID FUND DIRECT PLAN DIVIDEND PLAN IDCW REINVESTMENT</t>
  </si>
  <si>
    <t>RELRSBDPGP</t>
  </si>
  <si>
    <t>INF204K01B08</t>
  </si>
  <si>
    <t>NIPPON INDIA EQUITY HYBRID FUND DIRECT PLAN GROWTH OPTION</t>
  </si>
  <si>
    <t>RELRSDDPGP</t>
  </si>
  <si>
    <t>INF204K01A74</t>
  </si>
  <si>
    <t>NIPPON INDIA CREDIT RISK FUND - DIRECT GROWTH PLAN GROWTH OPTION</t>
  </si>
  <si>
    <t>RELRSEDPDP</t>
  </si>
  <si>
    <t>INF204K01K23</t>
  </si>
  <si>
    <t>NIPPON INDIA VALUE FUND DIRECT PLAN DIVIDEND PLAN IDCW PAYOUT</t>
  </si>
  <si>
    <t>INF204K01K31</t>
  </si>
  <si>
    <t>NIPPON INDIA VALUE FUND DIRECT PLAN DIVIDEND PLAN IDCW REINVESTMENT</t>
  </si>
  <si>
    <t>RELRSEDPGP</t>
  </si>
  <si>
    <t>INF204K01K49</t>
  </si>
  <si>
    <t>NIPPON INDIA VALUE FUND DIRECT PLAN GROWTH OPTION GROWTH</t>
  </si>
  <si>
    <t>RELSHODPDP</t>
  </si>
  <si>
    <t>INF204K01B40</t>
  </si>
  <si>
    <t>NIPPON INDIA SHORT TERM FUND DIRECT PLAN DIVIDEND PLAN IDCW PAYOUT</t>
  </si>
  <si>
    <t>RELSHODPGP</t>
  </si>
  <si>
    <t>INF204K01B32</t>
  </si>
  <si>
    <t>NIPPON INDIA SHORT TERM FUND DIRECT PLAN GROWTH PLAN GROWTH</t>
  </si>
  <si>
    <t>RELSHORTDP</t>
  </si>
  <si>
    <t>INF204KA1EQ4</t>
  </si>
  <si>
    <t>NIPPON INDIA SHORT TERM FUND DIVIDEND PLAN IDCW PAYOUT</t>
  </si>
  <si>
    <t>RELSHORTDR</t>
  </si>
  <si>
    <t>INF204KA1ER2</t>
  </si>
  <si>
    <t>NIPPON INDIA SHORT TERM FUND DIVIDEND PLAN IDCW REINVESTMENT</t>
  </si>
  <si>
    <t>RELSHORTGP</t>
  </si>
  <si>
    <t>INF204K01FL4</t>
  </si>
  <si>
    <t>NIPPON INDIA SHORT TERM FUND-GROWTH PLAN - GROWTH OPTION</t>
  </si>
  <si>
    <t>RELSHORTMP</t>
  </si>
  <si>
    <t>INF204K01FM2</t>
  </si>
  <si>
    <t>NIPPON INDIA SHORT TERM FUND-DIVIDEND PLAN - MONTHLY IDCW PAYOUT OPTION</t>
  </si>
  <si>
    <t>RELSHORTMR</t>
  </si>
  <si>
    <t>INF204K01FN0</t>
  </si>
  <si>
    <t>NIPPON INDIA SHORT TERM FUND-DIVIDEND PLAN - MONTHLY IDCW REINVESTMENT OPTION</t>
  </si>
  <si>
    <t>RELSHORTQP</t>
  </si>
  <si>
    <t>INF204K01FO8</t>
  </si>
  <si>
    <t>NIPPON INDIA SHORT TERM FUND-DIVIDEND PLAN - QUARTERLY IDCW PAYOUT OPTION</t>
  </si>
  <si>
    <t>RELSHORTQR</t>
  </si>
  <si>
    <t>INF204K01FP5</t>
  </si>
  <si>
    <t>NIPPON INDIA SHORT TERM FUND-DIVIDEND PLAN - QUARTERLY IDCW REINVESTMENT OPTION</t>
  </si>
  <si>
    <t>RELSMADPBP</t>
  </si>
  <si>
    <t>INF204K01J83</t>
  </si>
  <si>
    <t>NIPPON INDIA SMALL CAP FUND DIRECT PLAN GROWTH PLAN - BONUS OPTION BONUS</t>
  </si>
  <si>
    <t>RELSMADPDP</t>
  </si>
  <si>
    <t>INF204K01J91</t>
  </si>
  <si>
    <t>NIPPON INDIA SMALL CAP FUND DIRECT PLAN DIVIDEND PLAN IDCW PAYOUT</t>
  </si>
  <si>
    <t>INF204K01K07</t>
  </si>
  <si>
    <t>NIPPON INDIA SMALL CAP FUND DIRECT PLAN DIVIDEND PLAN IDCW REINVESTMENT</t>
  </si>
  <si>
    <t>RELSMADPGP</t>
  </si>
  <si>
    <t>INF204K01K15</t>
  </si>
  <si>
    <t>NIPPON INDIA SMALL CAP FUND DIRECT PLAN GROWTH PLAN GROWTH</t>
  </si>
  <si>
    <t>RELSMLCPBP</t>
  </si>
  <si>
    <t>INF204K01HZ0</t>
  </si>
  <si>
    <t>NIPPON INDIA SMALL CAP FUND - GROWTH PLAN-BONUS OPTION</t>
  </si>
  <si>
    <t>RELSMLCPDP</t>
  </si>
  <si>
    <t>INF204K01IA1</t>
  </si>
  <si>
    <t>NIPPON INDIA SMALL CAP FUND - DIVIDEND PLAN - IDCW PAYOUT OPTION</t>
  </si>
  <si>
    <t>RELSMLCPDR</t>
  </si>
  <si>
    <t>INF204K01IB9</t>
  </si>
  <si>
    <t>NIPPON INDIA SMALL CAP FUND - IDCW REINVESTMENT OPTION</t>
  </si>
  <si>
    <t>RELSMLCPGR</t>
  </si>
  <si>
    <t>INF204K01HY3</t>
  </si>
  <si>
    <t>NIPPON INDIA SMALL CAP FUND - GROWTH PLAN - GROWTH OPTION</t>
  </si>
  <si>
    <t>RELVISDPDP</t>
  </si>
  <si>
    <t>INF204K01F04</t>
  </si>
  <si>
    <t>NIPPON INDIA VISION FUND DIRECT PLAN DIVIDEND PLAN IDCW PAYOUT</t>
  </si>
  <si>
    <t>INF204K01F12</t>
  </si>
  <si>
    <t>NIPPON INDIA VISION FUND DIRECT PLAN DIVIDEND PLAN IDCW REINVESTMENT</t>
  </si>
  <si>
    <t>RELVISDPGP</t>
  </si>
  <si>
    <t>INF204K01F20</t>
  </si>
  <si>
    <t>NIPPON INDIA VISION FUND DIRECT PLAN GROWTH PLAN GROWTH</t>
  </si>
  <si>
    <t>RELVISINBP</t>
  </si>
  <si>
    <t>INF204K01398</t>
  </si>
  <si>
    <t>NIPPON INDIA VISION FUND - GROWTH PLAN - BONUS OPTION</t>
  </si>
  <si>
    <t>RELVISINDP</t>
  </si>
  <si>
    <t>INF204K01372</t>
  </si>
  <si>
    <t>NIPPON INDIA VISION FUND - DIVIDENDS PLAN IDCW PAYOUT OPTION</t>
  </si>
  <si>
    <t>RELVISINDR</t>
  </si>
  <si>
    <t>INF204K01380</t>
  </si>
  <si>
    <t>NIPPON INDIA VISION FUND - DIVIDEND PLAN IDCW REINVESTMENT OPT</t>
  </si>
  <si>
    <t>RELVISINGP</t>
  </si>
  <si>
    <t>INF204K01406</t>
  </si>
  <si>
    <t>NIPPON INDIA VISION FUND - GROWTH PLAN - GROWTH OPTION</t>
  </si>
  <si>
    <t>REUSEODDP</t>
  </si>
  <si>
    <t>INF204KA16G3</t>
  </si>
  <si>
    <t>NIPPON INDIA US EQUITY OPPORTUNITES FUND - DIRECT IDCW PAYOUT</t>
  </si>
  <si>
    <t>REUSEODDR</t>
  </si>
  <si>
    <t>INF204KA17G1</t>
  </si>
  <si>
    <t>NIPPON INDIA US EQUITY OPPORTUNITES FUND - DIRECT IDCW REINVESTMENT</t>
  </si>
  <si>
    <t>REUSEODGR</t>
  </si>
  <si>
    <t>INF204KA15G5</t>
  </si>
  <si>
    <t>NIPPON INDIA US EQUITY OPPORTUNITES FUND - DIRECT GROWTH PLAN - GROWTH</t>
  </si>
  <si>
    <t>REUSEODP</t>
  </si>
  <si>
    <t>INF204KA13G0</t>
  </si>
  <si>
    <t>NIPPON INDIA US EQUITY OPPORTUNITIES FUND--DIVIDEND PLAN-IDCW PAYOUT</t>
  </si>
  <si>
    <t>REUSEODR</t>
  </si>
  <si>
    <t>INF204KA14G8</t>
  </si>
  <si>
    <t>NIPPON INDIA US EQUITY OPPORTUNITIES FUND--DIVIDEND PLAN-IDCW REINVESTMENT</t>
  </si>
  <si>
    <t>REUSEOGR</t>
  </si>
  <si>
    <t>INF204KA12G2</t>
  </si>
  <si>
    <t>NIPPON INDIA US EQUITY OPPORTUNITIES FUND--GROWTH PLAN-GROWTH</t>
  </si>
  <si>
    <t>RGFCFD1GR</t>
  </si>
  <si>
    <t>INF205K01LE4</t>
  </si>
  <si>
    <t>INVESCO INDIA CONTRA FUND - DIRECT PLAN GROWTH</t>
  </si>
  <si>
    <t>RGFUSD1GR</t>
  </si>
  <si>
    <t>INF205K01NY8</t>
  </si>
  <si>
    <t>INVESCO INDIA TREASURY ADVANTAGE FUND - DIRECT PLAN GROWTH</t>
  </si>
  <si>
    <t>RGFUSG</t>
  </si>
  <si>
    <t>INF205K01HY0</t>
  </si>
  <si>
    <t>INVESCO INDIA TREASURY ADVANTAGE FUND - GROWTH</t>
  </si>
  <si>
    <t>RMFAIFAG</t>
  </si>
  <si>
    <t>INF205K01RM4</t>
  </si>
  <si>
    <t>INVESCO INDIA CORPORATE BOND FUND - GROWTH</t>
  </si>
  <si>
    <t>RMFDP</t>
  </si>
  <si>
    <t>INF204KB17V8</t>
  </si>
  <si>
    <t>NIPPON INDIA MULTI ASSET FUND-REGULAR PLAN-IDCW PAYOUT</t>
  </si>
  <si>
    <t>RMFNLGPGR</t>
  </si>
  <si>
    <t>INF204KB1ZB0</t>
  </si>
  <si>
    <t>NIPPON INDIA NIVESH LAKSHYA FUND - GROWTH PLAN GROWTH</t>
  </si>
  <si>
    <t>RMFNLMPDP</t>
  </si>
  <si>
    <t>INF204KB1ZE4</t>
  </si>
  <si>
    <t>NIPPON INDIA NIVESH LAKSHYA FUND - MONTHLY DIVIDEND PLAN IDCW PAYOUT</t>
  </si>
  <si>
    <t>RMFNLMPDR</t>
  </si>
  <si>
    <t>INF204KB1ZF1</t>
  </si>
  <si>
    <t>NIPPON INDIA NIVESH LAKSHYA FUND - MONTHLY IDCW REINVESTMENT</t>
  </si>
  <si>
    <t>RMFSTPAG</t>
  </si>
  <si>
    <t>INF205K01UN6</t>
  </si>
  <si>
    <t>INVESCO INDIA SHORT TERM FUND -GROWTH</t>
  </si>
  <si>
    <t>SAOF-DP</t>
  </si>
  <si>
    <t>INF200K01131</t>
  </si>
  <si>
    <t>SBI ARBITRAGE OPPORTUNITIES FUND - IDCW PAYOUT</t>
  </si>
  <si>
    <t>SAOF-DR</t>
  </si>
  <si>
    <t>INF200K01149</t>
  </si>
  <si>
    <t>SBI ARBITRAGE OPPORTUNITIES FUND - IDCW REINVESTMENT</t>
  </si>
  <si>
    <t>SAOF-G</t>
  </si>
  <si>
    <t>INF200K01156</t>
  </si>
  <si>
    <t>SBI ARBITRAGE OPPORTUNITIES FUND GROWTH</t>
  </si>
  <si>
    <t>SBBFSD464G</t>
  </si>
  <si>
    <t>INF200KA1507</t>
  </si>
  <si>
    <t>SBI BANKING AND FINANCIAL SERVICES FUND - DIRECT PLAN-GROWTH</t>
  </si>
  <si>
    <t>SBCF-DP</t>
  </si>
  <si>
    <t>INF200K01164</t>
  </si>
  <si>
    <t>SBI BLUE CHIP FUND - IDCW PAYOUT</t>
  </si>
  <si>
    <t>SBCF-DR</t>
  </si>
  <si>
    <t>INF200K01172</t>
  </si>
  <si>
    <t>SBI BLUE CHIP FUND - IDCW REINVESTMENT</t>
  </si>
  <si>
    <t>SBCF-G</t>
  </si>
  <si>
    <t>INF200K01180</t>
  </si>
  <si>
    <t>SBI BLUE CHIP FUND - GROWTH</t>
  </si>
  <si>
    <t>SBESGD007G</t>
  </si>
  <si>
    <t>INF200K01SE0</t>
  </si>
  <si>
    <t>SBI MAGNUM EQUITY ESG FUND DIRECT GROWTH</t>
  </si>
  <si>
    <t>SBGFD246G</t>
  </si>
  <si>
    <t>INF200K01RP8</t>
  </si>
  <si>
    <t>SBI GOLD FUND - DIRECT PLAN - GROWTH</t>
  </si>
  <si>
    <t>SBIARDD</t>
  </si>
  <si>
    <t>INF200K01QT2</t>
  </si>
  <si>
    <t>SBI ARBITRAGE OPPORTUNITIES FUND - DIRECT PLAN - IDCW PAYOUT</t>
  </si>
  <si>
    <t>SBIBCDG</t>
  </si>
  <si>
    <t>INF200K01QX4</t>
  </si>
  <si>
    <t>SBI BLUE CHIP FUND - DIRECT PLAN - GROWTH</t>
  </si>
  <si>
    <t>SBIBFADPD</t>
  </si>
  <si>
    <t>INF200KA1S63</t>
  </si>
  <si>
    <t>SBI RETIREMENT BENEFIT FUND AGGRESSIVE PLAN - DIRECT PLAN IDCW PAYOUT</t>
  </si>
  <si>
    <t>SBIBFADPG</t>
  </si>
  <si>
    <t>INF200KA1S55</t>
  </si>
  <si>
    <t>SBI RETIREMENT BENEFIT FUND AGGRESSIVE PLAN - DIRECT PLAN GROWTH</t>
  </si>
  <si>
    <t>SBIBFAHDPD</t>
  </si>
  <si>
    <t>INF200KA1T05</t>
  </si>
  <si>
    <t>SBI RETIREMENT BENEFIT FUND AGGRESSIVE HYBRID PLAN - DIRECT PLAN IDCW PAYOUT</t>
  </si>
  <si>
    <t>SBIBFAHDPG</t>
  </si>
  <si>
    <t>INF200KA1S97</t>
  </si>
  <si>
    <t>SBI RETIREMENT BENEFIT FUND AGGRESSIVE HYBRID PLAN - DIRECT PLAN GROWTH</t>
  </si>
  <si>
    <t>SBIBFAHRPD</t>
  </si>
  <si>
    <t>INF200KA1S89</t>
  </si>
  <si>
    <t>SBI RETIREMENT BENEFIT FUND AGGRESSIVE HYBRID PLAN - REGULAR PLAN IDCW PAYOUT</t>
  </si>
  <si>
    <t>SBIBFAHRPG</t>
  </si>
  <si>
    <t>INF200KA1S71</t>
  </si>
  <si>
    <t>SBI RETIREMENT BENEFIT FUND AGGRESSIVE HYBRID PLAN - REGULAR PLAN GROWTH</t>
  </si>
  <si>
    <t>SBIBFARPD</t>
  </si>
  <si>
    <t>INF200KA1S48</t>
  </si>
  <si>
    <t>SBI RETIREMENT BENEFIT FUND AGGRESSIVE PLAN - REGULAR PLAN IDCW PAYOUT</t>
  </si>
  <si>
    <t>SBIBFARPG</t>
  </si>
  <si>
    <t>INF200KA1S30</t>
  </si>
  <si>
    <t>SBI RETIREMENT BENEFIT FUND AGGRESSIVE PLAN - REGULAR PLAN GROWTH</t>
  </si>
  <si>
    <t>SBIBFSFDP</t>
  </si>
  <si>
    <t>INF200KA1481</t>
  </si>
  <si>
    <t>SBI BANKING AND FINANCIAL SERVICES FUND - REGULAR PLAN - IDCW PAYOUT</t>
  </si>
  <si>
    <t>SBIBFSFDR</t>
  </si>
  <si>
    <t>INF200KA1499</t>
  </si>
  <si>
    <t>SBIBFSFGR</t>
  </si>
  <si>
    <t>INF200KA1473</t>
  </si>
  <si>
    <t>SBI BANKING AND FINANCIAL SERVICES FUND - REGULAR PLAN - GROWTH</t>
  </si>
  <si>
    <t>SBIDP</t>
  </si>
  <si>
    <t>INF200KA1U36</t>
  </si>
  <si>
    <t>SBI INTERNATIONAL ACCESS - US EQUITY FOF DIRECT PLAN IDCW PAYOUT</t>
  </si>
  <si>
    <t>SBIDPDFF</t>
  </si>
  <si>
    <t>INF200KA1U44</t>
  </si>
  <si>
    <t>SBIDPGFOF</t>
  </si>
  <si>
    <t>INF200KA1U28</t>
  </si>
  <si>
    <t>SBI INTERNATIONAL ACCESS - US EQUITY FOF DIRECT PLAN GROWTH</t>
  </si>
  <si>
    <t>SBIDYBFUND</t>
  </si>
  <si>
    <t>INF200K01958</t>
  </si>
  <si>
    <t>SBI - DYNAMIC BOND FUND - GROWTH</t>
  </si>
  <si>
    <t>INF200K01966</t>
  </si>
  <si>
    <t>SBI - DYNAMIC BOND FUND - IDCW PAYOUT</t>
  </si>
  <si>
    <t>INF200K01974</t>
  </si>
  <si>
    <t>SBIESFRDPM</t>
  </si>
  <si>
    <t>INF200KA1DB2</t>
  </si>
  <si>
    <t>SBI EQUITY SAVINGS FUND - REGULAR PLAN - MONTHLY IDCW PAYOUT</t>
  </si>
  <si>
    <t>SBIESFRDPQ</t>
  </si>
  <si>
    <t>INF200KA1DD8</t>
  </si>
  <si>
    <t>SBI EQUITY SAVINGS FUND - REGULAR PLAN - QUARTERLY IDCW PAYOUT</t>
  </si>
  <si>
    <t>SBIESFRDRM</t>
  </si>
  <si>
    <t>INF200KA1DC0</t>
  </si>
  <si>
    <t>SBIESFRDRQ</t>
  </si>
  <si>
    <t>INF200KA1DE6</t>
  </si>
  <si>
    <t>SBIESFRG</t>
  </si>
  <si>
    <t>INF200KA1DA4</t>
  </si>
  <si>
    <t>SBI EQUITY SAVINGS FUND - REGULAR PLAN - GROWTH</t>
  </si>
  <si>
    <t>SBIFMCG</t>
  </si>
  <si>
    <t>INF200K01VR6</t>
  </si>
  <si>
    <t>SBI CONSUMPTION OPPORTUNITIES FUND REGULAR GROWTH</t>
  </si>
  <si>
    <t>SBIIFI</t>
  </si>
  <si>
    <t>INF200K01CU0</t>
  </si>
  <si>
    <t>SBI INFRASTRUCTURE FUND - REGULAR PLAN - IDCW PAYOUT</t>
  </si>
  <si>
    <t>INF200K01CT2</t>
  </si>
  <si>
    <t>SBI INFRASTRUCTURE FUND REGULAR PLAN - GROWTH</t>
  </si>
  <si>
    <t>INF200K01CV8</t>
  </si>
  <si>
    <t>SBI INFRASTRUCTURE FUND REGULAR PLAN - IDCW PAYOUT</t>
  </si>
  <si>
    <t>SBILDDG</t>
  </si>
  <si>
    <t>INF200K01VM7</t>
  </si>
  <si>
    <t>SBI MAGNUM LOW DURATION FUND DIRECT GROWTH</t>
  </si>
  <si>
    <t>SBIMICF</t>
  </si>
  <si>
    <t>INF200K01LJ4</t>
  </si>
  <si>
    <t>SBI MAGNUM ULTRA SHORT DURATION FUND REGULAR GROWTH</t>
  </si>
  <si>
    <t>SBIMIFINVP</t>
  </si>
  <si>
    <t>INF200K01719</t>
  </si>
  <si>
    <t>SBI MAGNUM MEDIUM DURATION FUND REGULAR GROWTH</t>
  </si>
  <si>
    <t>INF200K01727</t>
  </si>
  <si>
    <t>SBI MAGNUM MEDIUM DURATION FUND REGULAR IDCW PAYOUT</t>
  </si>
  <si>
    <t>INF200K01735</t>
  </si>
  <si>
    <t>SBISHDFIGR</t>
  </si>
  <si>
    <t>INF200K01HZ8</t>
  </si>
  <si>
    <t>SBI SHORT TERM DEBT FUND - REGULAR PLAN - GROWTH</t>
  </si>
  <si>
    <t>SBISHDFRGR</t>
  </si>
  <si>
    <t>INF200K01IG6</t>
  </si>
  <si>
    <t>SBI-SHDF-SHORT TERM-RETAIL PLAN-GROWTH</t>
  </si>
  <si>
    <t>SBISHFIFDP</t>
  </si>
  <si>
    <t>INF200K01HT1</t>
  </si>
  <si>
    <t>SBI SHORT TERM DEBT FUND -REGULAR PLAN - FORTNIGHTLY IDCW PAYOUT</t>
  </si>
  <si>
    <t>SBISHFIFDR</t>
  </si>
  <si>
    <t>INF200K01HU9</t>
  </si>
  <si>
    <t>SBI SHORT TERM DEBT FUND - REGULAR PLAN - FORTNIGHTLY IDCW PAYOUT</t>
  </si>
  <si>
    <t>SBISHFIMDP</t>
  </si>
  <si>
    <t>INF200K01HV7</t>
  </si>
  <si>
    <t>SBI SHORT TERM DEBT FUND - REGULAR PLAN - MONTHLY IDCW PAYOUT</t>
  </si>
  <si>
    <t>SBISHFIMDR</t>
  </si>
  <si>
    <t>INF200K01HW5</t>
  </si>
  <si>
    <t>SBISHFUIGR</t>
  </si>
  <si>
    <t>INF200K01MG8</t>
  </si>
  <si>
    <t>SBI-SHF- ULTRA SHORT TERM FUND - INSTITUTIONAL PLAN - GROWTH</t>
  </si>
  <si>
    <t>SBISHFURGR</t>
  </si>
  <si>
    <t>INF200K01MO2</t>
  </si>
  <si>
    <t>SBI MAGNUM LOW DURATION FUND REGULAR GROWTH</t>
  </si>
  <si>
    <t>SBISHURMDP</t>
  </si>
  <si>
    <t>INF200K01MP9</t>
  </si>
  <si>
    <t>SBI MAGNUM LOW DURATION FUND REGULAR MONTHLY IDCW PAYOUT</t>
  </si>
  <si>
    <t>SBISHURMDR</t>
  </si>
  <si>
    <t>INF200K01MQ7</t>
  </si>
  <si>
    <t>SBISMCF</t>
  </si>
  <si>
    <t>INF200K01T28</t>
  </si>
  <si>
    <t>SBI SMALL CAP FUND REGULAR GROWTH</t>
  </si>
  <si>
    <t>INF200K01T36</t>
  </si>
  <si>
    <t>SBI SMALL CAP FUND REGULAR IDCW PAYOUT</t>
  </si>
  <si>
    <t>INF200K01T44</t>
  </si>
  <si>
    <t>SBISMCFDG</t>
  </si>
  <si>
    <t>INF200K01T51</t>
  </si>
  <si>
    <t>SBI SMALL CAP FUND - DIRECT PLAN - GROWTH</t>
  </si>
  <si>
    <t>SBISMCFDP</t>
  </si>
  <si>
    <t>INF200K01T77</t>
  </si>
  <si>
    <t>SBI SMALL CAP FUND - DIRECT PLAN - IDCW PAYOUT</t>
  </si>
  <si>
    <t>SBISTDG</t>
  </si>
  <si>
    <t>INF200K01VE4</t>
  </si>
  <si>
    <t>SBI SHORT TERM DEBT FUND - DIRECT PLAN - GROWTH</t>
  </si>
  <si>
    <t>SBITADF</t>
  </si>
  <si>
    <t>INF200K01U41</t>
  </si>
  <si>
    <t>SBI BANKING AND PSU FUND REGULAR GROWTH</t>
  </si>
  <si>
    <t>SBITOFRG</t>
  </si>
  <si>
    <t>INF200K01VS4</t>
  </si>
  <si>
    <t>SBI TECHNOLOGY OPPORTUNITIES FUND REGULAR GROWTH</t>
  </si>
  <si>
    <t>SBMIFD028G</t>
  </si>
  <si>
    <t>INF200K01SR2</t>
  </si>
  <si>
    <t>SBI MAGNUM INCOME FUND - DIRECT PLAN - GROWTH</t>
  </si>
  <si>
    <t>SBNPPEQU52</t>
  </si>
  <si>
    <t>INF903J01173</t>
  </si>
  <si>
    <t>SUNDARAM MID CAP FUND REGULAR GROWTH</t>
  </si>
  <si>
    <t>SCBF566D</t>
  </si>
  <si>
    <t>INF200KA1YT0</t>
  </si>
  <si>
    <t>SBI CORPORATE BOND FUND - DIRECT PLAN - IDCW PAYOUT</t>
  </si>
  <si>
    <t>SCBF566DP</t>
  </si>
  <si>
    <t>INF200KA1YU8</t>
  </si>
  <si>
    <t>SBI CORPORATE BOND FUND - DIRECT PLAN - QUARTERLY IDCW PAYOUT</t>
  </si>
  <si>
    <t>SCBF566G</t>
  </si>
  <si>
    <t>INF200KA1YR4</t>
  </si>
  <si>
    <t>SBI CORPORATE BOND FUND - DIRECT PLAN - GROWTH</t>
  </si>
  <si>
    <t>SCBF566QP</t>
  </si>
  <si>
    <t>INF200KA1YM5</t>
  </si>
  <si>
    <t>SBI CORPORATE BOND FUND - REGULAR PLAN GROWTH</t>
  </si>
  <si>
    <t>INF200KA1YP8</t>
  </si>
  <si>
    <t>SBI CORPORATE BOND FUND - REGULAR PLAN QUARTERLY IDCW PAYOUT</t>
  </si>
  <si>
    <t>SCBFD566A</t>
  </si>
  <si>
    <t>INF200KA1YV6</t>
  </si>
  <si>
    <t>SCBFD566D</t>
  </si>
  <si>
    <t>INF200KA1YO1</t>
  </si>
  <si>
    <t>SBI CORPORATE BOND FUND - REGULAR PLAN IDCW PAYOUT</t>
  </si>
  <si>
    <t>SCBFD566G</t>
  </si>
  <si>
    <t>INF200KA1YS2</t>
  </si>
  <si>
    <t>SCBFD566P</t>
  </si>
  <si>
    <t>INF200KA1YN3</t>
  </si>
  <si>
    <t>SCBFD566Q</t>
  </si>
  <si>
    <t>INF200KA1YQ6</t>
  </si>
  <si>
    <t>SFDPD</t>
  </si>
  <si>
    <t>INF789FB1RH4</t>
  </si>
  <si>
    <t>UTI ARBITRAGE FUND - DIVIDEND PLAN - IDCW PAYOUT</t>
  </si>
  <si>
    <t>SFDPR</t>
  </si>
  <si>
    <t>INF789FB1RI2</t>
  </si>
  <si>
    <t>UTI ARBITRAGE FUND - DIVIDEND PLAN - IDCW REINVESTMENT</t>
  </si>
  <si>
    <t>SFGPG</t>
  </si>
  <si>
    <t>INF789FB1RJ0</t>
  </si>
  <si>
    <t>UTI ARBITRAGE FUND - GROWTH PLAN</t>
  </si>
  <si>
    <t>SHDPD</t>
  </si>
  <si>
    <t>INF204KB1BF2</t>
  </si>
  <si>
    <t>NIPPON INDIA EQUITY HYBRID FUND DIVIDEND PLAN MONTHLTY IDCW PAYOUT</t>
  </si>
  <si>
    <t>SHDPR</t>
  </si>
  <si>
    <t>INF204KB1BG0</t>
  </si>
  <si>
    <t>NIPPON INDIA EQUITY HYBRID FUND DIVIDEND PLAN MONTHLTY IDCW REINVESTMENT</t>
  </si>
  <si>
    <t>SMMFDG</t>
  </si>
  <si>
    <t>INF200K01UG1</t>
  </si>
  <si>
    <t>SBI FLEXICAP FUND - DIRECT PLAN - GROWTH</t>
  </si>
  <si>
    <t>SPGDG</t>
  </si>
  <si>
    <t>INF247L01AG2</t>
  </si>
  <si>
    <t>MOTILAL OSWAL S&amp;P 500 INDEX FUND DIRECT GROWTH</t>
  </si>
  <si>
    <t>SPGPG</t>
  </si>
  <si>
    <t>INF247L01AH0</t>
  </si>
  <si>
    <t>MOTILAL OSWAL S&amp;P 500 INDEX FUND REGULAR GROWTH</t>
  </si>
  <si>
    <t>STAID</t>
  </si>
  <si>
    <t>INF789FA1Q91</t>
  </si>
  <si>
    <t>UTI SHORT TERM INCOME FUND-REGULAR ANNUAL DIVIDEND PLAN-IDCW PAYOUT</t>
  </si>
  <si>
    <t>STAIR</t>
  </si>
  <si>
    <t>INF789FA1R09</t>
  </si>
  <si>
    <t>UTI SHORT TERM INCOME FUND-REGULAR ANNUAL DIVIDEND PLAN-IDCW REINVESTMENT</t>
  </si>
  <si>
    <t>STD1D</t>
  </si>
  <si>
    <t>INF767K01FL0</t>
  </si>
  <si>
    <t>LIC MF SAVINGS FUND-DIRECT PLAN-DAILY DIVIDEND-IDCW PAYOUT</t>
  </si>
  <si>
    <t>STD1R</t>
  </si>
  <si>
    <t>INF767K01FN6</t>
  </si>
  <si>
    <t>LIC MF SAVINGS FUND-DIRECT PLAN-DAILY IDCW REINVESTMENT</t>
  </si>
  <si>
    <t>STDDD</t>
  </si>
  <si>
    <t>INF767K01AK3</t>
  </si>
  <si>
    <t>LIC MF SAVINGS FUND-REGULAR PLAN-DAILY DIVIDEND-IDCW PAYOUT</t>
  </si>
  <si>
    <t>STG1G</t>
  </si>
  <si>
    <t>INF767K01FM8</t>
  </si>
  <si>
    <t>LIC MF SAVINGS FUND-DIRECT PLAN-GROWTH-GROWTH</t>
  </si>
  <si>
    <t>STIGG</t>
  </si>
  <si>
    <t>INF789F01QA4</t>
  </si>
  <si>
    <t>UTI SHORT TERM INCOME FUND-REGULAR GROWTH</t>
  </si>
  <si>
    <t>STIMD</t>
  </si>
  <si>
    <t>INF789F01QB2</t>
  </si>
  <si>
    <t>UTI SHORT TERM INCOME FUND-REGULAR MONTHLY DIVIDEND PLAN-IDCW PAYOUT</t>
  </si>
  <si>
    <t>STIMR</t>
  </si>
  <si>
    <t>INF789F01QC0</t>
  </si>
  <si>
    <t>UTI SHORT TERM INCOME FUND-REGULAR MONTHLY DIVIDEND PLAN-IDCW REINVESTMENT</t>
  </si>
  <si>
    <t>STOFRPND</t>
  </si>
  <si>
    <t>INF179K01CW2</t>
  </si>
  <si>
    <t>HDFC SHORT TERM DEBT FUND - REGULAR PLAN - FORTNIGHTLY IDCW REINVESTMENT REINVESTMENT</t>
  </si>
  <si>
    <t>STQDR</t>
  </si>
  <si>
    <t>INF789FA1R58</t>
  </si>
  <si>
    <t>UTI SHORT TERM INCOME FUND-REGULAR QUARTERLY DIVIDEND PLAN-IDCW REINVESTMENT</t>
  </si>
  <si>
    <t>STSG</t>
  </si>
  <si>
    <t>INF178L01202</t>
  </si>
  <si>
    <t>KOTAK LOW DURATION FUND GROWTH</t>
  </si>
  <si>
    <t>STSMDP</t>
  </si>
  <si>
    <t>INF178L01210</t>
  </si>
  <si>
    <t>KOTAK LOW DURATION FUND - REGULAR PLAN - STANDARD - IDCW PAYOUT</t>
  </si>
  <si>
    <t>STSMDR</t>
  </si>
  <si>
    <t>INF178L01228</t>
  </si>
  <si>
    <t>TAFA</t>
  </si>
  <si>
    <t>INF277K016Q5</t>
  </si>
  <si>
    <t>TATA ARBITRAGE FUND - REGULAR PLAN - MONTHLY IDCW PAYOUT</t>
  </si>
  <si>
    <t>TAFB</t>
  </si>
  <si>
    <t>INF277K015Q7</t>
  </si>
  <si>
    <t>TATA ARBITRAGE FUND REGULAR PLAN GROWTH</t>
  </si>
  <si>
    <t>TAFCDP</t>
  </si>
  <si>
    <t>INF277K018Q1</t>
  </si>
  <si>
    <t>TATA ARBITRAGE FUND - DIRECT PLAN - MONTHLY IDCW PAYOUT</t>
  </si>
  <si>
    <t>TAFD</t>
  </si>
  <si>
    <t>INF277K017Q3</t>
  </si>
  <si>
    <t>TATA ARBITRAGE FUND DIRECT PLAN GROWTH</t>
  </si>
  <si>
    <t>TATABFD</t>
  </si>
  <si>
    <t>INF277K01DB6</t>
  </si>
  <si>
    <t>TATA HYBRID EQUITY FUND REGULAR PLAN - PERIODIC IDCW PAYOUT</t>
  </si>
  <si>
    <t>INF277K01295</t>
  </si>
  <si>
    <t>TATA HYBRID EQUITY FUND REGULAR PLAN - PERIODIC IDCW REINVESTMENT</t>
  </si>
  <si>
    <t>TATABFG</t>
  </si>
  <si>
    <t>INF277K01303</t>
  </si>
  <si>
    <t>TATA HYBRID EQUITY FUND REGULAR PLAN GROWTH</t>
  </si>
  <si>
    <t>TATABFMD</t>
  </si>
  <si>
    <t>INF277K01CS2</t>
  </si>
  <si>
    <t>TATA HYBRID EQUITY FUND REGULAR PLAN - MONTHLY IDCW PAYOUT</t>
  </si>
  <si>
    <t>INF277K01CW4</t>
  </si>
  <si>
    <t>TATA HYBRID EQUITY FUND REGULAR PLAN - MONTHLY IDCW REINVESTMENT</t>
  </si>
  <si>
    <t>TATABSGZ</t>
  </si>
  <si>
    <t>INF277K01Z10</t>
  </si>
  <si>
    <t>TATA BANKING AND FINANCIAL SERVICES FUND DIRECT PLAN GROWTH</t>
  </si>
  <si>
    <t>TATABSZDP</t>
  </si>
  <si>
    <t>INF277K01Z28</t>
  </si>
  <si>
    <t>TATA BANKING AND FINANCIAL SERVICES FUND DIRECT PLAN IDCW PAYOUT</t>
  </si>
  <si>
    <t>TATADIDZP</t>
  </si>
  <si>
    <t>INF277K01Z85</t>
  </si>
  <si>
    <t>TATA DIGITAL INDIA FUND DIRECT PLAN IDCW PAYOUT</t>
  </si>
  <si>
    <t>TATADIFGZ</t>
  </si>
  <si>
    <t>INF277K01Z77</t>
  </si>
  <si>
    <t>TATA DIGITAL INDIA FUND DIRECT PLAN GROWTH</t>
  </si>
  <si>
    <t>TATAEOD</t>
  </si>
  <si>
    <t>INF277K01DH3</t>
  </si>
  <si>
    <t>TATA LARGE AND MID CAP FUND REGULAR PLAN - IDCW PAYOUT</t>
  </si>
  <si>
    <t>INF277K01410</t>
  </si>
  <si>
    <t>TATA LARGE AND MID CAP FUND REGULAR PLAN - IDCW REINVESTMENT</t>
  </si>
  <si>
    <t>TATAEOG</t>
  </si>
  <si>
    <t>INF277K01428</t>
  </si>
  <si>
    <t>TATA LARGE AND MID CAP FUND REGULAR PLAN GROWTH</t>
  </si>
  <si>
    <t>TATAEP5PZ</t>
  </si>
  <si>
    <t>INF277K01MZ6</t>
  </si>
  <si>
    <t>TATA EQUITY P/E FUND DIRECT PLAN - IDCW TRIGGER A (5%) PAYOUT</t>
  </si>
  <si>
    <t>TATAEPDPZ</t>
  </si>
  <si>
    <t>INF277K01NB5</t>
  </si>
  <si>
    <t>TATA EQUITY P/E FUND DIRECT PLAN - IDCW TRIGGER B (10%) PAYOUT</t>
  </si>
  <si>
    <t>TATAEPE5</t>
  </si>
  <si>
    <t>INF277K01DI1</t>
  </si>
  <si>
    <t>TATA EQUITY P/E FUND REGULAR PLAN - IDCW TRIGGER A (5%) PAYOUT</t>
  </si>
  <si>
    <t>INF277K01436</t>
  </si>
  <si>
    <t>TATA EQUITY P/E FUND REGULAR PLAN - IDCW TRIGGER A (5%) REINVESTMENT</t>
  </si>
  <si>
    <t>TATAEPE5Z</t>
  </si>
  <si>
    <t>INF277K01NA7</t>
  </si>
  <si>
    <t>TATAEPED</t>
  </si>
  <si>
    <t>INF277K01444</t>
  </si>
  <si>
    <t>TATA EQUITY P/E FUND REGULAR PLAN - IDCW TRIGGER B (10%) REINVESTMENT</t>
  </si>
  <si>
    <t>TATAEPEDP</t>
  </si>
  <si>
    <t>INF277K01DJ9</t>
  </si>
  <si>
    <t>TATA EQUITY P/E FUND REGULAR PLAN - IDCW TRIGGER B (10%) PAYOUT</t>
  </si>
  <si>
    <t>TATAEPEDZ</t>
  </si>
  <si>
    <t>INF277K01NC3</t>
  </si>
  <si>
    <t>TATAEPEG</t>
  </si>
  <si>
    <t>INF277K01451</t>
  </si>
  <si>
    <t>TATA EQUITY P/E FUND REGULAR PLAN GROWTH</t>
  </si>
  <si>
    <t>TATAEPEGZ</t>
  </si>
  <si>
    <t>INF277K01ND1</t>
  </si>
  <si>
    <t>TATA EQUITY P/E FUND DIRECT PLAN GROWTH</t>
  </si>
  <si>
    <t>TATAFG1</t>
  </si>
  <si>
    <t>INF277K01MA9</t>
  </si>
  <si>
    <t>TATA TREASURY ADVANTAGE FUND REGULAR PLAN GROWTH</t>
  </si>
  <si>
    <t>TATAFW1</t>
  </si>
  <si>
    <t>INF277K01MB7</t>
  </si>
  <si>
    <t>TATA TREASURY ADVANTAGE FUND REGULAR PLAN - WEEKLY IDCW REINVESTMENT</t>
  </si>
  <si>
    <t>TATAFWP1</t>
  </si>
  <si>
    <t>INF277K01MD3</t>
  </si>
  <si>
    <t>TATA TREASURY ADVANTAGE FUND REGULAR PLAN - WEEKLY IDCW PAYOUT</t>
  </si>
  <si>
    <t>TATAGROD</t>
  </si>
  <si>
    <t>INF277K01DS0</t>
  </si>
  <si>
    <t>TATA MID CAP GROWTH FUND REGULAR PLAN - IDCW PAYOUT</t>
  </si>
  <si>
    <t>INF277K01642</t>
  </si>
  <si>
    <t>TATA MID CAP GROWTH FUND REGULAR PLAN - IDCW REINVESTMENT</t>
  </si>
  <si>
    <t>TATAGROG</t>
  </si>
  <si>
    <t>INF277K01626</t>
  </si>
  <si>
    <t>TATA MID CAP GROWTH FUND REGULAR PLAN GROWTH</t>
  </si>
  <si>
    <t>TATAICDZP</t>
  </si>
  <si>
    <t>INF277K014A4</t>
  </si>
  <si>
    <t>TATA INDIA CONSUMER FUND DIRECT PLAN IDCW PAYOUT</t>
  </si>
  <si>
    <t>TATAICFGZ</t>
  </si>
  <si>
    <t>INF277K013A6</t>
  </si>
  <si>
    <t>TATA INDIA CONSUMER FUND DIRECT PLAN GROWTH</t>
  </si>
  <si>
    <t>TATAINFD</t>
  </si>
  <si>
    <t>INF277K01DY8</t>
  </si>
  <si>
    <t>TATA INFRASTRUCTURE FUND REGULAR PLAN - IDCW PAYOUT</t>
  </si>
  <si>
    <t>INF277K01774</t>
  </si>
  <si>
    <t>TATA INFRASTRUCTURE FUND REGULAR PLAN - IDCW REINVESTMENT</t>
  </si>
  <si>
    <t>TATAINFG</t>
  </si>
  <si>
    <t>INF277K01782</t>
  </si>
  <si>
    <t>TATA INFRASTRUCTURE FUND REGULAR PLAN GROWTH</t>
  </si>
  <si>
    <t>TATAIPDZP</t>
  </si>
  <si>
    <t>INF277K010B0</t>
  </si>
  <si>
    <t>TATA INDIA PHARMA AND HEALTHCARE FUND DIRECT PLAN IDCW PAYOUT</t>
  </si>
  <si>
    <t>TATAIPHGZ</t>
  </si>
  <si>
    <t>INF277K019A3</t>
  </si>
  <si>
    <t>TATA INDIA PHARMA AND HEALTHCARE FUND DIRECT PLAN GROWTH</t>
  </si>
  <si>
    <t>TATAPEF</t>
  </si>
  <si>
    <t>INF277K01931</t>
  </si>
  <si>
    <t>TATA LARGE CAP FUND REGULAR GROWTH</t>
  </si>
  <si>
    <t>TATAPEFD</t>
  </si>
  <si>
    <t>INF277K01EG3</t>
  </si>
  <si>
    <t>TATA LARGE CAP FUND REGULAR IDCW PAYOUT</t>
  </si>
  <si>
    <t>INF277K01923</t>
  </si>
  <si>
    <t>TATA LARGE CAP FUND REGULAR IDCW REINVESTMENT</t>
  </si>
  <si>
    <t>TATASSDPZ</t>
  </si>
  <si>
    <t>INF277K01NE9</t>
  </si>
  <si>
    <t>TATA ETHICAL FUND DIRECT PLAN - IDCW PAYOUT</t>
  </si>
  <si>
    <t>TATASSF</t>
  </si>
  <si>
    <t>INF277K01956</t>
  </si>
  <si>
    <t>TATA ETHICAL FUND REGULAR PLAN GROWTH</t>
  </si>
  <si>
    <t>TATASSFD</t>
  </si>
  <si>
    <t>INF277K01EH1</t>
  </si>
  <si>
    <t>TATA ETHICAL FUND REGULAR PLAN - IDCW PAYOUT</t>
  </si>
  <si>
    <t>INF277K01949</t>
  </si>
  <si>
    <t>TATA ETHICAL FUND REGULAR PLAN - IDCW REINVESTMENT</t>
  </si>
  <si>
    <t>TATASSFDZ</t>
  </si>
  <si>
    <t>INF277K01NF6</t>
  </si>
  <si>
    <t>TATASSFZ</t>
  </si>
  <si>
    <t>INF277K01NG4</t>
  </si>
  <si>
    <t>TATA ETHICAL FUND DIRECT PLAN GROWTH</t>
  </si>
  <si>
    <t>TATASTD</t>
  </si>
  <si>
    <t>INF277K01EI9</t>
  </si>
  <si>
    <t>TATA SHORT TERM BOND FUND REGULAR PLAN - MONTHLY IDCW PAYOUT</t>
  </si>
  <si>
    <t>INF277K01964</t>
  </si>
  <si>
    <t>TATA SHORT TERM BOND FUND REGULAR PLAN - MONTHLY IDCW REINVESTMENT</t>
  </si>
  <si>
    <t>TATASTG</t>
  </si>
  <si>
    <t>INF277K01972</t>
  </si>
  <si>
    <t>TATA SHORT TERM BOND FUND REGULAR PLAN GROWTH</t>
  </si>
  <si>
    <t>TBAFA</t>
  </si>
  <si>
    <t>INF277K012S0</t>
  </si>
  <si>
    <t>TATA BALANCED ADVANTAGE FUND - REGULAR PLAN - IDCW PAYOUT</t>
  </si>
  <si>
    <t>TBAFB</t>
  </si>
  <si>
    <t>INF277K010S4</t>
  </si>
  <si>
    <t>TATA BALANCED ADVANTAGE FUND REGULAR PLAN GROWTH</t>
  </si>
  <si>
    <t>TBAFC</t>
  </si>
  <si>
    <t>INF277K015S3</t>
  </si>
  <si>
    <t>TATA BALANCED ADVANTAGE FUND - DIRECT PLAN - IDCW PAYOUT</t>
  </si>
  <si>
    <t>TBAFD</t>
  </si>
  <si>
    <t>INF277K013S8</t>
  </si>
  <si>
    <t>TATA BALANCED ADVANTAGE FUND DIRECT PLAN GROWTH</t>
  </si>
  <si>
    <t>TBSDP</t>
  </si>
  <si>
    <t>INF277K01Y94</t>
  </si>
  <si>
    <t>TATA BANKING AND FINANCIAL SERVICES FUND REGULAR PLAN IDCW PAYOUT</t>
  </si>
  <si>
    <t>TBSG</t>
  </si>
  <si>
    <t>INF277K01Y86</t>
  </si>
  <si>
    <t>TATA BANKING AND FINANCIAL SERVICES FUND REGULAR PLAN GROWTH</t>
  </si>
  <si>
    <t>TDIFDP</t>
  </si>
  <si>
    <t>INF277K01Z51</t>
  </si>
  <si>
    <t>TATA DIGITAL INDIA FUND REGULAR PLAN IDCW PAYOUT</t>
  </si>
  <si>
    <t>TDIFG</t>
  </si>
  <si>
    <t>INF277K01Z44</t>
  </si>
  <si>
    <t>TATA DIGITAL INDIA FUND REGULAR PLAN GROWTH</t>
  </si>
  <si>
    <t>TEGFD</t>
  </si>
  <si>
    <t>INF277K01MN2</t>
  </si>
  <si>
    <t>TATA HYBRID EQUITY FUND DIRECT PLAN GROWTH</t>
  </si>
  <si>
    <t>TEGFE</t>
  </si>
  <si>
    <t>INF277K01ML6</t>
  </si>
  <si>
    <t>TATA HYBRID EQUITY FUND DIRECT PLAN - PERIODIC IDCW PAYOUT</t>
  </si>
  <si>
    <t>INF277K01MM4</t>
  </si>
  <si>
    <t>TEGFF</t>
  </si>
  <si>
    <t>INF277K01MO0</t>
  </si>
  <si>
    <t>TATA HYBRID EQUITY FUND DIRECT PLAN - MONTHLY IDCW PAYOUT</t>
  </si>
  <si>
    <t>INF277K01MP7</t>
  </si>
  <si>
    <t>TEOF</t>
  </si>
  <si>
    <t>INF277K01MI2</t>
  </si>
  <si>
    <t>TATA LARGE AND MID CAP FUND DIRECT PLAN - IDCW PAYOUT</t>
  </si>
  <si>
    <t>INF277K01MK8</t>
  </si>
  <si>
    <t>TATA LARGE AND MID CAP FUND DIRECT PLAN GROWTH</t>
  </si>
  <si>
    <t>INF277K01MJ0</t>
  </si>
  <si>
    <t>TFEFADR</t>
  </si>
  <si>
    <t>INF277K011Y0</t>
  </si>
  <si>
    <t>TATA FOCUSED EQUITY FUND - REGULAR PLAN - IDCW PAYOUT</t>
  </si>
  <si>
    <t>TFEFB</t>
  </si>
  <si>
    <t>INF277K010Y2</t>
  </si>
  <si>
    <t>TATA FOCUSED EQUITY FUND REGULAR PLAN GROWTH</t>
  </si>
  <si>
    <t>TFEFCDR</t>
  </si>
  <si>
    <t>INF277K018X7</t>
  </si>
  <si>
    <t>TATA FOCUSED EQUITY FUND - DIRECT PLAN - IDCW PAYOUT</t>
  </si>
  <si>
    <t>TFF</t>
  </si>
  <si>
    <t>INF277K01OK4</t>
  </si>
  <si>
    <t>TATA TREASURY ADVANTAGE FUND DIRECT PLAN GROWTH</t>
  </si>
  <si>
    <t>TFRFD</t>
  </si>
  <si>
    <t>INF277KA1091</t>
  </si>
  <si>
    <t>TATA FLOATING RATE FUND-REGULAR PLAN-GROWTH</t>
  </si>
  <si>
    <t>TFRFH</t>
  </si>
  <si>
    <t>INF277KA1026</t>
  </si>
  <si>
    <t>TATA FLOATING RATE FUND-DIRECT PLAN-GROWTH</t>
  </si>
  <si>
    <t>TICFDP</t>
  </si>
  <si>
    <t>INF277K011A0</t>
  </si>
  <si>
    <t>TATA INDIA CONSUMER FUND REGULAR PLAN IDCW PAYOUT</t>
  </si>
  <si>
    <t>TICFG</t>
  </si>
  <si>
    <t>INF277K010A2</t>
  </si>
  <si>
    <t>TATA INDIA CONSUMER FUND REGULAR PLAN GROWTH</t>
  </si>
  <si>
    <t>TIEIFDDP</t>
  </si>
  <si>
    <t>INF090I01IR2</t>
  </si>
  <si>
    <t>TEMPLETON INDIA EQUITY INCOME FUND - DIRECT IDCW PAYOUT</t>
  </si>
  <si>
    <t>TIEIFDDR</t>
  </si>
  <si>
    <t>INF090I01IS0</t>
  </si>
  <si>
    <t>TIEIFDGP</t>
  </si>
  <si>
    <t>INF090I01IT8</t>
  </si>
  <si>
    <t>TEMPLETON INDIA EQUITY INCOME FUND - DIRECT GROWTH</t>
  </si>
  <si>
    <t>TIEIFDP</t>
  </si>
  <si>
    <t>INF090I01932</t>
  </si>
  <si>
    <t>TEMPLETON INDIA EQUITY INCOME FUND-IDCW PAYOUT</t>
  </si>
  <si>
    <t>TIEIFDR</t>
  </si>
  <si>
    <t>INF090I01940</t>
  </si>
  <si>
    <t>TIEIFGP</t>
  </si>
  <si>
    <t>INF090I01957</t>
  </si>
  <si>
    <t>TEMPLETON INDIA EQUITY INCOME FUND-GROWTH</t>
  </si>
  <si>
    <t>TIIBAADGP</t>
  </si>
  <si>
    <t>INF090I01FW8</t>
  </si>
  <si>
    <t>FRANKLIN INDIA CORPORATE DEBT FUND- PLAN A - DIRECT GROWTH</t>
  </si>
  <si>
    <t>TIIBAADP</t>
  </si>
  <si>
    <t>INF090I01DH4</t>
  </si>
  <si>
    <t>FRANKLIN INDIA CORPORATE DEBT FUND- PLAN A - ANNUAL IDCW PAYOUT</t>
  </si>
  <si>
    <t>TIIBAADR</t>
  </si>
  <si>
    <t>INF090I01DI2</t>
  </si>
  <si>
    <t>TIIBAAGP</t>
  </si>
  <si>
    <t>INF090I01DG6</t>
  </si>
  <si>
    <t>FRANKLIN INDIA CORPORATE DEBT FUND- PLAN A - GROWTH</t>
  </si>
  <si>
    <t>TIIBAAMDP</t>
  </si>
  <si>
    <t>INF090I01DJ0</t>
  </si>
  <si>
    <t>FRANKLIN INDIA CORPORATE DEBT FUND- PLAN A - MONTHLY IDCW PAYOUT</t>
  </si>
  <si>
    <t>TIIBAAMDR</t>
  </si>
  <si>
    <t>INF090I01DK8</t>
  </si>
  <si>
    <t>TIIBAAQDP</t>
  </si>
  <si>
    <t>INF090I01DL6</t>
  </si>
  <si>
    <t>FRANKLIN INDIA CORPORATE DEBT FUND- PLAN A - QUARTERLY IDCW PAYOUT</t>
  </si>
  <si>
    <t>TIIBAAQDR</t>
  </si>
  <si>
    <t>INF090I01DM4</t>
  </si>
  <si>
    <t>TINR</t>
  </si>
  <si>
    <t>INF277K01PW6</t>
  </si>
  <si>
    <t>TATA MID CAP GROWTH FUND DIRECT PLAN - IDCW PAYOUT</t>
  </si>
  <si>
    <t>INF277K01PX4</t>
  </si>
  <si>
    <t>TIPHDP</t>
  </si>
  <si>
    <t>INF277K017A7</t>
  </si>
  <si>
    <t>TATA INDIA PHARMA AND HEALTHCARE FUND REGULAR PLAN IDCW PAYOUT</t>
  </si>
  <si>
    <t>TIPHG</t>
  </si>
  <si>
    <t>INF277K016A9</t>
  </si>
  <si>
    <t>TATA INDIA PHARMA AND HEALTHCARE FUND REGULAR PLAN GROWTH</t>
  </si>
  <si>
    <t>TISF</t>
  </si>
  <si>
    <t>INF277K01PQ8</t>
  </si>
  <si>
    <t>TATA INFRASTRUCTURE FUND DIRECT PLAN GROWTH</t>
  </si>
  <si>
    <t>INF277K01PO3</t>
  </si>
  <si>
    <t>TATA INFRASTRUCTURE FUND DIRECT PLAN - IDCW PAYOUT</t>
  </si>
  <si>
    <t>INF277K01PP0</t>
  </si>
  <si>
    <t>TMAOFADR</t>
  </si>
  <si>
    <t>INF277K013Z3</t>
  </si>
  <si>
    <t>TATA MULTI ASSET OPPORTUNITIES FUND - REGULAR PLAN - IDCW PAYOUT</t>
  </si>
  <si>
    <t>TMAOFB</t>
  </si>
  <si>
    <t>INF277K012Z5</t>
  </si>
  <si>
    <t>TATA MULTI ASSET OPPORTUNITIES FUND REGULAR PLAN GROWTH</t>
  </si>
  <si>
    <t>TMAOFD</t>
  </si>
  <si>
    <t>INF277K019Y3</t>
  </si>
  <si>
    <t>TATA MULTI ASSET OPPORTUNITIES FUND DIRECT PLAN GROWTH</t>
  </si>
  <si>
    <t>TMCAPFA</t>
  </si>
  <si>
    <t>INF277K011L7</t>
  </si>
  <si>
    <t>TATA FLEXI CAP FUND - REGULAR PLAN - IDCW PAYOUT</t>
  </si>
  <si>
    <t>TMCAPFB</t>
  </si>
  <si>
    <t>INF277K019K2</t>
  </si>
  <si>
    <t>TATA FLEXI CAP FUND - REGULAR PLAN - GROWTH</t>
  </si>
  <si>
    <t>TMCAPFC</t>
  </si>
  <si>
    <t>INF277K017K6</t>
  </si>
  <si>
    <t>TATA FLEXI CAP FUND - DIRECT PLAN - IDCW PAYOUT</t>
  </si>
  <si>
    <t>TMCAPFD</t>
  </si>
  <si>
    <t>INF277K015K0</t>
  </si>
  <si>
    <t>TATA FLEXI CAP FUND - DIRECT PLAN - GROWTH OPTION</t>
  </si>
  <si>
    <t>TRSFM</t>
  </si>
  <si>
    <t>INF277K01FH8</t>
  </si>
  <si>
    <t>TATA RETIREMENT SAVINGS FUND - MODERATE PLAN - GROWTH</t>
  </si>
  <si>
    <t>TRSFMB</t>
  </si>
  <si>
    <t>INF277K01QN3</t>
  </si>
  <si>
    <t>TATA RETIREMENT SAVINGS FUND - MODERATE DIRECT PLAN - GROWTH</t>
  </si>
  <si>
    <t>TRSFP</t>
  </si>
  <si>
    <t>INF277K01FG0</t>
  </si>
  <si>
    <t>TATA RETIREMENT SAVINGS FUND - PROGRESSIVE PLAN - GROWTH</t>
  </si>
  <si>
    <t>TSCAPFA</t>
  </si>
  <si>
    <t>INF277K016O0</t>
  </si>
  <si>
    <t>TATA SMALL CAP FUND - REGULAR PLAN - IDCW PAYOUT</t>
  </si>
  <si>
    <t>TSCAPFB</t>
  </si>
  <si>
    <t>INF277K015O2</t>
  </si>
  <si>
    <t>TATA SMALL CAP FUND REGULAR PLAN GROWTH</t>
  </si>
  <si>
    <t>TSCAPFD</t>
  </si>
  <si>
    <t>INF277K011O1</t>
  </si>
  <si>
    <t>TATA SMALL CAP FUND DIRECT PLAN GROWTH</t>
  </si>
  <si>
    <t>TSTBF</t>
  </si>
  <si>
    <t>INF277K01QR4</t>
  </si>
  <si>
    <t>TATA SHORT TERM BOND FUND DIRECT PLAN GROWTH</t>
  </si>
  <si>
    <t>TSTBFE</t>
  </si>
  <si>
    <t>INF277K01P12</t>
  </si>
  <si>
    <t>TATA SHORT TERM BOND FUND REGULAR PLAN - PERIODIC IDCW PAYOUT</t>
  </si>
  <si>
    <t>INF277K01P20</t>
  </si>
  <si>
    <t>TSTBFF</t>
  </si>
  <si>
    <t>INF277K01P38</t>
  </si>
  <si>
    <t>TATA SHORT TERM BOND FUND DIRECT PLAN PERIODIC IDCW PAYOUT</t>
  </si>
  <si>
    <t>INF277K01P46</t>
  </si>
  <si>
    <t>TTOFE</t>
  </si>
  <si>
    <t>INF277K01QX2</t>
  </si>
  <si>
    <t>TATA LARGE CAP FUND DIRECT PLAN IDCW PAYOUT</t>
  </si>
  <si>
    <t>INF277K01QZ7</t>
  </si>
  <si>
    <t>TATA LARGE CAP FUND DIRECT PLAN GROWTH</t>
  </si>
  <si>
    <t>INF277K01QY0</t>
  </si>
  <si>
    <t>TUSTFC</t>
  </si>
  <si>
    <t>INF277K016S1</t>
  </si>
  <si>
    <t>TATA ULTRA SHORT TERM FUND REGULAR PLAN GROWTH</t>
  </si>
  <si>
    <t>TUSTFF</t>
  </si>
  <si>
    <t>INF277K011T0</t>
  </si>
  <si>
    <t>TATA ULTRA SHORT TERM FUND DIRECT PLAN GROWTH</t>
  </si>
  <si>
    <t>UNEFDP</t>
  </si>
  <si>
    <t>INF582M01120</t>
  </si>
  <si>
    <t>UNION FLEXICAP FUND - IDCW PAYOUT</t>
  </si>
  <si>
    <t>UNEFDR</t>
  </si>
  <si>
    <t>INF582M01112</t>
  </si>
  <si>
    <t>UNION FLEXICAP FUND - IDCW REINVESTMENT</t>
  </si>
  <si>
    <t>UNEFGD</t>
  </si>
  <si>
    <t>INF582M01633</t>
  </si>
  <si>
    <t>UNION FLEXICAP FUND - GROWTH-DIRECT PLAN</t>
  </si>
  <si>
    <t>UNEFGR</t>
  </si>
  <si>
    <t>INF582M01104</t>
  </si>
  <si>
    <t>UNION FLEXICAP FUND - GROWTH</t>
  </si>
  <si>
    <t>UNHEDG</t>
  </si>
  <si>
    <t>INF582M01GY0</t>
  </si>
  <si>
    <t>UNION HYBRID EQUITY FUND - DIRECT PLAN - GROWTH</t>
  </si>
  <si>
    <t>UNHERDP</t>
  </si>
  <si>
    <t>INF582M01HE0</t>
  </si>
  <si>
    <t>UNION HYBRID EQUITY FUND - REGULAR PLAN - IDCW PAYOUT</t>
  </si>
  <si>
    <t>UNHERDR</t>
  </si>
  <si>
    <t>INF582M01HD2</t>
  </si>
  <si>
    <t>UNION HYBRID EQUITY FUND - REGULAR PLAN - IDCW REINVESTMENT</t>
  </si>
  <si>
    <t>UNHERG</t>
  </si>
  <si>
    <t>INF582M01HC4</t>
  </si>
  <si>
    <t>UNION HYBRID EQUITY FUND - REGULAR PLAN - GROWTH</t>
  </si>
  <si>
    <t>UNPFG</t>
  </si>
  <si>
    <t>INF582M01DI0</t>
  </si>
  <si>
    <t>UNION BALANCED ADVANTAGE FUND REGULAR PLAN - GROWTH</t>
  </si>
  <si>
    <t>UNPFGD</t>
  </si>
  <si>
    <t>INF582M01DE9</t>
  </si>
  <si>
    <t>UNION BALANCED ADVANTAGE FUND DIRECT PLAN - GROWTH</t>
  </si>
  <si>
    <t>UNPFP</t>
  </si>
  <si>
    <t>INF582M01DK6</t>
  </si>
  <si>
    <t>UNION BALANCED ADVANTAGE FUND REGULAR PLAN - IDCW PAYOUT</t>
  </si>
  <si>
    <t>UNPFR</t>
  </si>
  <si>
    <t>INF582M01DJ8</t>
  </si>
  <si>
    <t>UNION BALANCED ADVANTAGE FUND REG PLAN - IDCW REINVESTMENT</t>
  </si>
  <si>
    <t>UNSMFG</t>
  </si>
  <si>
    <t>INF582M01BY1</t>
  </si>
  <si>
    <t>UNION SMALL CAP FUND REGULAR PLAN - GROWTH</t>
  </si>
  <si>
    <t>UNSMFGD</t>
  </si>
  <si>
    <t>INF582M01BU9</t>
  </si>
  <si>
    <t>UNION SMALL CAP FUND DIRECT PLAN-GROWTH</t>
  </si>
  <si>
    <t>UNSMFP</t>
  </si>
  <si>
    <t>INF582M01CA9</t>
  </si>
  <si>
    <t>UNION SMALL CAP FUND REGULAR PLAN-IDCW PAYOUT</t>
  </si>
  <si>
    <t>UNSMFR</t>
  </si>
  <si>
    <t>INF582M01BZ8</t>
  </si>
  <si>
    <t>UNION SMALL CAP FUND REGULAR PLAN-IDCW REINVESTMENT</t>
  </si>
  <si>
    <t>UTIBALANCE</t>
  </si>
  <si>
    <t>INF789F01323</t>
  </si>
  <si>
    <t>UTI HYBRID EQUITY FUND - GROWTH PLAN</t>
  </si>
  <si>
    <t>INF789F01307</t>
  </si>
  <si>
    <t>UTI HYBRID EQUITY FUND - IDCW PAYOUT PLAN</t>
  </si>
  <si>
    <t>INF789F01315</t>
  </si>
  <si>
    <t>UTI HYBRID EQUITY FUND - IDCW REINVESTMENT PLAN</t>
  </si>
  <si>
    <t>UTIBANKING</t>
  </si>
  <si>
    <t>INF789F01372</t>
  </si>
  <si>
    <t>UTI BANKING AND FINANCIAL SERVICES FUND - GROWTH PLAN</t>
  </si>
  <si>
    <t>INF789F01364</t>
  </si>
  <si>
    <t>UTI BANKING AND FINANCIAL SERVICES FUND - IDCW REINVESTMENT PLAN</t>
  </si>
  <si>
    <t>UTIDYF</t>
  </si>
  <si>
    <t>INF789F01448</t>
  </si>
  <si>
    <t>UTI DIVIDEND YIELD FUND - IDCW PAYOUT OPTION</t>
  </si>
  <si>
    <t>INF789F01463</t>
  </si>
  <si>
    <t>UTI DIVIDEND YIELD FUND - GROWTH OPTION</t>
  </si>
  <si>
    <t>INF789F01455</t>
  </si>
  <si>
    <t>UTI DIVIDEND YIELD FUND - IDCW REINVESTMENT OPTION</t>
  </si>
  <si>
    <t>UTIEQUITY</t>
  </si>
  <si>
    <t>INF189A01053</t>
  </si>
  <si>
    <t>UTI FLEXI CAP FUND-REGULAR PLAN-IDCW PAYOUT</t>
  </si>
  <si>
    <t>INF789F01513</t>
  </si>
  <si>
    <t>UTI FLEXI CAP FUND-REGULAR PLAN-GROWTH</t>
  </si>
  <si>
    <t>INF789F01505</t>
  </si>
  <si>
    <t>UTI FLEXI CAP FUND-REGULAR PLAN-IDCW REINVESTMENT</t>
  </si>
  <si>
    <t>UTIFLOTNG</t>
  </si>
  <si>
    <t>INF789F01570</t>
  </si>
  <si>
    <t>UTI ULTRA SHORT TERM FUND - GROWTH OPTION</t>
  </si>
  <si>
    <t>UTIFLOTNGD</t>
  </si>
  <si>
    <t>INF789F01554</t>
  </si>
  <si>
    <t>UTI ULTRA SHORT TERM FUND - DAILY IDCW REINVESTMENT PLAN</t>
  </si>
  <si>
    <t>UTIFLOTNGW</t>
  </si>
  <si>
    <t>INF789F01562</t>
  </si>
  <si>
    <t>UTI ULTRA SHORT TERM FUND - WEEKLY IDCW REINVESTMENT OPTION</t>
  </si>
  <si>
    <t>UTIINFRA</t>
  </si>
  <si>
    <t>INF789F01752</t>
  </si>
  <si>
    <t>UTI INFRASTRUCTURE FUND - GROWTH PLAN</t>
  </si>
  <si>
    <t>INF789F01737</t>
  </si>
  <si>
    <t>UTI INFRASTRUCTURE FUND - IDCW PAYOUT PLAN</t>
  </si>
  <si>
    <t>INF789F01745</t>
  </si>
  <si>
    <t>UTI INFRASTRUCTURE FUND - IDCW REINVESTMENT PLAN</t>
  </si>
  <si>
    <t>UTIMIDCAP</t>
  </si>
  <si>
    <t>INF789F01794</t>
  </si>
  <si>
    <t>UTI MID CAP FUND - IDCW PAYOUT PLAN</t>
  </si>
  <si>
    <t>INF789F01810</t>
  </si>
  <si>
    <t>UTI MID CAP FUND - GROWTH PLAN</t>
  </si>
  <si>
    <t>INF789F01802</t>
  </si>
  <si>
    <t>UTI MID CAP FUND - IDCW REINVESTMENT PLAN</t>
  </si>
  <si>
    <t>UTIMISADV</t>
  </si>
  <si>
    <t>INF789F01877</t>
  </si>
  <si>
    <t>UTI REGULAR SAVINGS FUND - FLEXI IDCW PAYOUT</t>
  </si>
  <si>
    <t>INF789F01893</t>
  </si>
  <si>
    <t>UTI REGULAR SAVINGS FUND - GROWTH PLAN</t>
  </si>
  <si>
    <t>INF789F01885</t>
  </si>
  <si>
    <t>UTI REGULAR SAVINGS FUND - FLEXI IDCW- REINVESTMENT</t>
  </si>
  <si>
    <t>UTIMISADVM</t>
  </si>
  <si>
    <t>INF789F01901</t>
  </si>
  <si>
    <t>UTI REGULAR SAVINGS FUND - MONTHLY IDCW PAYOUT</t>
  </si>
  <si>
    <t>INF789F01919</t>
  </si>
  <si>
    <t>UTI REGULAR SAVINGS FUND - MONTHLY IDCW- REINVESTMENT</t>
  </si>
  <si>
    <t>UTIMISADVP</t>
  </si>
  <si>
    <t>INF789F01927</t>
  </si>
  <si>
    <t>UTI REGULAR SAVINGS FUND-REGULAR MONTHLY PAYMENT PLAN-IDCW PAYOUT</t>
  </si>
  <si>
    <t>UTIMNC</t>
  </si>
  <si>
    <t>INF789F01828</t>
  </si>
  <si>
    <t>UTI MNC FUND - IDCW PAYOUT PLAN</t>
  </si>
  <si>
    <t>INF789F01844</t>
  </si>
  <si>
    <t>UTI MNC FUND - GROWTH PLAN</t>
  </si>
  <si>
    <t>INF789F01836</t>
  </si>
  <si>
    <t>UTI MNC FUND - IDCW REINVESTMENT PLAN</t>
  </si>
  <si>
    <t>UTIMSHARE</t>
  </si>
  <si>
    <t>INF189A01038</t>
  </si>
  <si>
    <t>UTI MASTERSHARE UNIT SCHEME - IDCW PAYOUT PLAN</t>
  </si>
  <si>
    <t>INF789F01976</t>
  </si>
  <si>
    <t>UTI MASTERSHARE UNIT SCHEME - GROWTH PLAN</t>
  </si>
  <si>
    <t>INF789F01950</t>
  </si>
  <si>
    <t>UTI MASTERSHARE UNIT SCHEME - IDCW REINVESTMENT PLAN</t>
  </si>
  <si>
    <t>UTIOPRTUNE</t>
  </si>
  <si>
    <t>INF789F01AE0</t>
  </si>
  <si>
    <t>UTI VALUE OPPORTUNITIES FUND - IDCW PAYOUT PLAN</t>
  </si>
  <si>
    <t>INF789F01AG5</t>
  </si>
  <si>
    <t>UTI VALUE OPPORTUNITIES FUND - GROWTH PLAN</t>
  </si>
  <si>
    <t>INF789F01AF7</t>
  </si>
  <si>
    <t>UTI VALUE OPPORTUNITIES FUND - IDCW REINVESTMENT PLAN</t>
  </si>
  <si>
    <t>UTIPHARMA</t>
  </si>
  <si>
    <t>INF789F01679</t>
  </si>
  <si>
    <t>UTI HEALTHCARE FUND - IDCW PAYOUT PLAN</t>
  </si>
  <si>
    <t>INF789F01695</t>
  </si>
  <si>
    <t>UTI HEALTHCARE FUND - GROWTH PLAN</t>
  </si>
  <si>
    <t>INF789F01687</t>
  </si>
  <si>
    <t>UTI HEALTHCARE FUND - IDCW REINVESTMENT PLAN</t>
  </si>
  <si>
    <t>UTISTINCME</t>
  </si>
  <si>
    <t>INF789F01AH3</t>
  </si>
  <si>
    <t>UTI SHORT TERM INCOME FUND-DISCONTINUED REGULAR QUARTERLY IDCW PAYOUT</t>
  </si>
  <si>
    <t>INF789F01AJ9</t>
  </si>
  <si>
    <t>UTI SHORT TERM INCOME FUND-DISCONTINUED REGULAR REGULAR GROWTH</t>
  </si>
  <si>
    <t>INF789F01AI1</t>
  </si>
  <si>
    <t>UTI SHORT TERM INCOME FUND-DISCONTINUED REGULAR QUARTERLY IDCW REINVESTMENT</t>
  </si>
  <si>
    <t>UTITOP100</t>
  </si>
  <si>
    <t>INF189A01046</t>
  </si>
  <si>
    <t>UTI CORE EQUITY FUND - IDCW PAYOUT PLAN</t>
  </si>
  <si>
    <t>INF789F01869</t>
  </si>
  <si>
    <t>UTI CORE EQUITY FUND - GROWTH PLAN</t>
  </si>
  <si>
    <t>INF789F01851</t>
  </si>
  <si>
    <t>UTI CORE EQUITY FUND - IDCW REINVESTMENT PLAN</t>
  </si>
  <si>
    <t>UTITRESADV</t>
  </si>
  <si>
    <t>INF789F01356</t>
  </si>
  <si>
    <t>UTI BANKING AND FINANCIAL SERVICES FUND - IDCW PAYOUT PLAN</t>
  </si>
  <si>
    <t>INF789F01331</t>
  </si>
  <si>
    <t>UTI TREASURY ADVANTAGE FUND-DISCONTINUED - REGULAR GROWTH</t>
  </si>
  <si>
    <t>INF789F01349</t>
  </si>
  <si>
    <t>UTI TREASURY ADVANTAGE FUND-DISCONTINUED - PERIODIC IDCW REINVESTMENT</t>
  </si>
  <si>
    <t>UTITRNSPRT</t>
  </si>
  <si>
    <t>INF789F01273</t>
  </si>
  <si>
    <t>UTI TRANSPORTATION AND LOGISTIC SECTOR - IDCW PAYOUT PLAN</t>
  </si>
  <si>
    <t>INF789F01299</t>
  </si>
  <si>
    <t>UTI TRANSPORTATION AND LOGISTIC SECTOR - GROWTH PLAN</t>
  </si>
  <si>
    <t>INF789F01281</t>
  </si>
  <si>
    <t>UTI TRANSPORTATION AND LOGISTIC SECTOR - IDCW REINVESTMENT PLAN</t>
  </si>
  <si>
    <t>UTIWBF_II</t>
  </si>
  <si>
    <t>INF789F01AP6</t>
  </si>
  <si>
    <t>UTI MULTI ASSET FUND - GROWTH PLAN</t>
  </si>
  <si>
    <t>INF789F01AN1</t>
  </si>
  <si>
    <t>UTI MULTI ASSET FUND - IDCW PAYOUT PLAN</t>
  </si>
  <si>
    <t>INF789F01AO9</t>
  </si>
  <si>
    <t>UTI MULTI ASSET FUND - IDCW REINVESTMENT PLAN</t>
  </si>
  <si>
    <t>UTMSHARE</t>
  </si>
  <si>
    <t>INF789F01US8</t>
  </si>
  <si>
    <t>UTI MASTERSHARE UNIT SCHEME-DIRECT GROWTH PLAN-GROWTH</t>
  </si>
  <si>
    <t>Notes</t>
  </si>
  <si>
    <t xml:space="preserve">1) Haircut as applicable subject to a minimum of VaR+ELM+Adhoc
</t>
  </si>
  <si>
    <t>2) The clearing corporation has set a certain limit on the number of shares/units that can be pledged per security through a broker. If the broker limit is reached, you will not be able to further pledge such securities for margin.</t>
  </si>
  <si>
    <t>3) For stocks pledged before 5pm, collateral margin will be available on T+1 day.</t>
  </si>
  <si>
    <t>4) The collateral margin received by pledging cash component securities can be used fully towards any margin requirement for your open positions. You will not be required to maintain cash separately if the collateral from cash component securities covers the margin requirement.</t>
  </si>
  <si>
    <r>
      <rPr>
        <rFont val="Ubuntu"/>
        <sz val="10.0"/>
      </rPr>
      <t xml:space="preserve">5) The collateral margin received by pledging non-cash component securities can be used only up to 50% of the margin requirement for your open positions. The exchange stipulates for the remaining 50% margin to come in the form of cash or cash equivalent collateral. Any additional utilisation of the non-cash collateral, over and above 50% of the margin requirement will be liable to </t>
    </r>
    <r>
      <rPr>
        <rFont val="Ubuntu"/>
        <color rgb="FF1155CC"/>
        <sz val="10.0"/>
        <u/>
      </rPr>
      <t>delayed payment charges</t>
    </r>
    <r>
      <rPr>
        <rFont val="Ubuntu"/>
        <sz val="10.0"/>
      </rPr>
      <t xml:space="preserve">. </t>
    </r>
  </si>
  <si>
    <t xml:space="preserve">6) Cost of pledge: Rs.30 + GST per scrip irrespective of quantity of stock pledged. </t>
  </si>
  <si>
    <t>7) For all unpledge requests placed before 2 pm, stock will be available in demat account for trading on T+1 day.</t>
  </si>
  <si>
    <t>Disclaimer</t>
  </si>
  <si>
    <t>The broker limit is indicative in nature. Raising a pledge request for a stock does not guarantee that the pledge will be accepted.</t>
  </si>
  <si>
    <t>INE889E01010</t>
  </si>
  <si>
    <t>INE334A01023</t>
  </si>
  <si>
    <t>INE071E01023</t>
  </si>
  <si>
    <t>INF209K01HT2</t>
  </si>
  <si>
    <t>INF082J01010</t>
  </si>
  <si>
    <t>INF204KB1882</t>
  </si>
  <si>
    <t>List of ETFs that can be pledged</t>
  </si>
  <si>
    <t>GILT5YBEES</t>
  </si>
  <si>
    <t>INF204KC1030</t>
  </si>
  <si>
    <t>ICICILIQ</t>
  </si>
  <si>
    <t>INF109KC1KT9</t>
  </si>
  <si>
    <t>LICNETFGSC</t>
  </si>
  <si>
    <t>INF767K01MV5</t>
  </si>
  <si>
    <t>LIQUIDBEES</t>
  </si>
  <si>
    <t>INF732E01037</t>
  </si>
  <si>
    <t>LIQUIDETF</t>
  </si>
  <si>
    <t>INF740KA1EU7</t>
  </si>
  <si>
    <t>LTGILTBEES</t>
  </si>
  <si>
    <t>MOGSEC</t>
  </si>
  <si>
    <t>INF247L01AK4</t>
  </si>
  <si>
    <t>SETF10GILT</t>
  </si>
  <si>
    <t>INF200KA1JT1</t>
  </si>
  <si>
    <t>ICICI5GSEC</t>
  </si>
  <si>
    <t>INF109KC14A8</t>
  </si>
  <si>
    <t>Mutual funds</t>
  </si>
  <si>
    <t>CPD1R</t>
  </si>
  <si>
    <t>INF789F01XP8</t>
  </si>
  <si>
    <t>UTI LIQUID CASH PLAN-DIRECT DAILY DIVIDEND PLAN-IDCW REINVESTMENT</t>
  </si>
  <si>
    <t>CPD2G</t>
  </si>
  <si>
    <t>INF789F01XQ6</t>
  </si>
  <si>
    <t>UTI LIQUID CASH PLAN-DIRECT GROWTH</t>
  </si>
  <si>
    <t>CPD6D</t>
  </si>
  <si>
    <t>INF789FA1K22</t>
  </si>
  <si>
    <t>UTI LIQUID CASH PLAN-DIRECT QUARTERLY DIVIDEND PLAN-IDCW PAYOUT</t>
  </si>
  <si>
    <t>CPD6R</t>
  </si>
  <si>
    <t>INF789FA1K30</t>
  </si>
  <si>
    <t>UTI LIQUID CASH PLAN-DIRECT QUARTERLY DIVIDEND PLAN-IDCW REINVESTMENT</t>
  </si>
  <si>
    <t>CPFTD</t>
  </si>
  <si>
    <t>INF789FA1J09</t>
  </si>
  <si>
    <t>UTI LIQUID CASH PLAN-REGULAR FORTNIGHTLY DIVIDEND PLAN-IDCW PAYOUT</t>
  </si>
  <si>
    <t>CPFTR</t>
  </si>
  <si>
    <t>INF789FA1J17</t>
  </si>
  <si>
    <t>UTI LIQUID CASH PLAN-REGULAR FORTNIGHTLY DIVIDEND PLAN-IDCW REINVESTMENT</t>
  </si>
  <si>
    <t>IPRU8093</t>
  </si>
  <si>
    <t>INF109K01Q07</t>
  </si>
  <si>
    <t>ICICI PRUDENTIAL LIQUID FUND - DIRECT PLAN - ANNUAL IDCW PAYOUT</t>
  </si>
  <si>
    <t>IPRU8093P</t>
  </si>
  <si>
    <t>INF109K01P99</t>
  </si>
  <si>
    <t>IPRU8095</t>
  </si>
  <si>
    <t>INF109K01Q15</t>
  </si>
  <si>
    <t>ICICI PRUDENTIAL LIQUID FUND - DIRECT PLAN - DAILY IDCW REINVESTMENT</t>
  </si>
  <si>
    <t>IPRU8096</t>
  </si>
  <si>
    <t>INF109K01Q49</t>
  </si>
  <si>
    <t>ICICI PRUDENTIAL LIQUID FUND - DIRECT PLAN - GROWTH</t>
  </si>
  <si>
    <t>IPRU8097</t>
  </si>
  <si>
    <t>INF109K01R06</t>
  </si>
  <si>
    <t>ICICI PRUDENTIAL LIQUID FUND - DIRECT PLAN - MONTHLY IDCW REINVESTMENT</t>
  </si>
  <si>
    <t>IPRU8098</t>
  </si>
  <si>
    <t>INF109K01Q98</t>
  </si>
  <si>
    <t>ICICI PRUDENTIAL LIQUID FUND - DIRECT PLAN - WEEKLY IDCW REINVESTMENT</t>
  </si>
  <si>
    <t>IPRU8101</t>
  </si>
  <si>
    <t>INF109K01R14</t>
  </si>
  <si>
    <t>ICICI PRUDENTIAL MONEY MARKET FUND - DIRECT PLAN - GROWTH</t>
  </si>
  <si>
    <t>IPRU8103</t>
  </si>
  <si>
    <t>INF109K01R89</t>
  </si>
  <si>
    <t>ICICI PRUDENTIAL MONEY MARKET FUND - DIRECT PLAN - WEEKLY IDCW REINVESTMENT</t>
  </si>
  <si>
    <t>LNT125</t>
  </si>
  <si>
    <t>INF917K01AY5</t>
  </si>
  <si>
    <t>L&amp;T MONEY MARKET FUND - DAILY IDCW REINVESTENT PLAN</t>
  </si>
  <si>
    <t>MMD1R</t>
  </si>
  <si>
    <t>INF789F01XU8</t>
  </si>
  <si>
    <t>UTI MONEY MARKET FUND-DIRECT DAILY DIVIDEND PLAN-IDCW REINVESTMENT</t>
  </si>
  <si>
    <t>MMD2G</t>
  </si>
  <si>
    <t>INF789F01XV6</t>
  </si>
  <si>
    <t>UTI MONEY MARKET FUND-DIRECT GROWTH</t>
  </si>
  <si>
    <t>MMD6D</t>
  </si>
  <si>
    <t>INF789FA1M61</t>
  </si>
  <si>
    <t>UTI MONEY MARKET FUND-DIRECT QUARTERLY DIVIDEND PLAN-IDCW PAYOUT</t>
  </si>
  <si>
    <t>MMD6R</t>
  </si>
  <si>
    <t>INF789FA1M79</t>
  </si>
  <si>
    <t>UTI MONEY MARKET FUND-DIRECT QUARTERLY DIVIDEND PLAN-IDCW REINVESTMENT</t>
  </si>
  <si>
    <t>QMFLFDDR</t>
  </si>
  <si>
    <t>INF082J01135</t>
  </si>
  <si>
    <t>QUANTUM LIQUID FUND - DIRECT PLAN DAILY IDCW REINVESTMENT OPTION</t>
  </si>
  <si>
    <t>QMFLFGPG</t>
  </si>
  <si>
    <t>INF082J01127</t>
  </si>
  <si>
    <t>QUANTUM LIQUID FUND - DIRECT PLAN GROWTH OPTION</t>
  </si>
  <si>
    <t>QMFLFMDP</t>
  </si>
  <si>
    <t>INF082J01143</t>
  </si>
  <si>
    <t>QUANTUM LIQUID FUND - DIRECT PLAN MONTHLY IDCW PAYOUT OPTION</t>
  </si>
  <si>
    <t>QMFLFMDR</t>
  </si>
  <si>
    <t>INF082J01200</t>
  </si>
  <si>
    <t>QUANTUM LIQUID FUND - DIRECT PLAN MONTHLY IDCW REINVESTMENT OPTION</t>
  </si>
  <si>
    <t>RELGILDPDM</t>
  </si>
  <si>
    <t>INF204K01E88</t>
  </si>
  <si>
    <t>NIPPON INDIA GILT SECURITIES FUND DIRECT PLAN DEFINED MATURITY DATE OPTION GROWTH</t>
  </si>
  <si>
    <t>SODGGR</t>
  </si>
  <si>
    <t>INF903JA1HG5</t>
  </si>
  <si>
    <t>SUNDARAM OVERNIGHT FUND DIRECT GROWTH</t>
  </si>
  <si>
    <t>SORGGR</t>
  </si>
  <si>
    <t>INF903JA1GZ7</t>
  </si>
  <si>
    <t>SUNDARAM OVERNIGHT FUND REGULAR GROWTH</t>
  </si>
  <si>
    <t>153L</t>
  </si>
  <si>
    <t>INF917K01JG3</t>
  </si>
  <si>
    <t>L&amp;T LIQUID FUND - REGULAR WEEKLY IDCW PAYOUT</t>
  </si>
  <si>
    <t>154L</t>
  </si>
  <si>
    <t>INF917K01JH1</t>
  </si>
  <si>
    <t>L&amp;T LIQUID FUND - REGULAR GROWTH</t>
  </si>
  <si>
    <t>154LD</t>
  </si>
  <si>
    <t>INF917K01HF9</t>
  </si>
  <si>
    <t>L&amp;T LIQUID FUND DIRECT PLAN - GROWTH</t>
  </si>
  <si>
    <t>157D</t>
  </si>
  <si>
    <t>INF209KB1ZL4</t>
  </si>
  <si>
    <t>ADITYA BIRLA SUN LIFE OVERNIGHT FUND - DIRECT PLAN - MONTHLY IDCW PAYOUT</t>
  </si>
  <si>
    <t>157G</t>
  </si>
  <si>
    <t>INF209KB1ZC3</t>
  </si>
  <si>
    <t>ADITYA BIRLA SUN LIFE OVERNIGHT FUND - REGULAR PLAN - GROWTH</t>
  </si>
  <si>
    <t>157WD</t>
  </si>
  <si>
    <t>INF209KB1ZE9</t>
  </si>
  <si>
    <t>ADITYA BIRLA SUN LIFE OVERNIGHT FUND - REGULAR PLAN - WEEKLY IDCW REINVESTMENT</t>
  </si>
  <si>
    <t>157Z</t>
  </si>
  <si>
    <t>INF209KB1ZH2</t>
  </si>
  <si>
    <t>ADITYA BIRLA SUN LIFE OVERNIGHT FUND - DIRECT PLAN - GROWTH</t>
  </si>
  <si>
    <t>54L</t>
  </si>
  <si>
    <t>INF917K01JB4</t>
  </si>
  <si>
    <t>L&amp;T LIQUID FUND - REGULAR DAILY IDCW REINVESTENT PLAN</t>
  </si>
  <si>
    <t>AXISCFDD</t>
  </si>
  <si>
    <t>INF846K01420</t>
  </si>
  <si>
    <t>AXIS LIQUID FUND - REGULAR DAILY IDCW REINVESTMENT</t>
  </si>
  <si>
    <t>AXISCFDG</t>
  </si>
  <si>
    <t>INF846K01CX4</t>
  </si>
  <si>
    <t>AXIS LIQUID FUND - DIRECT GROWTH</t>
  </si>
  <si>
    <t>AXISCFDM</t>
  </si>
  <si>
    <t>INF846K01CY2</t>
  </si>
  <si>
    <t>AXIS LIQUID FUND - DIRECT PLAN - MONTHLY IDCW PAYOUT</t>
  </si>
  <si>
    <t>INF846K01CZ9</t>
  </si>
  <si>
    <t>AXIS LIQUID FUND - DIRECT PLAN - MONTHLY IDCW REINVESTMENT</t>
  </si>
  <si>
    <t>AXISCFDP</t>
  </si>
  <si>
    <t>INF846K01453</t>
  </si>
  <si>
    <t>AXIS LIQUID FUND - REGULAR MONTHLY IDCW PAYOUT</t>
  </si>
  <si>
    <t>INF846K01461</t>
  </si>
  <si>
    <t>AXIS LIQUID FUND - REGULAR MONTHLY IDCW REINVESTMENT</t>
  </si>
  <si>
    <t>AXISCFDR</t>
  </si>
  <si>
    <t>INF846K01DA0</t>
  </si>
  <si>
    <t>AXIS LIQUID FUND - DIRECT PLAN - DAILY IDCW REINVESTMENT</t>
  </si>
  <si>
    <t>AXISCFDW</t>
  </si>
  <si>
    <t>INF846K01DB8</t>
  </si>
  <si>
    <t>AXIS LIQUID FUND - DIRECT PLAN - WEEKLY IDCW PAYOUT</t>
  </si>
  <si>
    <t>INF846K01DC6</t>
  </si>
  <si>
    <t>AXIS LIQUID FUND - DIRECT PLAN - WEEKLY IDCW REINVESTMENT</t>
  </si>
  <si>
    <t>AXISCFGP</t>
  </si>
  <si>
    <t>INF846K01412</t>
  </si>
  <si>
    <t>AXIS LIQUID FUND - REGULAR GROWTH</t>
  </si>
  <si>
    <t>AXISCFWD</t>
  </si>
  <si>
    <t>INF846K01438</t>
  </si>
  <si>
    <t>AXIS LIQUID FUND - REGULAR WEEKLY IDCW PAYOUT</t>
  </si>
  <si>
    <t>INF846K01446</t>
  </si>
  <si>
    <t>AXIS LIQUID FUND - REGULAR WEEKLY IDCW REINVESTMENT</t>
  </si>
  <si>
    <t>AXISMDGP</t>
  </si>
  <si>
    <t>INF846K01Q62</t>
  </si>
  <si>
    <t>AXIS MONEY MARKET FUND DIRECT GROWTH</t>
  </si>
  <si>
    <t>AXISMMGPG</t>
  </si>
  <si>
    <t>INF846K01R46</t>
  </si>
  <si>
    <t>AXIS MONEY MARKET FUND REGULAR GROWTH</t>
  </si>
  <si>
    <t>AXISONDDR</t>
  </si>
  <si>
    <t>INF846K01O56</t>
  </si>
  <si>
    <t>AXIS OVERNIGHT FUND REGULAR DAILY IDCW REINVESTMENT</t>
  </si>
  <si>
    <t>AXISONDGG</t>
  </si>
  <si>
    <t>INF846K01N65</t>
  </si>
  <si>
    <t>AXIS OVERNIGHT FUND DIRECT PLAN - GROWTH</t>
  </si>
  <si>
    <t>AXISONGPG</t>
  </si>
  <si>
    <t>INF846K01O23</t>
  </si>
  <si>
    <t>AXIS OVERNIGHT FUND REGULAR PLAN - GROWTH</t>
  </si>
  <si>
    <t>B151GZ</t>
  </si>
  <si>
    <t>INF209K01UU3</t>
  </si>
  <si>
    <t>ADITYA BIRLA SUN LIFE MONEY MANAGER FUND - GROWTH-DIRECT PLAN</t>
  </si>
  <si>
    <t>B151IG</t>
  </si>
  <si>
    <t>INF209K01RV7</t>
  </si>
  <si>
    <t>ADITYA BIRLA SUN LIFE MONEY MANAGER FUND - GROWTH-REGULAR PLAN</t>
  </si>
  <si>
    <t>B153DZ</t>
  </si>
  <si>
    <t>INF209K01UZ2</t>
  </si>
  <si>
    <t>ADITYA BIRLA SUN LIFE LIQUID FUND - DAILY IDCW REINVESTMENT-DIRECT PLAN</t>
  </si>
  <si>
    <t>B153G</t>
  </si>
  <si>
    <t>INF209K01RU9</t>
  </si>
  <si>
    <t>ADITYA BIRLA SUN LIFE LIQUID FUND REGULAR PLAN - GROWTH</t>
  </si>
  <si>
    <t>B153GZ</t>
  </si>
  <si>
    <t>INF209K01VA3</t>
  </si>
  <si>
    <t>ADITYA BIRLA SUN LIFE LIQUID FUND DIRECT PLAN - GROWTH</t>
  </si>
  <si>
    <t>B153WZ</t>
  </si>
  <si>
    <t>INF209K01VC9</t>
  </si>
  <si>
    <t>ADITYA BIRLA SUN LIFE LIQUID FUND - WEEKLY IDCW PAYOUT - DIRECT PLAN</t>
  </si>
  <si>
    <t>B153Z</t>
  </si>
  <si>
    <t>INF209K01VD7</t>
  </si>
  <si>
    <t>ADITYA BIRLA SUN LIFE LIQUID FUND - DIRECT PLAN-IDCW PAYOUT</t>
  </si>
  <si>
    <t>B402AZ</t>
  </si>
  <si>
    <t>INF209K01XP7</t>
  </si>
  <si>
    <t>ADITYA BIRLA SUN LIFE GOVERNMENT SECURITIES FUND- GROWTH-DIRECT PLAN</t>
  </si>
  <si>
    <t>B403DZ</t>
  </si>
  <si>
    <t>INF209KA1LC4</t>
  </si>
  <si>
    <t>ADITYA BIRLA SUN LIFE GOVERNMENT SECURITIES FUND- QUARTERLY DIRECT PLAN-IDCW PAYOUT</t>
  </si>
  <si>
    <t>B501G</t>
  </si>
  <si>
    <t>INF209K01ME4</t>
  </si>
  <si>
    <t>ADITYA BIRLA SUN LIFE LIQUID FUND RETAIL GROWTH</t>
  </si>
  <si>
    <t>BOILFRDR</t>
  </si>
  <si>
    <t>INF761K01CO4</t>
  </si>
  <si>
    <t>BANK OF INDIA LIQUID FUND - REGULAR PLAN - DAILY IDCW REINVESTMENT</t>
  </si>
  <si>
    <t>BOILFRGG</t>
  </si>
  <si>
    <t>INF761K01306</t>
  </si>
  <si>
    <t>BANK OF INDIA LIQUID FUNDREGULAR PLAN - GROWTH</t>
  </si>
  <si>
    <t>BPLFG</t>
  </si>
  <si>
    <t>INF955L01484</t>
  </si>
  <si>
    <t>BARODA BNP PARIBAS LIQUID FUND PLAN A - GROWTH</t>
  </si>
  <si>
    <t>BPMFLFD1</t>
  </si>
  <si>
    <t>INF955L01AK2</t>
  </si>
  <si>
    <t>BARODA BNP PARIBAS LIQUID FUND PLAN B DAILY IDCW REINVESTMENT</t>
  </si>
  <si>
    <t>BPMFLFD2</t>
  </si>
  <si>
    <t>INF955L01AL0</t>
  </si>
  <si>
    <t>BARODA BNP PARIBAS LIQUID FUND PLAN B GROWTH</t>
  </si>
  <si>
    <t>BPMFOFD1</t>
  </si>
  <si>
    <t>INF955L01HW2</t>
  </si>
  <si>
    <t>BARODA BNP PARIBAS OVERNIGHT FUND DIRECT PLAN DAILY IDCW REINVESTMENT</t>
  </si>
  <si>
    <t>BSL402AG</t>
  </si>
  <si>
    <t>INF209K01AC3</t>
  </si>
  <si>
    <t>ADITYA BIRLA SUN LIFE GOVERNMENT SECURITIES FUND-GROWTH</t>
  </si>
  <si>
    <t>BSL402IG</t>
  </si>
  <si>
    <t>INF209K01AD1</t>
  </si>
  <si>
    <t>ADITYA BIRLA SUN LIFE GOVERNMENT SECURITIES FUND-INSTANT GAIN-GROWTH</t>
  </si>
  <si>
    <t>BSL403QD</t>
  </si>
  <si>
    <t>INF209K01AF6</t>
  </si>
  <si>
    <t>ADITYA BIRLA SUN LIFE GOVERNMENT SECURITIES FUND-QUARTERLY IDCW PAYOUT</t>
  </si>
  <si>
    <t>INF209K01DP9</t>
  </si>
  <si>
    <t>ADITYA BIRLA SUN LIFE GOVERNMENT SECURITIES FUND-QUARTERLY IDCW REINVESTMENT</t>
  </si>
  <si>
    <t>CPIDR</t>
  </si>
  <si>
    <t>INF789F01PG3</t>
  </si>
  <si>
    <t>UTI LIQUID CASH PLAN-REGULAR DAILY DIVIDEND PLAN-IDCW REINVESTMENT</t>
  </si>
  <si>
    <t>CPIGG</t>
  </si>
  <si>
    <t>INF789F01PH1</t>
  </si>
  <si>
    <t>UTI LIQUID CASH PLAN - REGULAR GROWTH</t>
  </si>
  <si>
    <t>CPIMD</t>
  </si>
  <si>
    <t>INF789F01PI9</t>
  </si>
  <si>
    <t>UTI LIQUID CASH PLAN-REGULAR MONTHLY DIVIDEND PLAN-IDCW PAYOUT</t>
  </si>
  <si>
    <t>CPIMR</t>
  </si>
  <si>
    <t>INF789F01PJ7</t>
  </si>
  <si>
    <t>UTI LIQUID CASH PLAN-REGULAR MONTHLY DIVIDEND PLAN-IDCW REINVESTMENT</t>
  </si>
  <si>
    <t>CPIWR</t>
  </si>
  <si>
    <t>INF789F01PK5</t>
  </si>
  <si>
    <t>UTI LIQUID CASH PLAN-REGULAR WEEKLY DIVIDEND PLAN-IDCW REINVESTMENT</t>
  </si>
  <si>
    <t>CRLIDD</t>
  </si>
  <si>
    <t>INF760K01FS0</t>
  </si>
  <si>
    <t>CANARA ROBECO LIQUID FUND DIRECT DAILY - IDCW REINVESTMENT</t>
  </si>
  <si>
    <t>CRLIDG</t>
  </si>
  <si>
    <t>INF760K01FU6</t>
  </si>
  <si>
    <t>CANARA ROBECO LIQUID FUND DIRECT GROWTH</t>
  </si>
  <si>
    <t>CRLISDR</t>
  </si>
  <si>
    <t>INF760K01CU3</t>
  </si>
  <si>
    <t>CANARA ROBECO LIQUID FUND REGULAR DAILY - IDCW REINVESTMENT</t>
  </si>
  <si>
    <t>CRLISGG</t>
  </si>
  <si>
    <t>INF760K01CW9</t>
  </si>
  <si>
    <t>CANARA ROBECO LIQUID FUND REGULAR GROWTH</t>
  </si>
  <si>
    <t>DSPBRLIGF</t>
  </si>
  <si>
    <t>INF740K01FK9</t>
  </si>
  <si>
    <t>DSP LIQUIDITY FUND - GROWTH</t>
  </si>
  <si>
    <t>DSPBRTBF</t>
  </si>
  <si>
    <t>INF740K01714</t>
  </si>
  <si>
    <t>DSP SAVINGS FUND - GROWTH</t>
  </si>
  <si>
    <t>DSPLQDGR</t>
  </si>
  <si>
    <t>INF740K01QL4</t>
  </si>
  <si>
    <t>DSP LIQUIDITY FUND - DIRECT PLAN - GROWTH</t>
  </si>
  <si>
    <t>DSPONDGR</t>
  </si>
  <si>
    <t>INF740KA1MC8</t>
  </si>
  <si>
    <t>DSP OVERNIGHT FUND - DIRECT PLAN - GROWTH</t>
  </si>
  <si>
    <t>DSPONRGR</t>
  </si>
  <si>
    <t>INF740KA1MB0</t>
  </si>
  <si>
    <t>DSP OVERNIGHT FUND - REGULAR PLAN - GROWTH</t>
  </si>
  <si>
    <t>DSPTREDGR</t>
  </si>
  <si>
    <t>INF740K01NU2</t>
  </si>
  <si>
    <t>DSP SAVINGS FUND - DIRECT PLAN - GROWTH</t>
  </si>
  <si>
    <t>EMFLIQDDDR</t>
  </si>
  <si>
    <t>INF754K01GP7</t>
  </si>
  <si>
    <t>EDELWEISS LIQUID FUND - DIRECT PLAN DAILY IDCW REINVESTMENT</t>
  </si>
  <si>
    <t>EMFLIQDGP</t>
  </si>
  <si>
    <t>INF754K01GM4</t>
  </si>
  <si>
    <t>EDELWEISS LIQUID FUND - DIRECT PLAN GROWTH OPTION</t>
  </si>
  <si>
    <t>EMFLIQDRGR</t>
  </si>
  <si>
    <t>INF754K01GZ6</t>
  </si>
  <si>
    <t>EDELWEISS LIQUID FUND - REGULAR PLAN GROWTH - GROWTH</t>
  </si>
  <si>
    <t>EMFLIQDRMP</t>
  </si>
  <si>
    <t>INF754K01HL4</t>
  </si>
  <si>
    <t>EDELWEISS LIQUID FUND - REGULAR PLAN MONTHLY IDCW PAYOUT</t>
  </si>
  <si>
    <t>EMFLIQDRMR</t>
  </si>
  <si>
    <t>INF754K01HD1</t>
  </si>
  <si>
    <t>EDELWEISS LIQUID FUND - REGULAR PLAN MONTHLY IDCW REINVESTMENT</t>
  </si>
  <si>
    <t>EMFLIQRWDP</t>
  </si>
  <si>
    <t>INF754K01HJ8</t>
  </si>
  <si>
    <t>EDELWEISS LIQUID FUND - REGULAR PLAN WEEKLY IDCW PAYOUT</t>
  </si>
  <si>
    <t>EMFLIQRWDR</t>
  </si>
  <si>
    <t>INF754K01HB5</t>
  </si>
  <si>
    <t>EDELWEISS LIQUID FUND - REGULAR PLAN WEEKLY IDCW REINVESTMENT</t>
  </si>
  <si>
    <t>EMFONFDRGP</t>
  </si>
  <si>
    <t>INF754K01JV9</t>
  </si>
  <si>
    <t>EDELWEISS OVERNIGHT FUND - DIRECT PLAN - GROWTH</t>
  </si>
  <si>
    <t>EMFONFRGGP</t>
  </si>
  <si>
    <t>INF754K01KE3</t>
  </si>
  <si>
    <t>EDELWEISS OVERNIGHT FUND - REGULAR PLAN - GROWTH</t>
  </si>
  <si>
    <t>FILFDD</t>
  </si>
  <si>
    <t>INF090I01BA3</t>
  </si>
  <si>
    <t>FRANKLIN INDIA LIQUID FUND - REGULAR PLAN DAILY IDCW REINVESTMENT</t>
  </si>
  <si>
    <t>FILFDSIPDD</t>
  </si>
  <si>
    <t>INF090I01JW0</t>
  </si>
  <si>
    <t>FRANKLIN INDIA LIQUID FUND - SUPER INSTITUTIONAL PLAN - DIRECT DAILY IDCW REINVESTMENT</t>
  </si>
  <si>
    <t>FILFDSIPDP</t>
  </si>
  <si>
    <t>INF090I01JX8</t>
  </si>
  <si>
    <t>FRANKLIN INDIA LIQUID FUND - SUPER INSTITUTIONAL PLAN - DIRECT WEEKLY IDCW PAYOUT</t>
  </si>
  <si>
    <t>INF090I01JY6</t>
  </si>
  <si>
    <t>FILFDSIPGP</t>
  </si>
  <si>
    <t>INF090I01JV2</t>
  </si>
  <si>
    <t>FRANKLIN INDIA LIQUID FUND - SUPER INSTITUTIONAL PLAN - DIRECT -GROWTH</t>
  </si>
  <si>
    <t>FILFGP</t>
  </si>
  <si>
    <t>INF090I01BB1</t>
  </si>
  <si>
    <t>FRANKLIN INDIA LIQUID FUND - REGULAR PLAN - GROWTH</t>
  </si>
  <si>
    <t>FILFSIPDD</t>
  </si>
  <si>
    <t>INF090I01BF2</t>
  </si>
  <si>
    <t>FRANKLIN INDIA LIQUID FUND - SUPER INSTITUTIONAL PLAN-DAILY IDCW REINVESTMENT</t>
  </si>
  <si>
    <t>FILFSIPGP</t>
  </si>
  <si>
    <t>INF090I01BG0</t>
  </si>
  <si>
    <t>FRANKLIN INDIA LIQUID FUND - SUPER INSTITUTIONAL PLAN-GROWTH</t>
  </si>
  <si>
    <t>FILFSIPWDP</t>
  </si>
  <si>
    <t>INF090I01BM8</t>
  </si>
  <si>
    <t>FRANKLIN INDIA LIQUID FUND - SUPER INSTITUTIONAL PLAN WEEKLY IDCW PAYOUT</t>
  </si>
  <si>
    <t>INF090I01BH8</t>
  </si>
  <si>
    <t>FRANKLIN INDIA LIQUID FUND - SUPER INSTITUTIONAL PLAN-WEEKLY IDCW REINVESTMENT</t>
  </si>
  <si>
    <t>FILFWDP</t>
  </si>
  <si>
    <t>INF090I01BI6</t>
  </si>
  <si>
    <t>FRANKLIN INDIA LIQUID FUND - REGULAR PLAN WEEKLY IDCW PAYOUT</t>
  </si>
  <si>
    <t>FLDGP</t>
  </si>
  <si>
    <t>INF090I01GV8</t>
  </si>
  <si>
    <t>FRANKLIN INDIA SAVINGS FUND RETAIL OPTION - DIRECT GROWTH</t>
  </si>
  <si>
    <t>FLDP</t>
  </si>
  <si>
    <t>INF090I01BZ0</t>
  </si>
  <si>
    <t>FRANKLIN INDIA SAVINGS FUND RETAIL OPTION QUARTERLY IDCW PAYOUT</t>
  </si>
  <si>
    <t>FLDR</t>
  </si>
  <si>
    <t>INF090I01BY3</t>
  </si>
  <si>
    <t>FLGP</t>
  </si>
  <si>
    <t>INF090I01CA1</t>
  </si>
  <si>
    <t>FRANKLIN INDIA SAVINGS FUND RETAIL OPTION-GROWTH</t>
  </si>
  <si>
    <t>FLMDP</t>
  </si>
  <si>
    <t>INF090I01LA2</t>
  </si>
  <si>
    <t>FRANKLIN INDIA SAVINGS FUND RETAIL OPTION-MONTHLY IDCW PAYOUT</t>
  </si>
  <si>
    <t>FLMDR</t>
  </si>
  <si>
    <t>INF090I01LB0</t>
  </si>
  <si>
    <t>GEDDR</t>
  </si>
  <si>
    <t>INF789FB1T13</t>
  </si>
  <si>
    <t>UTI OVERNIGHT FUND - DAILY IDCW REINVESTMENT OPTION PLAN</t>
  </si>
  <si>
    <t>H53TGR</t>
  </si>
  <si>
    <t>INF179KB1HU9</t>
  </si>
  <si>
    <t>HDFC MONEY MARKET FUND - DIRECT PLAN - GROWTH</t>
  </si>
  <si>
    <t>H57TGR</t>
  </si>
  <si>
    <t>INF179KB1HT1</t>
  </si>
  <si>
    <t>HDFC OVERNIGHT FUND DIRECT PLAN - GROWTH</t>
  </si>
  <si>
    <t>HDFCGLD</t>
  </si>
  <si>
    <t>INF179K01772</t>
  </si>
  <si>
    <t>HDFC GILT FUND - REGULAR PLAN - IDCW PAYOUT</t>
  </si>
  <si>
    <t>HDFCGLDR</t>
  </si>
  <si>
    <t>INF179K01764</t>
  </si>
  <si>
    <t>HDFC GILT FUND - REGULAR PLAN - IDCW REINVESTMENT REINVESTMENT</t>
  </si>
  <si>
    <t>HDFCGLG</t>
  </si>
  <si>
    <t>INF179K01756</t>
  </si>
  <si>
    <t>HDFC GILT FUND - REGULAR PLAN- GROWTH</t>
  </si>
  <si>
    <t>HGLDRTDR</t>
  </si>
  <si>
    <t>INF179K01VT8</t>
  </si>
  <si>
    <t>HDFC GILT FUND - DIRECT PLAN - IDCW REINVESTMENT OPTION REINVESTMENT</t>
  </si>
  <si>
    <t>HGLDTDP</t>
  </si>
  <si>
    <t>INF179K01VR2</t>
  </si>
  <si>
    <t>HDFC GILT FUND - DIRECT PLAN - IDCW PAYOUT</t>
  </si>
  <si>
    <t>HGLGTGR</t>
  </si>
  <si>
    <t>INF179K01VS0</t>
  </si>
  <si>
    <t>HDFC GILT FUND - DIRECT PLAN - GROWTH OPTION</t>
  </si>
  <si>
    <t>HLFDDR</t>
  </si>
  <si>
    <t>INF179KB1IC5</t>
  </si>
  <si>
    <t>HDFC LIQUID FUND - IDCW - DAILY REINVESTMENT</t>
  </si>
  <si>
    <t>HLFDMTDP</t>
  </si>
  <si>
    <t>INF179KB1HO2</t>
  </si>
  <si>
    <t>HDFC LIQUID FUND - DIRECT PLAN - MONTHLY IDCW PAYOUT OPTION</t>
  </si>
  <si>
    <t>HLFGTGR</t>
  </si>
  <si>
    <t>INF179KB1HP9</t>
  </si>
  <si>
    <t>HDFC LIQUID FUND - DIRECT PLAN - GROWTH OPTION</t>
  </si>
  <si>
    <t>HLFMRTDR</t>
  </si>
  <si>
    <t>INF179KB1HQ7</t>
  </si>
  <si>
    <t>HDFC LIQUID FUND - DIRECT PLAN - MONTHLY IDCW REINVESTMENT OPTION</t>
  </si>
  <si>
    <t>HLQD53</t>
  </si>
  <si>
    <t>INF179KB1HR5</t>
  </si>
  <si>
    <t>HDFC MONEY MARKET FUND - REGULAR PLAN - GROWTH</t>
  </si>
  <si>
    <t>HLQD57</t>
  </si>
  <si>
    <t>INF179KB1HS3</t>
  </si>
  <si>
    <t>HDFC OVERNIGHT FUND REGULAR PLAN - GROWTH</t>
  </si>
  <si>
    <t>HLQDLFDM</t>
  </si>
  <si>
    <t>INF179KB1HM6</t>
  </si>
  <si>
    <t>HDFC LIQUID FUND - MONTHLY IDCW PAYOUT</t>
  </si>
  <si>
    <t>HLQDLFDMR</t>
  </si>
  <si>
    <t>INF179KB1HL8</t>
  </si>
  <si>
    <t>HDFC LIQUID FUND - MONTHLY IDCW REINVESTMENT</t>
  </si>
  <si>
    <t>HLQDLFG</t>
  </si>
  <si>
    <t>INF179KB1HK0</t>
  </si>
  <si>
    <t>HDFC LIQUID FUND - GROWTH</t>
  </si>
  <si>
    <t>IDDFRDDR</t>
  </si>
  <si>
    <t>INF194K01M98</t>
  </si>
  <si>
    <t>IDFC MONEY MANAGER FUND-DAILY IDCW REINVESTMENT-(DIRECT PLAN)</t>
  </si>
  <si>
    <t>IDFC295</t>
  </si>
  <si>
    <t>INF194KA1RW6</t>
  </si>
  <si>
    <t>IDFC GOVERNMENT SECURITIES FUND - INVESTMENT PLAN- PERIODIC (REGULAR PLAN)-IDCW PAYOUT</t>
  </si>
  <si>
    <t>IDFC295R</t>
  </si>
  <si>
    <t>INF194KA1RX4</t>
  </si>
  <si>
    <t>IDFC GOVERNMENT SECURITIES FUND INVESTMENT PLAN-REGULAR PLAN -PERIODIC IDCW REINVESTMENT</t>
  </si>
  <si>
    <t>IDFC86</t>
  </si>
  <si>
    <t>INF194K01DZ2</t>
  </si>
  <si>
    <t>IDFC GOVERNMENT SECURITIES FUND- INVESTMENT PLAN-REGULAR PLAN-GROWTH</t>
  </si>
  <si>
    <t>IDFC87</t>
  </si>
  <si>
    <t>INF194K01EK2</t>
  </si>
  <si>
    <t>IDFC GOVERNMENT SECURITIES FUND - INVESTMENT PLAN-REGULAR-IDCW REINVESTMENT</t>
  </si>
  <si>
    <t>IDFC87R</t>
  </si>
  <si>
    <t>INF194K01EJ4</t>
  </si>
  <si>
    <t>IDFCD86</t>
  </si>
  <si>
    <t>INF194K01Q29</t>
  </si>
  <si>
    <t>IDFC GOVERNMENT SECURITIES FUND-INVESTMENT PLAN-GROWTH-(DIRECT PLAN)</t>
  </si>
  <si>
    <t>IDFCDFCCD</t>
  </si>
  <si>
    <t>INF194K01I78</t>
  </si>
  <si>
    <t>IDFC CASH FUND-DAILY IDCW REINVESTMENT-(DIRECT PLAN)</t>
  </si>
  <si>
    <t>IDFCDFCCG</t>
  </si>
  <si>
    <t>INF194K01I60</t>
  </si>
  <si>
    <t>IDFC CASH FUND-GROWTH-(DIRECT PLAN)</t>
  </si>
  <si>
    <t>IDFCDFRG</t>
  </si>
  <si>
    <t>INF194K01M80</t>
  </si>
  <si>
    <t>IDFC MONEY MANAGER FUND-GROWTH-(DIRECT PLAN)</t>
  </si>
  <si>
    <t>IDFCFCCD</t>
  </si>
  <si>
    <t>INF194K01VY7</t>
  </si>
  <si>
    <t>IDFC CASH FUND - DAILY IDCW REINVESTMENT - REGULAR</t>
  </si>
  <si>
    <t>IDFCFCCG</t>
  </si>
  <si>
    <t>INF194K01VX9</t>
  </si>
  <si>
    <t>IDFC CASH FUND -REGULAR PLAN-GROWTH</t>
  </si>
  <si>
    <t>IDFCFCCM</t>
  </si>
  <si>
    <t>INF194K01WF4</t>
  </si>
  <si>
    <t>IDFC CASH FUND - MONTHLY - IDCW REINVESTMENT</t>
  </si>
  <si>
    <t>IDFCFCCMR</t>
  </si>
  <si>
    <t>INF194K01WE7</t>
  </si>
  <si>
    <t>IDFCFCCW</t>
  </si>
  <si>
    <t>INF194K01WH0</t>
  </si>
  <si>
    <t>IDFC CASH FUND -WEEKLY-IDCW REINVESTMENT</t>
  </si>
  <si>
    <t>IDFCFRG</t>
  </si>
  <si>
    <t>INF194K01LJ9</t>
  </si>
  <si>
    <t>IDFC MONEY MANAGER FUND -REGULAR PLAN-GROWTH</t>
  </si>
  <si>
    <t>IDFCFRW</t>
  </si>
  <si>
    <t>INF194K01LQ4</t>
  </si>
  <si>
    <t>IDFC MONEY MANAGER FUND-WEEKLY-IDCW REINVESTMENT</t>
  </si>
  <si>
    <t>IDFCONF</t>
  </si>
  <si>
    <t>INF194KB1314</t>
  </si>
  <si>
    <t>IDFC OVERNIGHT FUND REGULAR PLAN-GROWTH</t>
  </si>
  <si>
    <t>IDFCONFDG</t>
  </si>
  <si>
    <t>INF194KB1447</t>
  </si>
  <si>
    <t>IDFC OVERNIGHT FUND DIRECT PLAN-GROWTH</t>
  </si>
  <si>
    <t>IDGIF2027G</t>
  </si>
  <si>
    <t>INF194KB1BL2</t>
  </si>
  <si>
    <t>IDFC CRISIL GILT 2027 INDEX FUND REGULAR PLAN-GROWTH</t>
  </si>
  <si>
    <t>IDGIF2028G</t>
  </si>
  <si>
    <t>INF194KB1BS7</t>
  </si>
  <si>
    <t>IDFC CRISIL GILT 2028 INDEX FUND REGULAR PLAN-GROWTH</t>
  </si>
  <si>
    <t>IDLFD1R</t>
  </si>
  <si>
    <t>INF397L01AI1</t>
  </si>
  <si>
    <t>IDBI LIQUID FUNDDIRECT PLAN - DAILY IDCW REINVESTMENT</t>
  </si>
  <si>
    <t>IDLFG1</t>
  </si>
  <si>
    <t>INF397L01AH3</t>
  </si>
  <si>
    <t>IDBI LIQUID FUND-DIRECT PLAN - GROWTH-GROWTH</t>
  </si>
  <si>
    <t>IDLFM1D</t>
  </si>
  <si>
    <t>INF397L01AK7</t>
  </si>
  <si>
    <t>IDBI LIQUID FUND-DIRECT PLAN - MONTHLY IDCW PAYOUT</t>
  </si>
  <si>
    <t>IDLFM1R</t>
  </si>
  <si>
    <t>INF397L01AJ9</t>
  </si>
  <si>
    <t>IDBI LIQUID FUND-DIRECT PLAN - MONTHLY IDCW REINVESTMENT</t>
  </si>
  <si>
    <t>IGIF2027DG</t>
  </si>
  <si>
    <t>INF194KB1BP3</t>
  </si>
  <si>
    <t>IDFC CRISIL GILT 2027 INDEX FUND DIRECT PLAN-GROWTH</t>
  </si>
  <si>
    <t>IGIF2028DG</t>
  </si>
  <si>
    <t>INF194KB1BV1</t>
  </si>
  <si>
    <t>IDFC CRISIL GILT 2028 INDEX FUND DIRECT PLAN-GROWTH</t>
  </si>
  <si>
    <t>IMFCOD1GR</t>
  </si>
  <si>
    <t>INF205K01RY9</t>
  </si>
  <si>
    <t>INVESCO INDIA MONEY MARKET FUND - DIRECT PLAN GROWTH</t>
  </si>
  <si>
    <t>IMFLFSDDR</t>
  </si>
  <si>
    <t>INF205K01HN3</t>
  </si>
  <si>
    <t>INVESCO INDIA LIQUID FUND-DAILY IDCW REINVESTMENT</t>
  </si>
  <si>
    <t>IMFLFSWDR</t>
  </si>
  <si>
    <t>INF205K01HO1</t>
  </si>
  <si>
    <t>INVESCO INDIA LIQUID FUND-WEEKLY IDCW REINVESTMENT</t>
  </si>
  <si>
    <t>IMFONDRDRD</t>
  </si>
  <si>
    <t>INF205KA1114</t>
  </si>
  <si>
    <t>INVESCO INDIA OVERNIGHT FUND-REGULAR -GROWTH</t>
  </si>
  <si>
    <t>IMFONFRGDR</t>
  </si>
  <si>
    <t>INF205KA1163</t>
  </si>
  <si>
    <t>INVESCO INDIA OVERNIGHT FUND-DIRECT-GROWTH</t>
  </si>
  <si>
    <t>IP54P</t>
  </si>
  <si>
    <t>INF109K01JQ6</t>
  </si>
  <si>
    <t>ICICI PRUDENTIAL GILT FUND - IDCW PAYOUT</t>
  </si>
  <si>
    <t>IPRU1552</t>
  </si>
  <si>
    <t>INF109K01VC1</t>
  </si>
  <si>
    <t>ICICI PRUDENTIAL LIQUID FUND - ANNUAL IDCW PAYOUT</t>
  </si>
  <si>
    <t>IPRU1552P</t>
  </si>
  <si>
    <t>INF109K01VD9</t>
  </si>
  <si>
    <t>IPRU1564</t>
  </si>
  <si>
    <t>INF109K01VP3</t>
  </si>
  <si>
    <t>ICICI PRUDENTIAL LIQUID FUND - DAILY IDCW REINVESTMENT</t>
  </si>
  <si>
    <t>IPRU1565</t>
  </si>
  <si>
    <t>INF109K01VQ1</t>
  </si>
  <si>
    <t>ICICI PRUDENTIAL LIQUID FUND - GROWTH</t>
  </si>
  <si>
    <t>IPRU1566</t>
  </si>
  <si>
    <t>INF109K01VR9</t>
  </si>
  <si>
    <t>ICICI PRUDENTIAL LIQUID FUND - MONTHLY IDCW PAYOUT</t>
  </si>
  <si>
    <t>IPRU1567</t>
  </si>
  <si>
    <t>INF109K01VS7</t>
  </si>
  <si>
    <t>ICICI PRUDENTIAL LIQUID FUND - WEEKLY IDCW REINVESTMENT</t>
  </si>
  <si>
    <t>IPRU1571</t>
  </si>
  <si>
    <t>INF109K01TX1</t>
  </si>
  <si>
    <t>ICICI PRUDENTIAL MONEY MARKET FUND - GROWTH</t>
  </si>
  <si>
    <t>IPRU1572</t>
  </si>
  <si>
    <t>INF109K01UB5</t>
  </si>
  <si>
    <t>ICICI PRUDENTIAL MONEY MARKET FUND - MONTHLY IDCW PAYOUT</t>
  </si>
  <si>
    <t>IPRU1572P</t>
  </si>
  <si>
    <t>INF109K01UC3</t>
  </si>
  <si>
    <t>IPRU1573</t>
  </si>
  <si>
    <t>INF109K01TZ6</t>
  </si>
  <si>
    <t>ICICI PRUDENTIAL MONEY MARKET FUND - WEEKLY IDCW REINVESTMENT</t>
  </si>
  <si>
    <t>IPRU1780</t>
  </si>
  <si>
    <t>INF109K01VT5</t>
  </si>
  <si>
    <t>ICICI PRUDENTIAL LIQUID FUND - IDCW PAYOUT</t>
  </si>
  <si>
    <t>IPRU1780P</t>
  </si>
  <si>
    <t>INF109K01VU3</t>
  </si>
  <si>
    <t>IPRU3223</t>
  </si>
  <si>
    <t>INF109KC17E3</t>
  </si>
  <si>
    <t>ICICI PRUDENTIAL OVERNIGHT FUND GROWTH</t>
  </si>
  <si>
    <t>IPRU53</t>
  </si>
  <si>
    <t>INF109K01JR4</t>
  </si>
  <si>
    <t>ICICI PRUDENTIAL GILT FUND - GROWTH</t>
  </si>
  <si>
    <t>IPRU54</t>
  </si>
  <si>
    <t>INF109K01JP8</t>
  </si>
  <si>
    <t>IPRU8015</t>
  </si>
  <si>
    <t>INF109K018C5</t>
  </si>
  <si>
    <t>ICICI PRUDENTIAL GILT FUND - DIRECT PLAN - GROWTH</t>
  </si>
  <si>
    <t>IPRU8016</t>
  </si>
  <si>
    <t>INF109K017C7</t>
  </si>
  <si>
    <t>ICICI PRUDENTIAL GILT FUND - DIRECT PLAN - IDCW PAYOUT</t>
  </si>
  <si>
    <t>IPRU8016P</t>
  </si>
  <si>
    <t>INF109K016C9</t>
  </si>
  <si>
    <t>IPRU9425</t>
  </si>
  <si>
    <t>INF109KC11G1</t>
  </si>
  <si>
    <t>ICICI PRUDENTIAL OVERNIGHT FUND DIRECT PLAN GROWTH</t>
  </si>
  <si>
    <t>JAIGR</t>
  </si>
  <si>
    <t>INF843K01377</t>
  </si>
  <si>
    <t>EDELWEISS MONEY MARKET FUND - INSTITUTIONAL PLAN - GROWTH OPTION</t>
  </si>
  <si>
    <t>JARDI</t>
  </si>
  <si>
    <t>INF843K01351</t>
  </si>
  <si>
    <t>EDELWEISS MONEY MARKET FUND - REGULAR PLAN - IDCW PAYOUT</t>
  </si>
  <si>
    <t>INF843K01369</t>
  </si>
  <si>
    <t>EDELWEISS MONEY MARKET FUND - REGULAR PLAN - IDCW REINVESTMENT</t>
  </si>
  <si>
    <t>JARGR</t>
  </si>
  <si>
    <t>INF843K01344</t>
  </si>
  <si>
    <t>EDELWEISS MONEY MARKET FUND - REGULAR PLAN - GROWTH OPTION</t>
  </si>
  <si>
    <t>JMLFDG</t>
  </si>
  <si>
    <t>INF192K01CM6</t>
  </si>
  <si>
    <t>JM LIQUID FUND (DIRECT) - GROWTH OPTION</t>
  </si>
  <si>
    <t>JMLFRG</t>
  </si>
  <si>
    <t>INF192K01882</t>
  </si>
  <si>
    <t>JM LIQUID FUND - GROWTH OPTION</t>
  </si>
  <si>
    <t>KFLRG</t>
  </si>
  <si>
    <t>INF174K01NA6</t>
  </si>
  <si>
    <t>KOTAK MONEY MARKET FUND - GROWTH</t>
  </si>
  <si>
    <t>KFLRG252D</t>
  </si>
  <si>
    <t>INF174K01MW2</t>
  </si>
  <si>
    <t>KOTAK MONEY MARKET FUND - DIRECT PLAN - GROWTH</t>
  </si>
  <si>
    <t>KFLRM255D</t>
  </si>
  <si>
    <t>INF174K01MX0</t>
  </si>
  <si>
    <t>KOTAK MONEY MARKET FUND - DIRECT PLAN - MONTHLY IDCW REINVESTMENT</t>
  </si>
  <si>
    <t>KFLRMDR</t>
  </si>
  <si>
    <t>INF174K01NB4</t>
  </si>
  <si>
    <t>KOTAK MONEY MARKET FUND - MONTHLY IDCW REINVESTMENT</t>
  </si>
  <si>
    <t>KGIREGG</t>
  </si>
  <si>
    <t>INF174K01FI5</t>
  </si>
  <si>
    <t>KOTAK GILT FUND - REGULAR PLAN - GROWTH</t>
  </si>
  <si>
    <t>KGIREGQDP</t>
  </si>
  <si>
    <t>INF174K01FK1</t>
  </si>
  <si>
    <t>KOTAK GILT FUND - REGULAR PLAN - QUARTERLY IDCW PAYOUT</t>
  </si>
  <si>
    <t>KGIREGQDR</t>
  </si>
  <si>
    <t>INF174K01FJ3</t>
  </si>
  <si>
    <t>KOTAK GILT FUND - REGULAR PLAN - QUARTERLY IDCW REINVESTMENT</t>
  </si>
  <si>
    <t>KKGIG02D</t>
  </si>
  <si>
    <t>INF174K01KE4</t>
  </si>
  <si>
    <t>KOTAK GILT FUND - DIRECT PLAN - GROWTH</t>
  </si>
  <si>
    <t>KKGIG102D</t>
  </si>
  <si>
    <t>INF174K01KM7</t>
  </si>
  <si>
    <t>KOTAK GILT FUND - PROVIDEND FUND AND TRUST - DIRECT PLAN - GROWTH</t>
  </si>
  <si>
    <t>KLIQD463D</t>
  </si>
  <si>
    <t>INF174K01NH1</t>
  </si>
  <si>
    <t>KOTAK LIQUID FUND - DIRECT PLAN - DAILY IDCW REINVESTMENT</t>
  </si>
  <si>
    <t>KLIQG462D</t>
  </si>
  <si>
    <t>INF174K01NE8</t>
  </si>
  <si>
    <t>KOTAK LIQUID FUND - DIRECT PLAN - GROWTH</t>
  </si>
  <si>
    <t>KLIQPREG</t>
  </si>
  <si>
    <t>INF174K01NI9</t>
  </si>
  <si>
    <t>KOTAK LIQUID FUND - REGULAR PLAN - GROWTH</t>
  </si>
  <si>
    <t>KTAKOVFDR</t>
  </si>
  <si>
    <t>INF174KA1BB8</t>
  </si>
  <si>
    <t>KOTAK OVERNIGHT FUND - REGULAR PLAN - DAILY IDCW REINVESTMENT</t>
  </si>
  <si>
    <t>KTAKOVFGR</t>
  </si>
  <si>
    <t>INF174KA1BC6</t>
  </si>
  <si>
    <t>KOTAK OVERNIGHT FUND - REGULAR PLAN - GROWTH</t>
  </si>
  <si>
    <t>KTKGILT</t>
  </si>
  <si>
    <t>INF174K01FL9</t>
  </si>
  <si>
    <t>KOTAK GILT FUND - PROVIDEND FUND AND TRUST - GROWTH</t>
  </si>
  <si>
    <t>KTKLIQDR</t>
  </si>
  <si>
    <t>INF174K01NL3</t>
  </si>
  <si>
    <t>KOTAK LIQUID FUND - REGULAR PLAN - DAILY IDCW REINVESTMENT</t>
  </si>
  <si>
    <t>KTKOVFDRD</t>
  </si>
  <si>
    <t>INF174KA1BE2</t>
  </si>
  <si>
    <t>KOTAK OVERNIGHT FUND - DIRECT PLAN - DAILY IDCW REINVESTMENT</t>
  </si>
  <si>
    <t>KTKOVFGRD</t>
  </si>
  <si>
    <t>INF174KA1BF9</t>
  </si>
  <si>
    <t>KOTAK OVERNIGHT FUND - DIRECT PLAN - GROWTH</t>
  </si>
  <si>
    <t>LDDRD</t>
  </si>
  <si>
    <t>INF579M01688</t>
  </si>
  <si>
    <t>IIFL LIQUID FUND - DIRECT PLAN - IDCW REINVESTMENT - DAILY</t>
  </si>
  <si>
    <t>LDG</t>
  </si>
  <si>
    <t>INF579M01621</t>
  </si>
  <si>
    <t>IIFL LIQUID FUND - DIRECT PLAN - GROWTH</t>
  </si>
  <si>
    <t>LFD1D</t>
  </si>
  <si>
    <t>INF767K01DL5</t>
  </si>
  <si>
    <t>LIC MF LIQUID FUND-DIRECT - DIVIDEND PLAN-IDCW PAYOUT</t>
  </si>
  <si>
    <t>LFD1R</t>
  </si>
  <si>
    <t>INF767K01DM3</t>
  </si>
  <si>
    <t>LIC MF LIQUID FUND-DIRECT - DIVIDEND PLAN-IDCW REINVESTMENT</t>
  </si>
  <si>
    <t>LFDG</t>
  </si>
  <si>
    <t>INF761K01785</t>
  </si>
  <si>
    <t>BANK OF INDIA LIQUID FUNDDIRECT PLAN - GROWTH</t>
  </si>
  <si>
    <t>LFDPD</t>
  </si>
  <si>
    <t>INF767K01IQ3</t>
  </si>
  <si>
    <t>LIC MF LIQUID FUND-DIVIDEND-IDCW PAYOUT</t>
  </si>
  <si>
    <t>LFDPR</t>
  </si>
  <si>
    <t>INF767K01IR1</t>
  </si>
  <si>
    <t>LIC MF LIQUID FUND-DIVIDEND-IDCW REINVESTMENT</t>
  </si>
  <si>
    <t>LFG1G</t>
  </si>
  <si>
    <t>INF767K01DN1</t>
  </si>
  <si>
    <t>LIC MF LIQUID FUND-DIRECT - GROWTH PLAN-GROWTH</t>
  </si>
  <si>
    <t>LFGDG</t>
  </si>
  <si>
    <t>INF247L01734</t>
  </si>
  <si>
    <t>MOTILAL OSWAL LIQUID FUND DIRECT GROWTH</t>
  </si>
  <si>
    <t>LFGPG</t>
  </si>
  <si>
    <t>INF767K01IS9</t>
  </si>
  <si>
    <t>LIC MF LIQUID FUND-GROWTH-GROWTH</t>
  </si>
  <si>
    <t>LFGPGR</t>
  </si>
  <si>
    <t>INF247L01726</t>
  </si>
  <si>
    <t>MOTILAL OSWAL LIQUID FUND REGULAR GROWTH</t>
  </si>
  <si>
    <t>LNT127</t>
  </si>
  <si>
    <t>INF917K01BA3</t>
  </si>
  <si>
    <t>L&amp;T MONEY MARKET FUND - MONTHLY IDCW PAYOUT</t>
  </si>
  <si>
    <t>LNT127P</t>
  </si>
  <si>
    <t>INF917K01BB1</t>
  </si>
  <si>
    <t>LNT128</t>
  </si>
  <si>
    <t>INF917K01BC9</t>
  </si>
  <si>
    <t>L&amp;T MONEY MARKET FUND - GROWTH</t>
  </si>
  <si>
    <t>LNT128D</t>
  </si>
  <si>
    <t>INF917K01FE6</t>
  </si>
  <si>
    <t>L&amp;T MONEY MARKET FUND DIRECT PLAN - GROWTH</t>
  </si>
  <si>
    <t>LNT153LD</t>
  </si>
  <si>
    <t>INF917K01HE2</t>
  </si>
  <si>
    <t>L&amp;T LIQUID FUND DIRECT PLAN - WEEKLY IDCW PAYOUT</t>
  </si>
  <si>
    <t>LNT54LD</t>
  </si>
  <si>
    <t>INF917K01HG7</t>
  </si>
  <si>
    <t>L&amp;T LIQUID FUND DIRECT PLAN - DAILY IDCW REINVESTENT PLAN</t>
  </si>
  <si>
    <t>LNTLCDD</t>
  </si>
  <si>
    <t>INF917K01EJ8</t>
  </si>
  <si>
    <t>L&amp;T OVERNIGHT FUND - DAILY IDCW REINVESTENT</t>
  </si>
  <si>
    <t>LNTLCDG</t>
  </si>
  <si>
    <t>INF917K01EN0</t>
  </si>
  <si>
    <t>L&amp;T OVERNIGHT FUND DIRECT PLAN - GROWTH</t>
  </si>
  <si>
    <t>LNTLCG</t>
  </si>
  <si>
    <t>INF917K01EI0</t>
  </si>
  <si>
    <t>L&amp;T OVERNIGHT FUND - GROWTH OPTION</t>
  </si>
  <si>
    <t>LNTLCWD</t>
  </si>
  <si>
    <t>INF917K01EK6</t>
  </si>
  <si>
    <t>L&amp;T OVERNIGHT FUND - WEEKLY IDCW REINVESTENT</t>
  </si>
  <si>
    <t>LQDDR</t>
  </si>
  <si>
    <t>INF397L01935</t>
  </si>
  <si>
    <t>IDBI LIQUID FUND REGULAR PLAN - DAILY IDCW REINVESTMENT</t>
  </si>
  <si>
    <t>LQG</t>
  </si>
  <si>
    <t>INF397L01984</t>
  </si>
  <si>
    <t>IDBI LIQUID FUND REGULAR PLAN - GROWTH</t>
  </si>
  <si>
    <t>LRG</t>
  </si>
  <si>
    <t>INF579M01506</t>
  </si>
  <si>
    <t>IIFL LIQUID FUND REGULAR PLAN - GROWTH</t>
  </si>
  <si>
    <t>MGFD040A</t>
  </si>
  <si>
    <t>INF200K01SH3</t>
  </si>
  <si>
    <t>SBI MAGNUM GILT FUND DIRECT GROWTH</t>
  </si>
  <si>
    <t>MG-LPR-G</t>
  </si>
  <si>
    <t>INF200K01AK5</t>
  </si>
  <si>
    <t>SBI MAGNUM GILT FUND - LONG TERM - PF - REGULAR</t>
  </si>
  <si>
    <t>MG-LR-DP</t>
  </si>
  <si>
    <t>INF200K01990</t>
  </si>
  <si>
    <t>SBI MAGNUM GILT FUND REGULAR IDCW PAYOUT</t>
  </si>
  <si>
    <t>MG-LR-DR</t>
  </si>
  <si>
    <t>INF200K01AA6</t>
  </si>
  <si>
    <t>SBI MAGNUM GILT FUND REGULAR IDCW REINVESTMENT</t>
  </si>
  <si>
    <t>MG-LR-G</t>
  </si>
  <si>
    <t>INF200K01982</t>
  </si>
  <si>
    <t>SBI MAGNUM GILT FUND REGULAR GROWTH</t>
  </si>
  <si>
    <t>MG-S-DP</t>
  </si>
  <si>
    <t>INF200K01AO7</t>
  </si>
  <si>
    <t>SBI MAGNUM CONSTANT MATURITY FUND REGULAR IDCW PAYOUT</t>
  </si>
  <si>
    <t>MG-S-DR</t>
  </si>
  <si>
    <t>INF200K01AP4</t>
  </si>
  <si>
    <t>SBI MAGNUM CONSTANT MATURITY FUND REGULAR IDCW REINVESTMENT</t>
  </si>
  <si>
    <t>MG-S-G</t>
  </si>
  <si>
    <t>INF200K01AN9</t>
  </si>
  <si>
    <t>SBI MAGNUM CONSTANT MATURITY FUND REGULAR GROWTH</t>
  </si>
  <si>
    <t>MIF-FS-DP</t>
  </si>
  <si>
    <t>INF200K01644</t>
  </si>
  <si>
    <t>SBI SAVINGS FUND - REGULAR PLAN - IDCW PAYOUT</t>
  </si>
  <si>
    <t>MIF-FS-DR</t>
  </si>
  <si>
    <t>INF200K01651</t>
  </si>
  <si>
    <t>SBI SAVINGS FUND - REGULAR PLAN - IDCW REINVESTMENT</t>
  </si>
  <si>
    <t>MIF-FS-G</t>
  </si>
  <si>
    <t>INF200K01636</t>
  </si>
  <si>
    <t>SBI SAVINGS FUND - REGULAR PLAN - GROWTH</t>
  </si>
  <si>
    <t>MIF-FS-WDP</t>
  </si>
  <si>
    <t>INF200K01669</t>
  </si>
  <si>
    <t>SBI SAVINGS FUND - REGULAR PLAN - WEEKLY IDCW PAYOUT</t>
  </si>
  <si>
    <t>MIF-FS-WDR</t>
  </si>
  <si>
    <t>INF200K01677</t>
  </si>
  <si>
    <t>SBI SAVINGS FUND - REGULAR PLAN - WEEKLY IDCW REINVESTMENT</t>
  </si>
  <si>
    <t>MIRAECFD1</t>
  </si>
  <si>
    <t>INF769K01CM1</t>
  </si>
  <si>
    <t>MIRAE ASSET CASH MANAGEMENT FUND - DIRECT PLAN - GROWTH</t>
  </si>
  <si>
    <t>MIRAECFD3</t>
  </si>
  <si>
    <t>INF769K01CP4</t>
  </si>
  <si>
    <t>MIRAE ASSET CASH MANAGEMENT FUND - DIRECT PLAN - WEEKLY IDCW REINVESTMENT</t>
  </si>
  <si>
    <t>MIRAECFD4</t>
  </si>
  <si>
    <t>INF769K01CN9</t>
  </si>
  <si>
    <t>MIRAE ASSET CASH MANAGEMENT FUND - DIRECT PLAN - MONTHLY IDCW PAYOUT</t>
  </si>
  <si>
    <t>INF769K01CQ2</t>
  </si>
  <si>
    <t>MIRAE ASSET CASH MANAGEMENT FUND - DIRECT PLAN - MONTHLY IDCW REINVESTMENT</t>
  </si>
  <si>
    <t>MIRAECFDMD</t>
  </si>
  <si>
    <t>INF769K01838</t>
  </si>
  <si>
    <t>MIRAE ASSET CASH MANAGEMENT FUND - MONTHLY IDCW PAYOUT</t>
  </si>
  <si>
    <t>MIRAECFDMR</t>
  </si>
  <si>
    <t>INF769K01820</t>
  </si>
  <si>
    <t>MIRAE ASSET CASH MANAGEMENT FUND - MONTHLY IDCW REINVESTMENT</t>
  </si>
  <si>
    <t>MIRAECFDWR</t>
  </si>
  <si>
    <t>INF769K01812</t>
  </si>
  <si>
    <t>MIRAE ASSET CASH MANAGEMENT FUND - WEEKLY IDCW REINVESTMENT</t>
  </si>
  <si>
    <t>MIRAECFGPG</t>
  </si>
  <si>
    <t>INF769K01788</t>
  </si>
  <si>
    <t>MIRAE ASSET CASH MANAGEMENT FUND - GROWTH OPTION</t>
  </si>
  <si>
    <t>MIRAEOND1</t>
  </si>
  <si>
    <t>INF769K01FG6</t>
  </si>
  <si>
    <t>MIRAE ASSET OVERNIGHT FUND - DIRECT PLAN - GROWTH</t>
  </si>
  <si>
    <t>MIRAEONRG</t>
  </si>
  <si>
    <t>INF769K01FE1</t>
  </si>
  <si>
    <t>MIRAE ASSET OVERNIGHT FUND - REGULAR GROWTH PLAN</t>
  </si>
  <si>
    <t>MMIDR</t>
  </si>
  <si>
    <t>INF789F01PW0</t>
  </si>
  <si>
    <t>UTI MONEY MARKET FUND-REGULAR DAILY DIVIDEND PLAN-IDCW REINVESTMENT</t>
  </si>
  <si>
    <t>MMIGG</t>
  </si>
  <si>
    <t>INF789F01PX8</t>
  </si>
  <si>
    <t>UTI MONEY MARKET FUND-REGULAR GROWTH</t>
  </si>
  <si>
    <t>MMMLFDG</t>
  </si>
  <si>
    <t>INF174V01044</t>
  </si>
  <si>
    <t>MAHINDRA MANULIFE LIQUID FUND - DIRECT - GROWTH</t>
  </si>
  <si>
    <t>MMMLFRG</t>
  </si>
  <si>
    <t>INF174V01010</t>
  </si>
  <si>
    <t>MAHINDRA MANULIFE LIQUID FUND - REGULAR - GROWTH</t>
  </si>
  <si>
    <t>MOMFLFDDR</t>
  </si>
  <si>
    <t>INF247L01742</t>
  </si>
  <si>
    <t>MOTILAL OSWAL LIQUID FUND DIRECT-IDCW-DAILY REINVESTMENT</t>
  </si>
  <si>
    <t>OCAPDD</t>
  </si>
  <si>
    <t>INF336L01BM9</t>
  </si>
  <si>
    <t>HSBC CASH FUND - DAILY IDCW REINVESTMENT</t>
  </si>
  <si>
    <t>OCAPG</t>
  </si>
  <si>
    <t>INF336L01BN7</t>
  </si>
  <si>
    <t>HSBC CASH FUND - GROWTH</t>
  </si>
  <si>
    <t>OCAPMD</t>
  </si>
  <si>
    <t>INF336L01BO5</t>
  </si>
  <si>
    <t>HSBC CASH FUND - MONTHLY IDCW REINVESTMENT</t>
  </si>
  <si>
    <t>OCAPMP</t>
  </si>
  <si>
    <t>INF336L01BP2</t>
  </si>
  <si>
    <t>HSBC CASH FUND - MONTHLY IDCW PAYOUT</t>
  </si>
  <si>
    <t>OCAPWD</t>
  </si>
  <si>
    <t>INF336L01BQ0</t>
  </si>
  <si>
    <t>HSBC CASH FUND - WEEKLY IDCW PAYOUT</t>
  </si>
  <si>
    <t>OHCAPG</t>
  </si>
  <si>
    <t>INF336L01CC8</t>
  </si>
  <si>
    <t>HSBC CASH FUND - GROWTH DIRECT PLAN</t>
  </si>
  <si>
    <t>OHCPDD</t>
  </si>
  <si>
    <t>INF336L01CB0</t>
  </si>
  <si>
    <t>HSBC CASH FUND - DAILY IDCW DIRECT PLAN -REINVESTMENT</t>
  </si>
  <si>
    <t>OHNOG</t>
  </si>
  <si>
    <t>INF336L01OF6</t>
  </si>
  <si>
    <t>HSBC OVERNIGHT FUND - GROWTH DIRECT PLAN</t>
  </si>
  <si>
    <t>ONODD</t>
  </si>
  <si>
    <t>INF336L01OM2</t>
  </si>
  <si>
    <t>HSBC OVERNIGHT FUND - DAILY IDCW REINVESTMENT</t>
  </si>
  <si>
    <t>ONOG</t>
  </si>
  <si>
    <t>INF336L01OL4</t>
  </si>
  <si>
    <t>HSBC OVERNIGHT FUND - GROWTH</t>
  </si>
  <si>
    <t>PMFLFPD</t>
  </si>
  <si>
    <t>INF173K01DB7</t>
  </si>
  <si>
    <t>SUNDARAM LIQUID FUND - REGULAR PLAN IDCW DAILY REINVESTMENT</t>
  </si>
  <si>
    <t>PMFLFPG</t>
  </si>
  <si>
    <t>INF173K01DA9</t>
  </si>
  <si>
    <t>SUNDARAM LIQUID FUND - REGULAR PLAN GROWTH</t>
  </si>
  <si>
    <t>PMFLFZD</t>
  </si>
  <si>
    <t>INF173K01GT2</t>
  </si>
  <si>
    <t>SUNDARAM LIQUID FUND - DIRECT PLAN IDCW DAILY REINVESTMENT</t>
  </si>
  <si>
    <t>PMFLFZG</t>
  </si>
  <si>
    <t>INF173K01GU0</t>
  </si>
  <si>
    <t>SUNDARAM LIQUID FUND - DIRECT PLAN GROWTH</t>
  </si>
  <si>
    <t>PPLFLFG</t>
  </si>
  <si>
    <t>INF879O01035</t>
  </si>
  <si>
    <t>PARAG PARIKH LIQUID FUND-REGULAR PLAN-GROWTH</t>
  </si>
  <si>
    <t>PPLFLFGZ</t>
  </si>
  <si>
    <t>INF879O01068</t>
  </si>
  <si>
    <t>PARAG PARIKH LIQUID FUND-DIRECT PLAN-GROWTH</t>
  </si>
  <si>
    <t>PPLFLFMDPZ</t>
  </si>
  <si>
    <t>INF879O01076</t>
  </si>
  <si>
    <t>PARAG PARIKH LIQUID FUND-DIRECT PLAN-MONTHLY - IDCW PAYOUT</t>
  </si>
  <si>
    <t>PPLFLFMDZ</t>
  </si>
  <si>
    <t>INF879O01084</t>
  </si>
  <si>
    <t>PRMCFD1</t>
  </si>
  <si>
    <t>INF223J01NS5</t>
  </si>
  <si>
    <t>PGIM INDIA LIQUID FUND DIRECT PLAN - GROWTH</t>
  </si>
  <si>
    <t>PRMCFD2</t>
  </si>
  <si>
    <t>INF223J01NR7</t>
  </si>
  <si>
    <t>PGIM INDIA LIQUID FUND DIRECT PLAN - DAILY IDCW REINVESTMENT</t>
  </si>
  <si>
    <t>PRMCFD6</t>
  </si>
  <si>
    <t>INF223J01NV9</t>
  </si>
  <si>
    <t>PGIM INDIA LIQUID FUND DIRECT PLAN - WEEKLY IDCW PAYOUT</t>
  </si>
  <si>
    <t>INF223J01NW7</t>
  </si>
  <si>
    <t>QMFLFRGG</t>
  </si>
  <si>
    <t>INF082J01309</t>
  </si>
  <si>
    <t>QUANTUM LIQUID FUND - REGULAR PLAN GROWTH OPTION</t>
  </si>
  <si>
    <t>RELGILDPAA</t>
  </si>
  <si>
    <t>INF204K01E62</t>
  </si>
  <si>
    <t>NIPPON INDIA GILT SECURITIES FUND DIRECT PLAN AUTOMATIC ANNUAL REINVEST OPTION IDCW REINVESTMENT</t>
  </si>
  <si>
    <t>RELGILDPAC</t>
  </si>
  <si>
    <t>INF204K01E70</t>
  </si>
  <si>
    <t>NIPPON INDIA GILT SECURITIES FUND DIRECT PLAN AUTOMATIC CAPITAL APPRECIATION PAYOUT OPTION IDCW PAYOUT</t>
  </si>
  <si>
    <t>RELGILDPDP</t>
  </si>
  <si>
    <t>INF204K01XQ6</t>
  </si>
  <si>
    <t>NIPPON INDIA GILT SECURITIES FUND DIRECT PLAN DIVIDEND PLAN IDCW PAYOUT</t>
  </si>
  <si>
    <t>INF204K01XR4</t>
  </si>
  <si>
    <t>NIPPON INDIA GILT SECURITIES FUND DIRECT PLAN DIVIDEND PLAN IDCW REINVESTMENT</t>
  </si>
  <si>
    <t>RELGILDPGP</t>
  </si>
  <si>
    <t>INF204K01XP8</t>
  </si>
  <si>
    <t>NIPPON INDIA GILT SECURITIES FUND DIRECT PLAN GROWTH PLAN GROWTH</t>
  </si>
  <si>
    <t>RELGLSRACA</t>
  </si>
  <si>
    <t>INF204K01CC0</t>
  </si>
  <si>
    <t>NIPPON INDIA GILT SEC FUND- P F OPT-AUTO CAP APPRECIATION PAYOUT</t>
  </si>
  <si>
    <t>RELGLSRMDO</t>
  </si>
  <si>
    <t>INF204K01CB2</t>
  </si>
  <si>
    <t>NIPPON INDIA GILT SECURITIES FUND-P F OPT-DEFINED MATURITY DATE OPT</t>
  </si>
  <si>
    <t>RELGLSRPDP</t>
  </si>
  <si>
    <t>INF204K01BV2</t>
  </si>
  <si>
    <t>NIPPON INDIA GILT SECURITIES FUND - DIV PLAN-IDCW PAYOUT OPTION</t>
  </si>
  <si>
    <t>RELGLSRPDR</t>
  </si>
  <si>
    <t>INF204K01BW0</t>
  </si>
  <si>
    <t>NIPPON INDIA GILT SECURITIES FUND -IDCW REINVESTMENT OPTION</t>
  </si>
  <si>
    <t>RELGLSRPGP</t>
  </si>
  <si>
    <t>INF204K01BU4</t>
  </si>
  <si>
    <t>NIPPON INDIA GILT SECURITIES FUND - GROWTH OPTION</t>
  </si>
  <si>
    <t>RELLIQDPGP</t>
  </si>
  <si>
    <t>INF204K01ZP3</t>
  </si>
  <si>
    <t>NIPPON INDIA MONEY MARKET FUND - DIRECT GROWTH PLAN GROWTH OPTION</t>
  </si>
  <si>
    <t>RELLIQDPMD</t>
  </si>
  <si>
    <t>INF204K01ZQ1</t>
  </si>
  <si>
    <t>NIPPON INDIA MONEY MARKET FUND - DIRECT PLAN MONTHLY IDCW PAYOUT</t>
  </si>
  <si>
    <t>INF204K01ZR9</t>
  </si>
  <si>
    <t>NIPPON INDIA MONEY MARKET FUND - DIRECT PLAN MONTHLY IDCW REINVESTMENT</t>
  </si>
  <si>
    <t>RELLIQTIDR</t>
  </si>
  <si>
    <t>INF204K01UM1</t>
  </si>
  <si>
    <t>NIPPON INDIA LIQUID FUND - DAILY IDCW REINVESTMENT</t>
  </si>
  <si>
    <t>RELLIQTIMP</t>
  </si>
  <si>
    <t>INF204K01UO7</t>
  </si>
  <si>
    <t>NIPPON INDIA LIQUID FUND - MONTHLY IDCW PAYOUT</t>
  </si>
  <si>
    <t>RELLIQTIMR</t>
  </si>
  <si>
    <t>INF204K01UP4</t>
  </si>
  <si>
    <t>NIPPON INDIA LIQUID FUND - MONTHLY IDCW REINVESTMENT</t>
  </si>
  <si>
    <t>RELLIQTIQP</t>
  </si>
  <si>
    <t>INF204K01UQ2</t>
  </si>
  <si>
    <t>NIPPON INDIA LIQUID FUND - QUARTERLY IDCW PAYOUT</t>
  </si>
  <si>
    <t>RELLIQTIQR</t>
  </si>
  <si>
    <t>INF204K01UR0</t>
  </si>
  <si>
    <t>NIPPON INDIA LIQUID FUND - QUARTERLY IDCW REINVESTMENT</t>
  </si>
  <si>
    <t>RELLIQTIWR</t>
  </si>
  <si>
    <t>INF204K01US8</t>
  </si>
  <si>
    <t>NIPPON INDIA LIQUID FUND - WEEKLY IDCW REINVESTMENT</t>
  </si>
  <si>
    <t>RELLIQTPGP</t>
  </si>
  <si>
    <t>INF204K01UL3</t>
  </si>
  <si>
    <t>NIPPON INDIA LIQUID FUND - RETAIL OPTION - GROWTH OPTION</t>
  </si>
  <si>
    <t>RELLIQTPIG</t>
  </si>
  <si>
    <t>INF204K01UN9</t>
  </si>
  <si>
    <t>NIPPON INDIA LIQUID FUND - GROWTH PLAN - GROWTH OPTION</t>
  </si>
  <si>
    <t>RELLQDTDDR</t>
  </si>
  <si>
    <t>INF204K01UY6</t>
  </si>
  <si>
    <t>NIPPON INDIA MONEY MARKET FUND - DAILY IDCW REINVESTMENT</t>
  </si>
  <si>
    <t>RELLQDTMDP</t>
  </si>
  <si>
    <t>INF204K01VB2</t>
  </si>
  <si>
    <t>NIPPON INDIA MONEY MARKET FUND - MONTHLY IDCW PAYOUT</t>
  </si>
  <si>
    <t>RELLQDTMDR</t>
  </si>
  <si>
    <t>INF204K01VC0</t>
  </si>
  <si>
    <t>NIPPON INDIA MONEY MARKET FUND - MONTHLY IDCW REINVESTMENT</t>
  </si>
  <si>
    <t>RELLQDTQDP</t>
  </si>
  <si>
    <t>INF204K01VD8</t>
  </si>
  <si>
    <t>NIPPON INDIA MONEY MARKET FUND - QUARTERLY IDCW PLAN PAYOUT</t>
  </si>
  <si>
    <t>RELLQDTQDR</t>
  </si>
  <si>
    <t>INF204K01VE6</t>
  </si>
  <si>
    <t>NIPPON INDIA MONEY MARKET FUND - QUARTERLY IDCW REINVESTMENT</t>
  </si>
  <si>
    <t>RELLQDTYGP</t>
  </si>
  <si>
    <t>INF204K01VA4</t>
  </si>
  <si>
    <t>NIPPON INDIA MONEY MARKET FUND - GROWTH PLAN GROWTH OPTION</t>
  </si>
  <si>
    <t>RELLTPDPGP</t>
  </si>
  <si>
    <t>INF204K01ZH0</t>
  </si>
  <si>
    <t>NIPPON INDIA LIQUID FUND - DIRECT GROWTH PLAN - GROWTH OPTION</t>
  </si>
  <si>
    <t>RELLTPDPMD</t>
  </si>
  <si>
    <t>INF204K01ZI8</t>
  </si>
  <si>
    <t>NIPPON INDIA LIQUID FUND - DIRECT MONTHLY IDCW PAYOUT</t>
  </si>
  <si>
    <t>INF204K01ZJ6</t>
  </si>
  <si>
    <t>NIPPON INDIA LIQUID FUND - DIRECT MONTHLY IDCW REINVESTMENT</t>
  </si>
  <si>
    <t>RELLTPDPQD</t>
  </si>
  <si>
    <t>INF204K01ZK4</t>
  </si>
  <si>
    <t>NIPPON INDIA LIQUID FUND - DIRECT QUARTERLY IDCW PAYOUT</t>
  </si>
  <si>
    <t>INF204K01ZL2</t>
  </si>
  <si>
    <t>NIPPON INDIA LIQUID FUND - DIRECT QUARTERLY IDCW REINVESTMENT</t>
  </si>
  <si>
    <t>RGFCOG</t>
  </si>
  <si>
    <t>INF205K01SD1</t>
  </si>
  <si>
    <t>INVESCO INDIA MONEY MARKET FUND - GROWTH</t>
  </si>
  <si>
    <t>RGFLFD1G</t>
  </si>
  <si>
    <t>INF205K01MF9</t>
  </si>
  <si>
    <t>INVESCO INDIA LIQUID FUND - DIRECT PLAN GROWTH</t>
  </si>
  <si>
    <t>RGFLFD4DR</t>
  </si>
  <si>
    <t>INF205K01ME2</t>
  </si>
  <si>
    <t>INVESCO INDIA LIQUID FUND - DIRECT PLAN DAILY IDCW REINVESTMENT</t>
  </si>
  <si>
    <t>RMFCOFRG</t>
  </si>
  <si>
    <t>INF205K01SG4</t>
  </si>
  <si>
    <t>INVESCO INDIA MONEY MARKET FUND - REGULAR GROWTH</t>
  </si>
  <si>
    <t>RMFLFSIG</t>
  </si>
  <si>
    <t>INF205K01HM5</t>
  </si>
  <si>
    <t>INVESCO INDIA LIQUID FUND - GROWTH</t>
  </si>
  <si>
    <t>RMFONADDR</t>
  </si>
  <si>
    <t>INF204KB1R49</t>
  </si>
  <si>
    <t>NIPPON INDIA OVERNIGHT FUND - DIRECT DAILY PLAN IDCW REINVESTMENT</t>
  </si>
  <si>
    <t>RMFONADGP</t>
  </si>
  <si>
    <t>INF204KB1R31</t>
  </si>
  <si>
    <t>NIPPON INDIA OVERNIGHT FUND - DIRECT GROWTH PLAN</t>
  </si>
  <si>
    <t>RMFONDDR</t>
  </si>
  <si>
    <t>INF204KB1Q73</t>
  </si>
  <si>
    <t>NIPPON INDIA OVERNIGHT FUND - DAILY IDCW REINVESTMENT</t>
  </si>
  <si>
    <t>RMFONDGP</t>
  </si>
  <si>
    <t>INF204KB1Q65</t>
  </si>
  <si>
    <t>NIPPON INDIA OVERNIGHT FUND - GROWTH PLAN</t>
  </si>
  <si>
    <t>RMFONMDP</t>
  </si>
  <si>
    <t>INF204KB1Q99</t>
  </si>
  <si>
    <t>NIPPON INDIA OVERNIGHT FUND - MONTHLY IDCW PAYOUT</t>
  </si>
  <si>
    <t>RMFONMDR</t>
  </si>
  <si>
    <t>INF204KB1R07</t>
  </si>
  <si>
    <t>NIPPON INDIA OVERNIGHT FUND - MONTHLY IDCW REINVESTMENT</t>
  </si>
  <si>
    <t>SBILFDG</t>
  </si>
  <si>
    <t>INF200K01UT4</t>
  </si>
  <si>
    <t>SBI LIQUID FUND DIRECT GROWTH</t>
  </si>
  <si>
    <t>SBIMICFFLT</t>
  </si>
  <si>
    <t>INF200K01LQ9</t>
  </si>
  <si>
    <t>SBI OVERNIGHT FUND REGULAR GROWTH</t>
  </si>
  <si>
    <t>SBIOFDG</t>
  </si>
  <si>
    <t>INF200K01TK5</t>
  </si>
  <si>
    <t>SBI OVERNIGHT FUND DIRECT GROWTH</t>
  </si>
  <si>
    <t>SBIPLF</t>
  </si>
  <si>
    <t>INF200K01MA1</t>
  </si>
  <si>
    <t>SBI LIQUID FUND REGULAR GROWTH</t>
  </si>
  <si>
    <t>SBISGDG</t>
  </si>
  <si>
    <t>INF200K01SZ5</t>
  </si>
  <si>
    <t>SBI SAVINGS FUND - DIRECT PLAN - GROWTH</t>
  </si>
  <si>
    <t>TATAFRSIG</t>
  </si>
  <si>
    <t>INF277K01YD8</t>
  </si>
  <si>
    <t>TATA LIQUID FUND REGULAR PLAN GROWTH</t>
  </si>
  <si>
    <t>TATALSD01</t>
  </si>
  <si>
    <t>INF277K014C0</t>
  </si>
  <si>
    <t>TATA MONEY MARKET REGULAR PLAN DAILY IDCW REINVESTMENT</t>
  </si>
  <si>
    <t>TATALSG01</t>
  </si>
  <si>
    <t>INF277K01LQ7</t>
  </si>
  <si>
    <t>TATA MONEY MARKET FUND REGULAR PLAN GROWTH</t>
  </si>
  <si>
    <t>TFRSTF</t>
  </si>
  <si>
    <t>INF277K01YE6</t>
  </si>
  <si>
    <t>TATA LIQUID FUND DIRECT PLAN GROWTH</t>
  </si>
  <si>
    <t>TLF</t>
  </si>
  <si>
    <t>INF277K01PR6</t>
  </si>
  <si>
    <t>TATA MONEY MARKET FUND DIRECT PLAN GROWTH</t>
  </si>
  <si>
    <t>TOFB</t>
  </si>
  <si>
    <t>INF277K016T9</t>
  </si>
  <si>
    <t>TATA OVERNIGHT FUND REGULAR PLAN GROWTH</t>
  </si>
  <si>
    <t>TOFD</t>
  </si>
  <si>
    <t>INF277K018T5</t>
  </si>
  <si>
    <t>TATA OVERNIGHT FUND DIRECT PLAN GROWTH</t>
  </si>
  <si>
    <t>UNLDDR</t>
  </si>
  <si>
    <t>INF582M01021</t>
  </si>
  <si>
    <t>UNION LIQUID FUND DAILY IDCW REINVESTMENT</t>
  </si>
  <si>
    <t>UNLDRD</t>
  </si>
  <si>
    <t>INF582M01682</t>
  </si>
  <si>
    <t>UNION LIQUID FUND DAILY IDCW REINVESTMENT-DIRECT PLAN</t>
  </si>
  <si>
    <t>UNLGR</t>
  </si>
  <si>
    <t>INF582M01013</t>
  </si>
  <si>
    <t>UNION LIQUID FUND GROWTH</t>
  </si>
  <si>
    <t>UNLGRD</t>
  </si>
  <si>
    <t>INF582M01674</t>
  </si>
  <si>
    <t>UNION LIQUID FUND GROWTH-DIRECT PLAN</t>
  </si>
  <si>
    <t>UTIGILTLTP</t>
  </si>
  <si>
    <t>INF789F01646</t>
  </si>
  <si>
    <t>UTI GILT FUND-REGULAR DIVIDEND PLAN-IDCW PAYOUT</t>
  </si>
  <si>
    <t>INF789F01661</t>
  </si>
  <si>
    <t>UTI GILT FUND-REGULAR REGULAR GROWTH</t>
  </si>
  <si>
    <t>INF789F01653</t>
  </si>
  <si>
    <t>UTI GILT FUND-REGULAR DIVIDEND PLAN-IDCW REINVESTMENT</t>
  </si>
  <si>
    <t>UTIGSECSTP</t>
  </si>
  <si>
    <t>INF789F01604</t>
  </si>
  <si>
    <t>UTI OVERNIGHT FUND - GROWTH PLAN</t>
  </si>
  <si>
    <t>UTILIQUDRI</t>
  </si>
  <si>
    <t>INF789F01AZ5</t>
  </si>
  <si>
    <t>UTI LIQUID CASH PLAN - REGULAR-IDCW REINVESTMENT</t>
  </si>
  <si>
    <t>UTILIQUMDR</t>
  </si>
  <si>
    <t>INF789F01BB4</t>
  </si>
  <si>
    <t>UTIMMFGP</t>
  </si>
  <si>
    <t>INF789F01BF5</t>
  </si>
  <si>
    <t>UTI MONEY MARKET FUND-DISCONTINUED REGULAR PLAN-GROWTH</t>
  </si>
  <si>
    <t>Sovereign Gold Bonds</t>
  </si>
  <si>
    <t>SGBJUL25</t>
  </si>
  <si>
    <t>IN0020170034</t>
  </si>
  <si>
    <t>SGBOCT26</t>
  </si>
  <si>
    <t>IN0020180249</t>
  </si>
  <si>
    <t>SGBJUN30</t>
  </si>
  <si>
    <t>IN0020220045</t>
  </si>
  <si>
    <t>SGBMAY25</t>
  </si>
  <si>
    <t>IN0020170018</t>
  </si>
  <si>
    <t>SGBNOV24</t>
  </si>
  <si>
    <t>IN0020160076</t>
  </si>
  <si>
    <t>SGBJ28VIII</t>
  </si>
  <si>
    <t>IN0020190537</t>
  </si>
  <si>
    <t>SGBNOV258</t>
  </si>
  <si>
    <t>IN0020170109</t>
  </si>
  <si>
    <t>SGBJAN29X</t>
  </si>
  <si>
    <t>IN0020200385</t>
  </si>
  <si>
    <t>SGBJU29III</t>
  </si>
  <si>
    <t>IN0020210087</t>
  </si>
  <si>
    <t>SGBJUN28</t>
  </si>
  <si>
    <t>IN0020200104</t>
  </si>
  <si>
    <t>SGBMAR30X</t>
  </si>
  <si>
    <t>IN0020210319</t>
  </si>
  <si>
    <t>SGBMAY29I</t>
  </si>
  <si>
    <t>IN0020210053</t>
  </si>
  <si>
    <t>SGBJUL28IV</t>
  </si>
  <si>
    <t>IN0020200146</t>
  </si>
  <si>
    <t>SGBOC28VII</t>
  </si>
  <si>
    <t>IN0020200203</t>
  </si>
  <si>
    <t>SGBJAN29IX</t>
  </si>
  <si>
    <t>IN0020200377</t>
  </si>
  <si>
    <t>SGBJUL27</t>
  </si>
  <si>
    <t>IN0020190081</t>
  </si>
  <si>
    <t>SGBJUN27</t>
  </si>
  <si>
    <t>IN0020190073</t>
  </si>
  <si>
    <t>SGBDEC25</t>
  </si>
  <si>
    <t>IN0020170125</t>
  </si>
  <si>
    <t>SGBNOV25IX</t>
  </si>
  <si>
    <t>IN0020170117</t>
  </si>
  <si>
    <t>SGBFEB27</t>
  </si>
  <si>
    <t>IN0020180561</t>
  </si>
  <si>
    <t>SGBNOV26</t>
  </si>
  <si>
    <t>IN0020180314</t>
  </si>
  <si>
    <t>SGBJAN26</t>
  </si>
  <si>
    <t>IN0020170166</t>
  </si>
  <si>
    <t>SGBDEC2513</t>
  </si>
  <si>
    <t>IN0020170158</t>
  </si>
  <si>
    <t>SGBNOV25</t>
  </si>
  <si>
    <t>IN0020170091</t>
  </si>
  <si>
    <t>SGBDEC2512</t>
  </si>
  <si>
    <t>IN0020170141</t>
  </si>
  <si>
    <t>SGBDEC25XI</t>
  </si>
  <si>
    <t>IN0020170133</t>
  </si>
  <si>
    <t>SGBNOV25VI</t>
  </si>
  <si>
    <t>IN0020170083</t>
  </si>
  <si>
    <t>SGBDEC26</t>
  </si>
  <si>
    <t>IN0020180389</t>
  </si>
  <si>
    <t>SGBMAY26</t>
  </si>
  <si>
    <t>IN0020180033</t>
  </si>
  <si>
    <t>SGBAPR28I</t>
  </si>
  <si>
    <t>IN0020200062</t>
  </si>
  <si>
    <t>SGBOCT27</t>
  </si>
  <si>
    <t>IN0020190370</t>
  </si>
  <si>
    <t>SGBAUG27</t>
  </si>
  <si>
    <t>IN0020190107</t>
  </si>
  <si>
    <t>SGBJAN27</t>
  </si>
  <si>
    <t>IN0020180462</t>
  </si>
  <si>
    <t>SGBOCT25IV</t>
  </si>
  <si>
    <t>IN0020170067</t>
  </si>
  <si>
    <t>SGBNOV23</t>
  </si>
  <si>
    <t>IN0020150085</t>
  </si>
  <si>
    <t>SGBMAR24</t>
  </si>
  <si>
    <t>IN0020150119</t>
  </si>
  <si>
    <t>SGBMR29XII</t>
  </si>
  <si>
    <t>IN0020200427</t>
  </si>
  <si>
    <t>SGBSEP27</t>
  </si>
  <si>
    <t>IN0020190115</t>
  </si>
  <si>
    <t>SGBAUG24</t>
  </si>
  <si>
    <t>IN0020160027</t>
  </si>
  <si>
    <t>SGBFEB29XI</t>
  </si>
  <si>
    <t>IN0020200393</t>
  </si>
  <si>
    <t>SGBAUG28V</t>
  </si>
  <si>
    <t>IN0020200161</t>
  </si>
  <si>
    <t>SGBN28VIII</t>
  </si>
  <si>
    <t>IN0020200286</t>
  </si>
  <si>
    <t>SGBJUN29II</t>
  </si>
  <si>
    <t>IN0020210061</t>
  </si>
  <si>
    <t>SGBD29VIII</t>
  </si>
  <si>
    <t>IN0020210228</t>
  </si>
  <si>
    <t>SGBJUL29IV</t>
  </si>
  <si>
    <t>IN0020210111</t>
  </si>
  <si>
    <t>SGBSEP29VI</t>
  </si>
  <si>
    <t>IN0020210145</t>
  </si>
  <si>
    <t>SGBJAN30IX</t>
  </si>
  <si>
    <t>IN0020210236</t>
  </si>
  <si>
    <t>SGBSEP28VI</t>
  </si>
  <si>
    <t>IN0020200195</t>
  </si>
  <si>
    <t>SGBMAY28</t>
  </si>
  <si>
    <t>IN0020200088</t>
  </si>
  <si>
    <t>SGBFEB24</t>
  </si>
  <si>
    <t>IN0020150101</t>
  </si>
  <si>
    <t>SGBNV29VII</t>
  </si>
  <si>
    <t>IN0020210178</t>
  </si>
  <si>
    <t>SGBMAR25</t>
  </si>
  <si>
    <t>IN0020160126</t>
  </si>
  <si>
    <t>SGBOCT25</t>
  </si>
  <si>
    <t>IN0020170059</t>
  </si>
  <si>
    <t>SGBMAR28X</t>
  </si>
  <si>
    <t>IN0020190552</t>
  </si>
  <si>
    <t>SGBAUG29V</t>
  </si>
  <si>
    <t>IN0020210129</t>
  </si>
  <si>
    <t>SGBOCT27VI</t>
  </si>
  <si>
    <t>IN0020190388</t>
  </si>
  <si>
    <t>SGBFEB28IX</t>
  </si>
  <si>
    <t>IN0020190545</t>
  </si>
  <si>
    <t>SGBSEP24</t>
  </si>
  <si>
    <t>IN0020160043</t>
  </si>
  <si>
    <t>SGBDC27VII</t>
  </si>
  <si>
    <t>IN0020190461</t>
  </si>
  <si>
    <t>SGBOCT25V</t>
  </si>
  <si>
    <t>IN0020170075</t>
  </si>
  <si>
    <t>Government Securities</t>
  </si>
  <si>
    <t>8.08% G.S. 2022</t>
  </si>
  <si>
    <t>IN0020070028</t>
  </si>
  <si>
    <t>5.87% G.S. 2022</t>
  </si>
  <si>
    <t>IN0020039031</t>
  </si>
  <si>
    <t>8.13% G.S. 2022</t>
  </si>
  <si>
    <t>IN0020070051</t>
  </si>
  <si>
    <t>3.96% G.S. 2022</t>
  </si>
  <si>
    <t>IN0020200260</t>
  </si>
  <si>
    <t>6.84% G.S. 2022</t>
  </si>
  <si>
    <t>IN0020160050</t>
  </si>
  <si>
    <t>6.30% G.S. 2023</t>
  </si>
  <si>
    <t>IN0020030014</t>
  </si>
  <si>
    <t>7.37% G.S. 2023</t>
  </si>
  <si>
    <t>IN0020180025</t>
  </si>
  <si>
    <t>4.26% G.S. 2023</t>
  </si>
  <si>
    <t>IN0020210046</t>
  </si>
  <si>
    <t>7.16% G.S. 2023</t>
  </si>
  <si>
    <t>IN0020130012</t>
  </si>
  <si>
    <t>6.17% G.S. 2023</t>
  </si>
  <si>
    <t>IN0020030055</t>
  </si>
  <si>
    <t>4.48% G.S. 2023</t>
  </si>
  <si>
    <t>IN0020200211</t>
  </si>
  <si>
    <t>8.83% G.S. 2023</t>
  </si>
  <si>
    <t>IN0020130061</t>
  </si>
  <si>
    <t>4.56% G.S. 2023</t>
  </si>
  <si>
    <t>IN0020210210</t>
  </si>
  <si>
    <t>7.68% G.S. 2023</t>
  </si>
  <si>
    <t>IN0020150010</t>
  </si>
  <si>
    <t>7.32% G.S. 2024</t>
  </si>
  <si>
    <t>IN0020180488</t>
  </si>
  <si>
    <t>7.35% G.S. 2024</t>
  </si>
  <si>
    <t>IN0020090034</t>
  </si>
  <si>
    <t>6.69% G.S. 2024</t>
  </si>
  <si>
    <t>IN0020220052</t>
  </si>
  <si>
    <t>8.40% G.S. 2024</t>
  </si>
  <si>
    <t>IN0020140045</t>
  </si>
  <si>
    <t>6.18% G.S. 2024</t>
  </si>
  <si>
    <t>IN0020190396</t>
  </si>
  <si>
    <t>9.15% G.S. 2024</t>
  </si>
  <si>
    <t>IN0020110048</t>
  </si>
  <si>
    <t>7.72% G.S. 2025</t>
  </si>
  <si>
    <t>IN0020150036</t>
  </si>
  <si>
    <t>5.22% G.S. 2025</t>
  </si>
  <si>
    <t>IN0020200112</t>
  </si>
  <si>
    <t>8.20% G.S. 2025</t>
  </si>
  <si>
    <t>IN0020120047</t>
  </si>
  <si>
    <t>5.97% G.S. 2025</t>
  </si>
  <si>
    <t>IN0020030071</t>
  </si>
  <si>
    <t>5.15% G.S. 2025</t>
  </si>
  <si>
    <t>IN0020200278</t>
  </si>
  <si>
    <t>7.59% G.S. 2026</t>
  </si>
  <si>
    <t>IN0020150093</t>
  </si>
  <si>
    <t>7.27% G.S. 2026</t>
  </si>
  <si>
    <t>IN0020190016</t>
  </si>
  <si>
    <t>5.63% GS 2026</t>
  </si>
  <si>
    <t>IN0020210012</t>
  </si>
  <si>
    <t>8.33% G.S. 2026</t>
  </si>
  <si>
    <t>IN0020120039</t>
  </si>
  <si>
    <t>6.97% G.S. 2026</t>
  </si>
  <si>
    <t>IN0020160035</t>
  </si>
  <si>
    <t>10.18% G.S. 2026</t>
  </si>
  <si>
    <t>IN0020010081</t>
  </si>
  <si>
    <t>5.74% G.S. 2026</t>
  </si>
  <si>
    <t>IN0020210186</t>
  </si>
  <si>
    <t>8.15% G.S. 2026</t>
  </si>
  <si>
    <t>IN0020140060</t>
  </si>
  <si>
    <t>8.24% G.S. 2027</t>
  </si>
  <si>
    <t>IN0020060078</t>
  </si>
  <si>
    <t>6.79% G.S. 2027</t>
  </si>
  <si>
    <t>IN0020170026</t>
  </si>
  <si>
    <t>7.38% G.S. 2027</t>
  </si>
  <si>
    <t>IN0020220037</t>
  </si>
  <si>
    <t>8.26% G.S. 2027</t>
  </si>
  <si>
    <t>IN0020070036</t>
  </si>
  <si>
    <t>8.28% G.S. 2027</t>
  </si>
  <si>
    <t>IN0020070069</t>
  </si>
  <si>
    <t>7.17% G.S. 2028</t>
  </si>
  <si>
    <t>IN0020170174</t>
  </si>
  <si>
    <t>6.01% G.S. 2028</t>
  </si>
  <si>
    <t>IN0020020247</t>
  </si>
  <si>
    <t>8.60% G.S. 2028</t>
  </si>
  <si>
    <t>IN0020140011</t>
  </si>
  <si>
    <t>6.13% G.S. 2028</t>
  </si>
  <si>
    <t>IN0020030022</t>
  </si>
  <si>
    <t>7.26% G.S. 2029</t>
  </si>
  <si>
    <t>IN0020180454</t>
  </si>
  <si>
    <t>7.59% G.S. 2029</t>
  </si>
  <si>
    <t>IN0020150069</t>
  </si>
  <si>
    <t>7.10% G.S. 2029</t>
  </si>
  <si>
    <t>IN0020220011</t>
  </si>
  <si>
    <t>6.45% G.S. 2029</t>
  </si>
  <si>
    <t>IN0020190362</t>
  </si>
  <si>
    <t>6.79% G.S. 2029</t>
  </si>
  <si>
    <t>IN0020160118</t>
  </si>
  <si>
    <t>7.88% G.S. 2030</t>
  </si>
  <si>
    <t>IN0020150028</t>
  </si>
  <si>
    <t>7.61% G.S. 2030</t>
  </si>
  <si>
    <t>IN0020160019</t>
  </si>
  <si>
    <t>5.79% G.S. 2030</t>
  </si>
  <si>
    <t>IN0020200070</t>
  </si>
  <si>
    <t>5.77% G.S. 2030</t>
  </si>
  <si>
    <t>IN0020200153</t>
  </si>
  <si>
    <t>9.20% G.S. 2030</t>
  </si>
  <si>
    <t>IN0020130053</t>
  </si>
  <si>
    <t>5.85% G.S. 2030</t>
  </si>
  <si>
    <t>IN0020200294</t>
  </si>
  <si>
    <t>8.97% G.S. 2030</t>
  </si>
  <si>
    <t>IN0020110055</t>
  </si>
  <si>
    <t>6.10% G.S. 2031</t>
  </si>
  <si>
    <t>IN0020210095</t>
  </si>
  <si>
    <t>6.68% G.S. 2031</t>
  </si>
  <si>
    <t>IN0020170042</t>
  </si>
  <si>
    <t>6.54% G.S. 2032</t>
  </si>
  <si>
    <t>IN0020210244</t>
  </si>
  <si>
    <t>8.28% G.S. 2032</t>
  </si>
  <si>
    <t>IN0020060086</t>
  </si>
  <si>
    <t>8.32% G.S. 2032</t>
  </si>
  <si>
    <t>IN0020070044</t>
  </si>
  <si>
    <t>7.95% G.S. 2032</t>
  </si>
  <si>
    <t>IN0020020106</t>
  </si>
  <si>
    <t>8.33% G.S. 2032</t>
  </si>
  <si>
    <t>IN0020070077</t>
  </si>
  <si>
    <t>7.57% G.S. 2033</t>
  </si>
  <si>
    <t>IN0020190065</t>
  </si>
  <si>
    <t>8.24% G.S. 2033</t>
  </si>
  <si>
    <t>IN0020140052</t>
  </si>
  <si>
    <t>6.57% G.S. 2033</t>
  </si>
  <si>
    <t>IN0020160100</t>
  </si>
  <si>
    <t>7.50% G.S. 2034</t>
  </si>
  <si>
    <t>IN0020040039</t>
  </si>
  <si>
    <t>6.19% G.S. 2034</t>
  </si>
  <si>
    <t>IN0020200096</t>
  </si>
  <si>
    <t>7.73% G.S. 2034</t>
  </si>
  <si>
    <t>IN0020150051</t>
  </si>
  <si>
    <t>6.22% G.S. 2035</t>
  </si>
  <si>
    <t>IN0020200245</t>
  </si>
  <si>
    <t>6.64% GS 2035</t>
  </si>
  <si>
    <t>IN0020210020</t>
  </si>
  <si>
    <t>7.40% G.S. 2035</t>
  </si>
  <si>
    <t>IN0020050012</t>
  </si>
  <si>
    <t>6.67% G.S. 2035</t>
  </si>
  <si>
    <t>IN0020210152</t>
  </si>
  <si>
    <t>7.54% G.S. 2036</t>
  </si>
  <si>
    <t>IN0020220029</t>
  </si>
  <si>
    <t>8.33% G.S. 2036</t>
  </si>
  <si>
    <t>IN0020060045</t>
  </si>
  <si>
    <t>6.83% G.S. 2039</t>
  </si>
  <si>
    <t>IN0020080050</t>
  </si>
  <si>
    <t>7.62% G.S. 2039</t>
  </si>
  <si>
    <t>IN0020190024</t>
  </si>
  <si>
    <t>8.30% G.S. 2040</t>
  </si>
  <si>
    <t>IN0020100031</t>
  </si>
  <si>
    <t>8.83% G.S. 2041</t>
  </si>
  <si>
    <t>IN0020110063</t>
  </si>
  <si>
    <t>8.30% G.S. 2042</t>
  </si>
  <si>
    <t>IN0020120062</t>
  </si>
  <si>
    <t>7.69% G.S. 2043</t>
  </si>
  <si>
    <t>IN0020190040</t>
  </si>
  <si>
    <t>9.23% G.S. 2043</t>
  </si>
  <si>
    <t>IN0020130079</t>
  </si>
  <si>
    <t>8.17% G.S. 2044</t>
  </si>
  <si>
    <t>IN0020140078</t>
  </si>
  <si>
    <t>8.13% G.S. 2045</t>
  </si>
  <si>
    <t>IN0020150044</t>
  </si>
  <si>
    <t>7.06% G.S. 2046</t>
  </si>
  <si>
    <t>IN0020160068</t>
  </si>
  <si>
    <t>7.72% G.S. 2049</t>
  </si>
  <si>
    <t>IN0020190032</t>
  </si>
  <si>
    <t>7.16% G.S. 2050</t>
  </si>
  <si>
    <t>IN0020200054</t>
  </si>
  <si>
    <t>6.67% G.S. 2050</t>
  </si>
  <si>
    <t>IN0020200252</t>
  </si>
  <si>
    <t>6.62% G.S. 2051</t>
  </si>
  <si>
    <t>IN0020160092</t>
  </si>
  <si>
    <t>6.99% G.S. 2051</t>
  </si>
  <si>
    <t>IN0020210194</t>
  </si>
  <si>
    <t>7.72% G.S. 2055</t>
  </si>
  <si>
    <t>IN0020150077</t>
  </si>
  <si>
    <t>7.63% G.S. 2059</t>
  </si>
  <si>
    <t>IN0020190057</t>
  </si>
  <si>
    <t>7.19% G.S. 2060</t>
  </si>
  <si>
    <t>IN0020200039</t>
  </si>
  <si>
    <t>6.80% G.S. 2060</t>
  </si>
  <si>
    <t>IN0020200187</t>
  </si>
  <si>
    <t>6.76% G.S. 2061</t>
  </si>
  <si>
    <t>IN0020200401</t>
  </si>
  <si>
    <t>6.95% G.S. 2061</t>
  </si>
  <si>
    <t>IN0020210202</t>
  </si>
  <si>
    <t xml:space="preserve">1) Haircut as applicable subject to a minimum of VaR+ELM+Adhoc
</t>
  </si>
  <si>
    <t>3) For stocks pledged before 4pm, collateral margin will be available on T+1 day.</t>
  </si>
  <si>
    <r>
      <rPr>
        <rFont val="Ubuntu"/>
        <sz val="10.0"/>
      </rPr>
      <t xml:space="preserve">5) The collateral margin received by pledging non-cash component securities can be used only up to 50% of the margin requirement for your open positions. The exchange stipulates for the remaining 50% margin to come in the form of cash or cash equivalent collateral. Any additional utilisation of the non-cash collateral, over and above 50% of the margin requirement will be liable to </t>
    </r>
    <r>
      <rPr>
        <rFont val="Ubuntu"/>
        <color rgb="FF1155CC"/>
        <sz val="10.0"/>
        <u/>
      </rPr>
      <t>delayed payment charges</t>
    </r>
    <r>
      <rPr>
        <rFont val="Ubuntu"/>
        <sz val="10.0"/>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</si>
</sst>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rgb="FF4A4A4A"/>
      <name val="Roboto"/>
    </font>
    <font>
      <sz val="10.0"/>
      <name val="Ubuntu"/>
    </font>
    <font>
      <b/>
      <sz val="10.0"/>
      <color rgb="FF000000"/>
      <name val="Ubuntu"/>
    </font>
    <font>
      <b/>
      <sz val="10.0"/>
      <name val="Ubuntu"/>
    </font>
    <font>
      <sz val="10.0"/>
      <color rgb="FF000000"/>
      <name val="Ubuntu"/>
    </font>
    <font>
      <sz val="11.0"/>
      <color rgb="FF000000"/>
      <name val="Calibri"/>
    </font>
    <font/>
    <font>
      <u/>
      <sz val="10.0"/>
      <color rgb="FF0000FF"/>
      <name val="Ubuntu"/>
    </font>
    <font>
      <strike/>
      <sz val="10.0"/>
      <name val="Ubuntu"/>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1"/>
    </xf>
    <xf borderId="0" fillId="2" fontId="1" numFmtId="0" xfId="0" applyAlignment="1" applyFill="1" applyFont="1">
      <alignment horizontal="left" readingOrder="0" shrinkToFit="0" wrapText="1"/>
    </xf>
    <xf borderId="0" fillId="0" fontId="2" numFmtId="0" xfId="0" applyAlignment="1" applyFont="1">
      <alignment shrinkToFit="0" wrapText="1"/>
    </xf>
    <xf borderId="0" fillId="0" fontId="3" numFmtId="0" xfId="0" applyAlignment="1" applyFont="1">
      <alignment horizontal="center" readingOrder="0" shrinkToFit="0" vertical="bottom" wrapText="0"/>
    </xf>
    <xf borderId="0" fillId="0" fontId="4" numFmtId="0" xfId="0" applyAlignment="1" applyFont="1">
      <alignment readingOrder="0" shrinkToFit="0" wrapText="1"/>
    </xf>
    <xf borderId="0" fillId="0" fontId="3" numFmtId="0" xfId="0" applyAlignment="1" applyFont="1">
      <alignment readingOrder="0" shrinkToFit="0" vertical="bottom" wrapText="0"/>
    </xf>
    <xf borderId="0" fillId="0" fontId="4" numFmtId="0" xfId="0" applyAlignment="1" applyFont="1">
      <alignment readingOrder="0" shrinkToFit="0" vertical="bottom"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5" numFmtId="0" xfId="0" applyAlignment="1" applyFont="1">
      <alignment horizontal="right" readingOrder="0" shrinkToFit="0" wrapText="1"/>
    </xf>
    <xf borderId="0" fillId="0" fontId="7"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3" numFmtId="0" xfId="0" applyAlignment="1" applyFont="1">
      <alignment readingOrder="0" shrinkToFit="0" vertical="bottom" wrapText="1"/>
    </xf>
    <xf borderId="0" fillId="0" fontId="6" numFmtId="0" xfId="0" applyAlignment="1" applyFont="1">
      <alignment horizontal="right" readingOrder="0" shrinkToFit="0" wrapText="0"/>
    </xf>
    <xf borderId="0" fillId="0" fontId="6" numFmtId="0" xfId="0" applyAlignment="1" applyFont="1">
      <alignment readingOrder="0" shrinkToFit="0" wrapText="0"/>
    </xf>
    <xf borderId="0" fillId="0" fontId="5" numFmtId="0" xfId="0" applyAlignment="1" applyFont="1">
      <alignment shrinkToFit="0" vertical="bottom" wrapText="0"/>
    </xf>
    <xf borderId="0" fillId="0" fontId="8" numFmtId="0" xfId="0" applyAlignment="1" applyFont="1">
      <alignment readingOrder="0" shrinkToFit="0" wrapText="1"/>
    </xf>
    <xf borderId="0" fillId="0" fontId="9" numFmtId="0" xfId="0" applyAlignment="1" applyFont="1">
      <alignment readingOrder="0" shrinkToFit="0" wrapText="1"/>
    </xf>
    <xf borderId="0" fillId="0" fontId="4" numFmtId="0" xfId="0" applyAlignment="1" applyFont="1">
      <alignment horizontal="left" readingOrder="0" shrinkToFit="0" wrapText="1"/>
    </xf>
    <xf borderId="0" fillId="0" fontId="7"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9525</xdr:rowOff>
    </xdr:from>
    <xdr:ext cx="1438275" cy="180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support.zerodha.com/category/console/ledger/articles/interest-charg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upport.zerodha.com/category/console/ledger/articles/interest-charges"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2.75"/>
  <cols>
    <col customWidth="1" min="1" max="1" width="9.88"/>
    <col customWidth="1" min="2" max="2" width="15.38"/>
    <col customWidth="1" min="3" max="3" width="15.63"/>
    <col customWidth="1" min="4" max="4" width="53.13"/>
    <col customWidth="1" min="5" max="5" width="23.13"/>
    <col customWidth="1" min="6" max="6" width="20.5"/>
    <col customWidth="1" min="7" max="7" width="39.88"/>
  </cols>
  <sheetData>
    <row r="1">
      <c r="A1" s="1"/>
      <c r="B1" s="2"/>
      <c r="C1" s="2"/>
      <c r="D1" s="2"/>
      <c r="E1" s="2"/>
      <c r="F1" s="2"/>
      <c r="G1" s="2"/>
    </row>
    <row r="2">
      <c r="A2" s="2"/>
      <c r="B2" s="2"/>
      <c r="C2" s="2"/>
    </row>
    <row r="3">
      <c r="A3" s="2"/>
      <c r="B3" s="2"/>
      <c r="C3" s="2"/>
      <c r="D3" s="2"/>
      <c r="E3" s="2"/>
      <c r="F3" s="2"/>
      <c r="G3" s="2"/>
    </row>
    <row r="4" ht="19.5" customHeight="1">
      <c r="A4" s="3" t="s">
        <v>0</v>
      </c>
      <c r="F4" s="3"/>
      <c r="G4" s="3"/>
    </row>
    <row r="5">
      <c r="A5" s="4"/>
      <c r="B5" s="4" t="s">
        <v>1</v>
      </c>
      <c r="C5" s="4"/>
      <c r="D5" s="5"/>
      <c r="E5" s="4"/>
      <c r="F5" s="4"/>
      <c r="G5" s="4"/>
    </row>
    <row r="6" ht="25.5" customHeight="1">
      <c r="A6" s="6" t="s">
        <v>2</v>
      </c>
      <c r="B6" s="6" t="s">
        <v>3</v>
      </c>
      <c r="C6" s="6" t="s">
        <v>4</v>
      </c>
      <c r="D6" s="5" t="s">
        <v>5</v>
      </c>
      <c r="E6" s="6" t="s">
        <v>6</v>
      </c>
      <c r="F6" s="6" t="s">
        <v>7</v>
      </c>
      <c r="G6" s="6"/>
    </row>
    <row r="7">
      <c r="A7" s="7">
        <v>1.0</v>
      </c>
      <c r="B7" s="8" t="s">
        <v>8</v>
      </c>
      <c r="C7" s="8" t="s">
        <v>9</v>
      </c>
      <c r="D7" s="8">
        <f>IFERROR(__xludf.DUMMYFUNCTION("IFERROR(VLOOKUP(C7,IMPORTRANGE(""https://docs.google.com/spreadsheets/d/10KlTSftfC81rs2H7Cf6EIR7VWS3omC-2kwzaThHv16k/edit#gid=0"",""NSE Input VaR+ELM!D:J""),7,0),100)"),18.28)</f>
        <v>18.28</v>
      </c>
      <c r="E7" s="7">
        <f t="shared" ref="E7:E1285" si="1">100-D7</f>
        <v>81.72</v>
      </c>
      <c r="F7" s="9" t="s">
        <v>10</v>
      </c>
      <c r="G7" s="7"/>
    </row>
    <row r="8">
      <c r="A8" s="7">
        <v>2.0</v>
      </c>
      <c r="B8" s="8" t="s">
        <v>11</v>
      </c>
      <c r="C8" s="8" t="s">
        <v>12</v>
      </c>
      <c r="D8" s="8">
        <f>IFERROR(__xludf.DUMMYFUNCTION("IFERROR(VLOOKUP(C8,IMPORTRANGE(""https://docs.google.com/spreadsheets/d/10KlTSftfC81rs2H7Cf6EIR7VWS3omC-2kwzaThHv16k/edit#gid=0"",""NSE Input VaR+ELM!D:J""),7,0),100)"),18.45)</f>
        <v>18.45</v>
      </c>
      <c r="E8" s="7">
        <f t="shared" si="1"/>
        <v>81.55</v>
      </c>
      <c r="F8" s="9" t="s">
        <v>10</v>
      </c>
      <c r="G8" s="7"/>
    </row>
    <row r="9">
      <c r="A9" s="7">
        <v>3.0</v>
      </c>
      <c r="B9" s="8" t="s">
        <v>13</v>
      </c>
      <c r="C9" s="8" t="s">
        <v>14</v>
      </c>
      <c r="D9" s="8">
        <f>IFERROR(__xludf.DUMMYFUNCTION("IFERROR(VLOOKUP(C9,IMPORTRANGE(""https://docs.google.com/spreadsheets/d/10KlTSftfC81rs2H7Cf6EIR7VWS3omC-2kwzaThHv16k/edit#gid=0"",""NSE Input VaR+ELM!D:J""),7,0),100)"),14.8)</f>
        <v>14.8</v>
      </c>
      <c r="E9" s="7">
        <f t="shared" si="1"/>
        <v>85.2</v>
      </c>
      <c r="F9" s="9" t="s">
        <v>10</v>
      </c>
      <c r="G9" s="7"/>
    </row>
    <row r="10">
      <c r="A10" s="7">
        <v>4.0</v>
      </c>
      <c r="B10" s="8" t="s">
        <v>15</v>
      </c>
      <c r="C10" s="8" t="s">
        <v>16</v>
      </c>
      <c r="D10" s="8">
        <f>IFERROR(__xludf.DUMMYFUNCTION("IFERROR(VLOOKUP(C10,IMPORTRANGE(""https://docs.google.com/spreadsheets/d/10KlTSftfC81rs2H7Cf6EIR7VWS3omC-2kwzaThHv16k/edit#gid=0"",""NSE Input VaR+ELM!D:J""),7,0),100)"),16.62)</f>
        <v>16.62</v>
      </c>
      <c r="E10" s="7">
        <f t="shared" si="1"/>
        <v>83.38</v>
      </c>
      <c r="F10" s="9" t="s">
        <v>10</v>
      </c>
      <c r="G10" s="7"/>
    </row>
    <row r="11">
      <c r="A11" s="7">
        <v>5.0</v>
      </c>
      <c r="B11" s="8" t="s">
        <v>17</v>
      </c>
      <c r="C11" s="8" t="s">
        <v>18</v>
      </c>
      <c r="D11" s="8">
        <f>IFERROR(__xludf.DUMMYFUNCTION("IFERROR(VLOOKUP(C11,IMPORTRANGE(""https://docs.google.com/spreadsheets/d/10KlTSftfC81rs2H7Cf6EIR7VWS3omC-2kwzaThHv16k/edit#gid=0"",""NSE Input VaR+ELM!D:J""),7,0),100)"),13.47)</f>
        <v>13.47</v>
      </c>
      <c r="E11" s="7">
        <f t="shared" si="1"/>
        <v>86.53</v>
      </c>
      <c r="F11" s="9" t="s">
        <v>10</v>
      </c>
      <c r="G11" s="7"/>
    </row>
    <row r="12">
      <c r="A12" s="7">
        <v>6.0</v>
      </c>
      <c r="B12" s="8" t="s">
        <v>19</v>
      </c>
      <c r="C12" s="8" t="s">
        <v>20</v>
      </c>
      <c r="D12" s="8">
        <f>IFERROR(__xludf.DUMMYFUNCTION("IFERROR(VLOOKUP(C12,IMPORTRANGE(""https://docs.google.com/spreadsheets/d/10KlTSftfC81rs2H7Cf6EIR7VWS3omC-2kwzaThHv16k/edit#gid=0"",""NSE Input VaR+ELM!D:J""),7,0),100)"),18.77)</f>
        <v>18.77</v>
      </c>
      <c r="E12" s="7">
        <f t="shared" si="1"/>
        <v>81.23</v>
      </c>
      <c r="F12" s="9" t="s">
        <v>10</v>
      </c>
      <c r="G12" s="7"/>
    </row>
    <row r="13">
      <c r="A13" s="7">
        <v>7.0</v>
      </c>
      <c r="B13" s="8" t="s">
        <v>21</v>
      </c>
      <c r="C13" s="8" t="s">
        <v>22</v>
      </c>
      <c r="D13" s="8">
        <f>IFERROR(__xludf.DUMMYFUNCTION("IFERROR(VLOOKUP(C13,IMPORTRANGE(""https://docs.google.com/spreadsheets/d/10KlTSftfC81rs2H7Cf6EIR7VWS3omC-2kwzaThHv16k/edit#gid=0"",""NSE Input VaR+ELM!D:J""),7,0),100)"),18.77)</f>
        <v>18.77</v>
      </c>
      <c r="E13" s="7">
        <f t="shared" si="1"/>
        <v>81.23</v>
      </c>
      <c r="F13" s="9" t="s">
        <v>10</v>
      </c>
      <c r="G13" s="7"/>
    </row>
    <row r="14">
      <c r="A14" s="7">
        <v>8.0</v>
      </c>
      <c r="B14" s="8" t="s">
        <v>23</v>
      </c>
      <c r="C14" s="8" t="s">
        <v>24</v>
      </c>
      <c r="D14" s="8">
        <f>IFERROR(__xludf.DUMMYFUNCTION("IFERROR(VLOOKUP(C14,IMPORTRANGE(""https://docs.google.com/spreadsheets/d/10KlTSftfC81rs2H7Cf6EIR7VWS3omC-2kwzaThHv16k/edit#gid=0"",""NSE Input VaR+ELM!D:J""),7,0),100)"),14.6)</f>
        <v>14.6</v>
      </c>
      <c r="E14" s="7">
        <f t="shared" si="1"/>
        <v>85.4</v>
      </c>
      <c r="F14" s="9" t="s">
        <v>10</v>
      </c>
      <c r="G14" s="7"/>
    </row>
    <row r="15">
      <c r="A15" s="7">
        <v>9.0</v>
      </c>
      <c r="B15" s="8" t="s">
        <v>25</v>
      </c>
      <c r="C15" s="8" t="s">
        <v>26</v>
      </c>
      <c r="D15" s="8">
        <f>IFERROR(__xludf.DUMMYFUNCTION("IFERROR(VLOOKUP(C15,IMPORTRANGE(""https://docs.google.com/spreadsheets/d/10KlTSftfC81rs2H7Cf6EIR7VWS3omC-2kwzaThHv16k/edit#gid=0"",""NSE Input VaR+ELM!D:J""),7,0),100)"),15.59)</f>
        <v>15.59</v>
      </c>
      <c r="E15" s="7">
        <f t="shared" si="1"/>
        <v>84.41</v>
      </c>
      <c r="F15" s="9" t="s">
        <v>10</v>
      </c>
      <c r="G15" s="7"/>
    </row>
    <row r="16">
      <c r="A16" s="7">
        <v>10.0</v>
      </c>
      <c r="B16" s="8" t="s">
        <v>27</v>
      </c>
      <c r="C16" s="8" t="s">
        <v>28</v>
      </c>
      <c r="D16" s="8">
        <f>IFERROR(__xludf.DUMMYFUNCTION("IFERROR(VLOOKUP(C16,IMPORTRANGE(""https://docs.google.com/spreadsheets/d/10KlTSftfC81rs2H7Cf6EIR7VWS3omC-2kwzaThHv16k/edit#gid=0"",""NSE Input VaR+ELM!D:J""),7,0),100)"),13.0)</f>
        <v>13</v>
      </c>
      <c r="E16" s="7">
        <f t="shared" si="1"/>
        <v>87</v>
      </c>
      <c r="F16" s="9" t="s">
        <v>10</v>
      </c>
      <c r="G16" s="7"/>
    </row>
    <row r="17">
      <c r="A17" s="7">
        <v>11.0</v>
      </c>
      <c r="B17" s="8" t="s">
        <v>29</v>
      </c>
      <c r="C17" s="8" t="s">
        <v>30</v>
      </c>
      <c r="D17" s="8">
        <f>IFERROR(__xludf.DUMMYFUNCTION("IFERROR(VLOOKUP(C17,IMPORTRANGE(""https://docs.google.com/spreadsheets/d/10KlTSftfC81rs2H7Cf6EIR7VWS3omC-2kwzaThHv16k/edit#gid=0"",""NSE Input VaR+ELM!D:J""),7,0),100)"),13.65)</f>
        <v>13.65</v>
      </c>
      <c r="E17" s="7">
        <f t="shared" si="1"/>
        <v>86.35</v>
      </c>
      <c r="F17" s="9" t="s">
        <v>10</v>
      </c>
      <c r="G17" s="7"/>
    </row>
    <row r="18">
      <c r="A18" s="7">
        <v>12.0</v>
      </c>
      <c r="B18" s="8" t="s">
        <v>31</v>
      </c>
      <c r="C18" s="8" t="s">
        <v>32</v>
      </c>
      <c r="D18" s="8">
        <f>IFERROR(__xludf.DUMMYFUNCTION("IFERROR(VLOOKUP(C18,IMPORTRANGE(""https://docs.google.com/spreadsheets/d/10KlTSftfC81rs2H7Cf6EIR7VWS3omC-2kwzaThHv16k/edit#gid=0"",""NSE Input VaR+ELM!D:J""),7,0),100)"),17.7)</f>
        <v>17.7</v>
      </c>
      <c r="E18" s="7">
        <f t="shared" si="1"/>
        <v>82.3</v>
      </c>
      <c r="F18" s="9" t="s">
        <v>10</v>
      </c>
      <c r="G18" s="7"/>
    </row>
    <row r="19">
      <c r="A19" s="7">
        <v>13.0</v>
      </c>
      <c r="B19" s="8" t="s">
        <v>33</v>
      </c>
      <c r="C19" s="8" t="s">
        <v>34</v>
      </c>
      <c r="D19" s="8">
        <f>IFERROR(__xludf.DUMMYFUNCTION("IFERROR(VLOOKUP(C19,IMPORTRANGE(""https://docs.google.com/spreadsheets/d/10KlTSftfC81rs2H7Cf6EIR7VWS3omC-2kwzaThHv16k/edit#gid=0"",""NSE Input VaR+ELM!D:J""),7,0),100)"),15.28)</f>
        <v>15.28</v>
      </c>
      <c r="E19" s="7">
        <f t="shared" si="1"/>
        <v>84.72</v>
      </c>
      <c r="F19" s="9" t="s">
        <v>10</v>
      </c>
      <c r="G19" s="7"/>
    </row>
    <row r="20">
      <c r="A20" s="7">
        <v>14.0</v>
      </c>
      <c r="B20" s="8" t="s">
        <v>35</v>
      </c>
      <c r="C20" s="8" t="s">
        <v>36</v>
      </c>
      <c r="D20" s="8">
        <f>IFERROR(__xludf.DUMMYFUNCTION("IFERROR(VLOOKUP(C20,IMPORTRANGE(""https://docs.google.com/spreadsheets/d/10KlTSftfC81rs2H7Cf6EIR7VWS3omC-2kwzaThHv16k/edit#gid=0"",""NSE Input VaR+ELM!D:J""),7,0),100)"),13.63)</f>
        <v>13.63</v>
      </c>
      <c r="E20" s="7">
        <f t="shared" si="1"/>
        <v>86.37</v>
      </c>
      <c r="F20" s="9" t="s">
        <v>10</v>
      </c>
      <c r="G20" s="7"/>
    </row>
    <row r="21">
      <c r="A21" s="7">
        <v>15.0</v>
      </c>
      <c r="B21" s="8" t="s">
        <v>37</v>
      </c>
      <c r="C21" s="8" t="s">
        <v>38</v>
      </c>
      <c r="D21" s="8">
        <f>IFERROR(__xludf.DUMMYFUNCTION("IFERROR(VLOOKUP(C21,IMPORTRANGE(""https://docs.google.com/spreadsheets/d/10KlTSftfC81rs2H7Cf6EIR7VWS3omC-2kwzaThHv16k/edit#gid=0"",""NSE Input VaR+ELM!D:J""),7,0),100)"),15.88)</f>
        <v>15.88</v>
      </c>
      <c r="E21" s="7">
        <f t="shared" si="1"/>
        <v>84.12</v>
      </c>
      <c r="F21" s="9" t="s">
        <v>10</v>
      </c>
      <c r="G21" s="7"/>
    </row>
    <row r="22">
      <c r="A22" s="7">
        <v>16.0</v>
      </c>
      <c r="B22" s="8" t="s">
        <v>39</v>
      </c>
      <c r="C22" s="8" t="s">
        <v>40</v>
      </c>
      <c r="D22" s="8">
        <f>IFERROR(__xludf.DUMMYFUNCTION("IFERROR(VLOOKUP(C22,IMPORTRANGE(""https://docs.google.com/spreadsheets/d/10KlTSftfC81rs2H7Cf6EIR7VWS3omC-2kwzaThHv16k/edit#gid=0"",""NSE Input VaR+ELM!D:J""),7,0),100)"),15.73)</f>
        <v>15.73</v>
      </c>
      <c r="E22" s="7">
        <f t="shared" si="1"/>
        <v>84.27</v>
      </c>
      <c r="F22" s="9" t="s">
        <v>10</v>
      </c>
      <c r="G22" s="7"/>
    </row>
    <row r="23">
      <c r="A23" s="7">
        <v>17.0</v>
      </c>
      <c r="B23" s="8" t="s">
        <v>41</v>
      </c>
      <c r="C23" s="8" t="s">
        <v>42</v>
      </c>
      <c r="D23" s="8">
        <f>IFERROR(__xludf.DUMMYFUNCTION("IFERROR(VLOOKUP(C23,IMPORTRANGE(""https://docs.google.com/spreadsheets/d/10KlTSftfC81rs2H7Cf6EIR7VWS3omC-2kwzaThHv16k/edit#gid=0"",""NSE Input VaR+ELM!D:J""),7,0),100)"),14.42)</f>
        <v>14.42</v>
      </c>
      <c r="E23" s="7">
        <f t="shared" si="1"/>
        <v>85.58</v>
      </c>
      <c r="F23" s="9" t="s">
        <v>10</v>
      </c>
      <c r="G23" s="7"/>
    </row>
    <row r="24">
      <c r="A24" s="7">
        <v>18.0</v>
      </c>
      <c r="B24" s="8" t="s">
        <v>43</v>
      </c>
      <c r="C24" s="8" t="s">
        <v>44</v>
      </c>
      <c r="D24" s="8">
        <f>IFERROR(__xludf.DUMMYFUNCTION("IFERROR(VLOOKUP(C24,IMPORTRANGE(""https://docs.google.com/spreadsheets/d/10KlTSftfC81rs2H7Cf6EIR7VWS3omC-2kwzaThHv16k/edit#gid=0"",""NSE Input VaR+ELM!D:J""),7,0),100)"),15.37)</f>
        <v>15.37</v>
      </c>
      <c r="E24" s="7">
        <f t="shared" si="1"/>
        <v>84.63</v>
      </c>
      <c r="F24" s="9" t="s">
        <v>10</v>
      </c>
      <c r="G24" s="7"/>
    </row>
    <row r="25">
      <c r="A25" s="7">
        <v>19.0</v>
      </c>
      <c r="B25" s="8" t="s">
        <v>45</v>
      </c>
      <c r="C25" s="8" t="s">
        <v>46</v>
      </c>
      <c r="D25" s="8">
        <f>IFERROR(__xludf.DUMMYFUNCTION("IFERROR(VLOOKUP(C25,IMPORTRANGE(""https://docs.google.com/spreadsheets/d/10KlTSftfC81rs2H7Cf6EIR7VWS3omC-2kwzaThHv16k/edit#gid=0"",""NSE Input VaR+ELM!D:J""),7,0),100)"),13.8)</f>
        <v>13.8</v>
      </c>
      <c r="E25" s="7">
        <f t="shared" si="1"/>
        <v>86.2</v>
      </c>
      <c r="F25" s="9" t="s">
        <v>10</v>
      </c>
      <c r="G25" s="7"/>
    </row>
    <row r="26">
      <c r="A26" s="7">
        <v>20.0</v>
      </c>
      <c r="B26" s="8" t="s">
        <v>47</v>
      </c>
      <c r="C26" s="8" t="s">
        <v>48</v>
      </c>
      <c r="D26" s="8">
        <f>IFERROR(__xludf.DUMMYFUNCTION("IFERROR(VLOOKUP(C26,IMPORTRANGE(""https://docs.google.com/spreadsheets/d/10KlTSftfC81rs2H7Cf6EIR7VWS3omC-2kwzaThHv16k/edit#gid=0"",""NSE Input VaR+ELM!D:J""),7,0),100)"),15.34)</f>
        <v>15.34</v>
      </c>
      <c r="E26" s="7">
        <f t="shared" si="1"/>
        <v>84.66</v>
      </c>
      <c r="F26" s="9" t="s">
        <v>10</v>
      </c>
      <c r="G26" s="7"/>
    </row>
    <row r="27">
      <c r="A27" s="7">
        <v>21.0</v>
      </c>
      <c r="B27" s="8" t="s">
        <v>49</v>
      </c>
      <c r="C27" s="8" t="s">
        <v>50</v>
      </c>
      <c r="D27" s="8">
        <f>IFERROR(__xludf.DUMMYFUNCTION("IFERROR(VLOOKUP(C27,IMPORTRANGE(""https://docs.google.com/spreadsheets/d/10KlTSftfC81rs2H7Cf6EIR7VWS3omC-2kwzaThHv16k/edit#gid=0"",""NSE Input VaR+ELM!D:J""),7,0),100)"),15.14)</f>
        <v>15.14</v>
      </c>
      <c r="E27" s="7">
        <f t="shared" si="1"/>
        <v>84.86</v>
      </c>
      <c r="F27" s="9" t="s">
        <v>10</v>
      </c>
      <c r="G27" s="7"/>
    </row>
    <row r="28">
      <c r="A28" s="7">
        <v>22.0</v>
      </c>
      <c r="B28" s="8" t="s">
        <v>51</v>
      </c>
      <c r="C28" s="8" t="s">
        <v>52</v>
      </c>
      <c r="D28" s="8">
        <f>IFERROR(__xludf.DUMMYFUNCTION("IFERROR(VLOOKUP(C28,IMPORTRANGE(""https://docs.google.com/spreadsheets/d/10KlTSftfC81rs2H7Cf6EIR7VWS3omC-2kwzaThHv16k/edit#gid=0"",""NSE Input VaR+ELM!D:J""),7,0),100)"),21.03)</f>
        <v>21.03</v>
      </c>
      <c r="E28" s="7">
        <f t="shared" si="1"/>
        <v>78.97</v>
      </c>
      <c r="F28" s="9" t="s">
        <v>10</v>
      </c>
      <c r="G28" s="7"/>
    </row>
    <row r="29">
      <c r="A29" s="7">
        <v>23.0</v>
      </c>
      <c r="B29" s="8" t="s">
        <v>53</v>
      </c>
      <c r="C29" s="8" t="s">
        <v>54</v>
      </c>
      <c r="D29" s="8">
        <f>IFERROR(__xludf.DUMMYFUNCTION("IFERROR(VLOOKUP(C29,IMPORTRANGE(""https://docs.google.com/spreadsheets/d/10KlTSftfC81rs2H7Cf6EIR7VWS3omC-2kwzaThHv16k/edit#gid=0"",""NSE Input VaR+ELM!D:J""),7,0),100)"),13.31)</f>
        <v>13.31</v>
      </c>
      <c r="E29" s="7">
        <f t="shared" si="1"/>
        <v>86.69</v>
      </c>
      <c r="F29" s="9" t="s">
        <v>10</v>
      </c>
      <c r="G29" s="7"/>
    </row>
    <row r="30">
      <c r="A30" s="7">
        <v>24.0</v>
      </c>
      <c r="B30" s="8" t="s">
        <v>55</v>
      </c>
      <c r="C30" s="8" t="s">
        <v>56</v>
      </c>
      <c r="D30" s="8">
        <f>IFERROR(__xludf.DUMMYFUNCTION("IFERROR(VLOOKUP(C30,IMPORTRANGE(""https://docs.google.com/spreadsheets/d/10KlTSftfC81rs2H7Cf6EIR7VWS3omC-2kwzaThHv16k/edit#gid=0"",""NSE Input VaR+ELM!D:J""),7,0),100)"),15.28)</f>
        <v>15.28</v>
      </c>
      <c r="E30" s="7">
        <f t="shared" si="1"/>
        <v>84.72</v>
      </c>
      <c r="F30" s="9" t="s">
        <v>10</v>
      </c>
      <c r="G30" s="7"/>
    </row>
    <row r="31">
      <c r="A31" s="7">
        <v>25.0</v>
      </c>
      <c r="B31" s="8" t="s">
        <v>57</v>
      </c>
      <c r="C31" s="8" t="s">
        <v>58</v>
      </c>
      <c r="D31" s="8">
        <f>IFERROR(__xludf.DUMMYFUNCTION("IFERROR(VLOOKUP(C31,IMPORTRANGE(""https://docs.google.com/spreadsheets/d/10KlTSftfC81rs2H7Cf6EIR7VWS3omC-2kwzaThHv16k/edit#gid=0"",""NSE Input VaR+ELM!D:J""),7,0),100)"),21.18)</f>
        <v>21.18</v>
      </c>
      <c r="E31" s="7">
        <f t="shared" si="1"/>
        <v>78.82</v>
      </c>
      <c r="F31" s="9" t="s">
        <v>10</v>
      </c>
      <c r="G31" s="7"/>
    </row>
    <row r="32">
      <c r="A32" s="7">
        <v>26.0</v>
      </c>
      <c r="B32" s="8" t="s">
        <v>59</v>
      </c>
      <c r="C32" s="8" t="s">
        <v>60</v>
      </c>
      <c r="D32" s="8">
        <f>IFERROR(__xludf.DUMMYFUNCTION("IFERROR(VLOOKUP(C32,IMPORTRANGE(""https://docs.google.com/spreadsheets/d/10KlTSftfC81rs2H7Cf6EIR7VWS3omC-2kwzaThHv16k/edit#gid=0"",""NSE Input VaR+ELM!D:J""),7,0),100)"),14.48)</f>
        <v>14.48</v>
      </c>
      <c r="E32" s="7">
        <f t="shared" si="1"/>
        <v>85.52</v>
      </c>
      <c r="F32" s="9" t="s">
        <v>10</v>
      </c>
      <c r="G32" s="7"/>
    </row>
    <row r="33">
      <c r="A33" s="7">
        <v>27.0</v>
      </c>
      <c r="B33" s="8" t="s">
        <v>61</v>
      </c>
      <c r="C33" s="8" t="s">
        <v>62</v>
      </c>
      <c r="D33" s="8">
        <f>IFERROR(__xludf.DUMMYFUNCTION("IFERROR(VLOOKUP(C33,IMPORTRANGE(""https://docs.google.com/spreadsheets/d/10KlTSftfC81rs2H7Cf6EIR7VWS3omC-2kwzaThHv16k/edit#gid=0"",""NSE Input VaR+ELM!D:J""),7,0),100)"),13.09)</f>
        <v>13.09</v>
      </c>
      <c r="E33" s="7">
        <f t="shared" si="1"/>
        <v>86.91</v>
      </c>
      <c r="F33" s="9" t="s">
        <v>10</v>
      </c>
      <c r="G33" s="7"/>
    </row>
    <row r="34">
      <c r="A34" s="7">
        <v>28.0</v>
      </c>
      <c r="B34" s="8" t="s">
        <v>63</v>
      </c>
      <c r="C34" s="8" t="s">
        <v>64</v>
      </c>
      <c r="D34" s="8">
        <f>IFERROR(__xludf.DUMMYFUNCTION("IFERROR(VLOOKUP(C34,IMPORTRANGE(""https://docs.google.com/spreadsheets/d/10KlTSftfC81rs2H7Cf6EIR7VWS3omC-2kwzaThHv16k/edit#gid=0"",""NSE Input VaR+ELM!D:J""),7,0),100)"),19.4)</f>
        <v>19.4</v>
      </c>
      <c r="E34" s="7">
        <f t="shared" si="1"/>
        <v>80.6</v>
      </c>
      <c r="F34" s="9" t="s">
        <v>10</v>
      </c>
      <c r="G34" s="7"/>
    </row>
    <row r="35">
      <c r="A35" s="7">
        <v>29.0</v>
      </c>
      <c r="B35" s="8" t="s">
        <v>65</v>
      </c>
      <c r="C35" s="8" t="s">
        <v>66</v>
      </c>
      <c r="D35" s="8">
        <f>IFERROR(__xludf.DUMMYFUNCTION("IFERROR(VLOOKUP(C35,IMPORTRANGE(""https://docs.google.com/spreadsheets/d/10KlTSftfC81rs2H7Cf6EIR7VWS3omC-2kwzaThHv16k/edit#gid=0"",""NSE Input VaR+ELM!D:J""),7,0),100)"),15.23)</f>
        <v>15.23</v>
      </c>
      <c r="E35" s="7">
        <f t="shared" si="1"/>
        <v>84.77</v>
      </c>
      <c r="F35" s="9" t="s">
        <v>10</v>
      </c>
      <c r="G35" s="7"/>
    </row>
    <row r="36">
      <c r="A36" s="7">
        <v>30.0</v>
      </c>
      <c r="B36" s="8" t="s">
        <v>67</v>
      </c>
      <c r="C36" s="8" t="s">
        <v>68</v>
      </c>
      <c r="D36" s="8">
        <f>IFERROR(__xludf.DUMMYFUNCTION("IFERROR(VLOOKUP(C36,IMPORTRANGE(""https://docs.google.com/spreadsheets/d/10KlTSftfC81rs2H7Cf6EIR7VWS3omC-2kwzaThHv16k/edit#gid=0"",""NSE Input VaR+ELM!D:J""),7,0),100)"),14.37)</f>
        <v>14.37</v>
      </c>
      <c r="E36" s="7">
        <f t="shared" si="1"/>
        <v>85.63</v>
      </c>
      <c r="F36" s="9" t="s">
        <v>10</v>
      </c>
      <c r="G36" s="7"/>
    </row>
    <row r="37">
      <c r="A37" s="7">
        <v>31.0</v>
      </c>
      <c r="B37" s="8" t="s">
        <v>69</v>
      </c>
      <c r="C37" s="8" t="s">
        <v>70</v>
      </c>
      <c r="D37" s="8">
        <f>IFERROR(__xludf.DUMMYFUNCTION("IFERROR(VLOOKUP(C37,IMPORTRANGE(""https://docs.google.com/spreadsheets/d/10KlTSftfC81rs2H7Cf6EIR7VWS3omC-2kwzaThHv16k/edit#gid=0"",""NSE Input VaR+ELM!D:J""),7,0),100)"),16.28)</f>
        <v>16.28</v>
      </c>
      <c r="E37" s="7">
        <f t="shared" si="1"/>
        <v>83.72</v>
      </c>
      <c r="F37" s="9" t="s">
        <v>10</v>
      </c>
      <c r="G37" s="7"/>
    </row>
    <row r="38">
      <c r="A38" s="7">
        <v>32.0</v>
      </c>
      <c r="B38" s="8" t="s">
        <v>71</v>
      </c>
      <c r="C38" s="8" t="s">
        <v>72</v>
      </c>
      <c r="D38" s="8">
        <f>IFERROR(__xludf.DUMMYFUNCTION("IFERROR(VLOOKUP(C38,IMPORTRANGE(""https://docs.google.com/spreadsheets/d/10KlTSftfC81rs2H7Cf6EIR7VWS3omC-2kwzaThHv16k/edit#gid=0"",""NSE Input VaR+ELM!D:J""),7,0),100)"),15.44)</f>
        <v>15.44</v>
      </c>
      <c r="E38" s="7">
        <f t="shared" si="1"/>
        <v>84.56</v>
      </c>
      <c r="F38" s="9" t="s">
        <v>10</v>
      </c>
      <c r="G38" s="7"/>
    </row>
    <row r="39">
      <c r="A39" s="7">
        <v>33.0</v>
      </c>
      <c r="B39" s="8" t="s">
        <v>73</v>
      </c>
      <c r="C39" s="8" t="s">
        <v>74</v>
      </c>
      <c r="D39" s="8">
        <f>IFERROR(__xludf.DUMMYFUNCTION("IFERROR(VLOOKUP(C39,IMPORTRANGE(""https://docs.google.com/spreadsheets/d/10KlTSftfC81rs2H7Cf6EIR7VWS3omC-2kwzaThHv16k/edit#gid=0"",""NSE Input VaR+ELM!D:J""),7,0),100)"),12.5)</f>
        <v>12.5</v>
      </c>
      <c r="E39" s="7">
        <f t="shared" si="1"/>
        <v>87.5</v>
      </c>
      <c r="F39" s="9" t="s">
        <v>10</v>
      </c>
      <c r="G39" s="7"/>
    </row>
    <row r="40">
      <c r="A40" s="7">
        <v>34.0</v>
      </c>
      <c r="B40" s="8" t="s">
        <v>75</v>
      </c>
      <c r="C40" s="8" t="s">
        <v>76</v>
      </c>
      <c r="D40" s="8">
        <f>IFERROR(__xludf.DUMMYFUNCTION("IFERROR(VLOOKUP(C40,IMPORTRANGE(""https://docs.google.com/spreadsheets/d/10KlTSftfC81rs2H7Cf6EIR7VWS3omC-2kwzaThHv16k/edit#gid=0"",""NSE Input VaR+ELM!D:J""),7,0),100)"),14.73)</f>
        <v>14.73</v>
      </c>
      <c r="E40" s="7">
        <f t="shared" si="1"/>
        <v>85.27</v>
      </c>
      <c r="F40" s="9" t="s">
        <v>10</v>
      </c>
      <c r="G40" s="7"/>
    </row>
    <row r="41">
      <c r="A41" s="7">
        <v>35.0</v>
      </c>
      <c r="B41" s="8" t="s">
        <v>77</v>
      </c>
      <c r="C41" s="8" t="s">
        <v>78</v>
      </c>
      <c r="D41" s="8">
        <f>IFERROR(__xludf.DUMMYFUNCTION("IFERROR(VLOOKUP(C41,IMPORTRANGE(""https://docs.google.com/spreadsheets/d/10KlTSftfC81rs2H7Cf6EIR7VWS3omC-2kwzaThHv16k/edit#gid=0"",""NSE Input VaR+ELM!D:J""),7,0),100)"),20.41)</f>
        <v>20.41</v>
      </c>
      <c r="E41" s="7">
        <f t="shared" si="1"/>
        <v>79.59</v>
      </c>
      <c r="F41" s="9" t="s">
        <v>10</v>
      </c>
      <c r="G41" s="7"/>
    </row>
    <row r="42">
      <c r="A42" s="7">
        <v>36.0</v>
      </c>
      <c r="B42" s="8" t="s">
        <v>79</v>
      </c>
      <c r="C42" s="8" t="s">
        <v>80</v>
      </c>
      <c r="D42" s="8">
        <f>IFERROR(__xludf.DUMMYFUNCTION("IFERROR(VLOOKUP(C42,IMPORTRANGE(""https://docs.google.com/spreadsheets/d/10KlTSftfC81rs2H7Cf6EIR7VWS3omC-2kwzaThHv16k/edit#gid=0"",""NSE Input VaR+ELM!D:J""),7,0),100)"),14.03)</f>
        <v>14.03</v>
      </c>
      <c r="E42" s="7">
        <f t="shared" si="1"/>
        <v>85.97</v>
      </c>
      <c r="F42" s="9" t="s">
        <v>10</v>
      </c>
      <c r="G42" s="7"/>
    </row>
    <row r="43">
      <c r="A43" s="7">
        <v>37.0</v>
      </c>
      <c r="B43" s="8" t="s">
        <v>81</v>
      </c>
      <c r="C43" s="8" t="s">
        <v>82</v>
      </c>
      <c r="D43" s="8">
        <f>IFERROR(__xludf.DUMMYFUNCTION("IFERROR(VLOOKUP(C43,IMPORTRANGE(""https://docs.google.com/spreadsheets/d/10KlTSftfC81rs2H7Cf6EIR7VWS3omC-2kwzaThHv16k/edit#gid=0"",""NSE Input VaR+ELM!D:J""),7,0),100)"),15.29)</f>
        <v>15.29</v>
      </c>
      <c r="E43" s="7">
        <f t="shared" si="1"/>
        <v>84.71</v>
      </c>
      <c r="F43" s="9" t="s">
        <v>10</v>
      </c>
      <c r="G43" s="7"/>
    </row>
    <row r="44">
      <c r="A44" s="7">
        <v>38.0</v>
      </c>
      <c r="B44" s="8" t="s">
        <v>83</v>
      </c>
      <c r="C44" s="8" t="s">
        <v>84</v>
      </c>
      <c r="D44" s="8">
        <f>IFERROR(__xludf.DUMMYFUNCTION("IFERROR(VLOOKUP(C44,IMPORTRANGE(""https://docs.google.com/spreadsheets/d/10KlTSftfC81rs2H7Cf6EIR7VWS3omC-2kwzaThHv16k/edit#gid=0"",""NSE Input VaR+ELM!D:J""),7,0),100)"),14.77)</f>
        <v>14.77</v>
      </c>
      <c r="E44" s="7">
        <f t="shared" si="1"/>
        <v>85.23</v>
      </c>
      <c r="F44" s="9" t="s">
        <v>10</v>
      </c>
      <c r="G44" s="7"/>
    </row>
    <row r="45">
      <c r="A45" s="7">
        <v>39.0</v>
      </c>
      <c r="B45" s="8" t="s">
        <v>85</v>
      </c>
      <c r="C45" s="8" t="s">
        <v>86</v>
      </c>
      <c r="D45" s="8">
        <f>IFERROR(__xludf.DUMMYFUNCTION("IFERROR(VLOOKUP(C45,IMPORTRANGE(""https://docs.google.com/spreadsheets/d/10KlTSftfC81rs2H7Cf6EIR7VWS3omC-2kwzaThHv16k/edit#gid=0"",""NSE Input VaR+ELM!D:J""),7,0),100)"),15.63)</f>
        <v>15.63</v>
      </c>
      <c r="E45" s="7">
        <f t="shared" si="1"/>
        <v>84.37</v>
      </c>
      <c r="F45" s="9" t="s">
        <v>10</v>
      </c>
      <c r="G45" s="7"/>
    </row>
    <row r="46">
      <c r="A46" s="7">
        <v>40.0</v>
      </c>
      <c r="B46" s="8" t="s">
        <v>87</v>
      </c>
      <c r="C46" s="8" t="s">
        <v>88</v>
      </c>
      <c r="D46" s="8">
        <f>IFERROR(__xludf.DUMMYFUNCTION("IFERROR(VLOOKUP(C46,IMPORTRANGE(""https://docs.google.com/spreadsheets/d/10KlTSftfC81rs2H7Cf6EIR7VWS3omC-2kwzaThHv16k/edit#gid=0"",""NSE Input VaR+ELM!D:J""),7,0),100)"),15.43)</f>
        <v>15.43</v>
      </c>
      <c r="E46" s="7">
        <f t="shared" si="1"/>
        <v>84.57</v>
      </c>
      <c r="F46" s="9" t="s">
        <v>10</v>
      </c>
      <c r="G46" s="7"/>
    </row>
    <row r="47">
      <c r="A47" s="7">
        <v>41.0</v>
      </c>
      <c r="B47" s="8" t="s">
        <v>89</v>
      </c>
      <c r="C47" s="8" t="s">
        <v>90</v>
      </c>
      <c r="D47" s="8">
        <f>IFERROR(__xludf.DUMMYFUNCTION("IFERROR(VLOOKUP(C47,IMPORTRANGE(""https://docs.google.com/spreadsheets/d/10KlTSftfC81rs2H7Cf6EIR7VWS3omC-2kwzaThHv16k/edit#gid=0"",""NSE Input VaR+ELM!D:J""),7,0),100)"),13.92)</f>
        <v>13.92</v>
      </c>
      <c r="E47" s="7">
        <f t="shared" si="1"/>
        <v>86.08</v>
      </c>
      <c r="F47" s="9" t="s">
        <v>10</v>
      </c>
      <c r="G47" s="7"/>
    </row>
    <row r="48">
      <c r="A48" s="7">
        <v>42.0</v>
      </c>
      <c r="B48" s="8" t="s">
        <v>91</v>
      </c>
      <c r="C48" s="8" t="s">
        <v>92</v>
      </c>
      <c r="D48" s="8">
        <f>IFERROR(__xludf.DUMMYFUNCTION("IFERROR(VLOOKUP(C48,IMPORTRANGE(""https://docs.google.com/spreadsheets/d/10KlTSftfC81rs2H7Cf6EIR7VWS3omC-2kwzaThHv16k/edit#gid=0"",""NSE Input VaR+ELM!D:J""),7,0),100)"),15.18)</f>
        <v>15.18</v>
      </c>
      <c r="E48" s="7">
        <f t="shared" si="1"/>
        <v>84.82</v>
      </c>
      <c r="F48" s="9" t="s">
        <v>10</v>
      </c>
      <c r="G48" s="7"/>
    </row>
    <row r="49">
      <c r="A49" s="7">
        <v>43.0</v>
      </c>
      <c r="B49" s="8" t="s">
        <v>93</v>
      </c>
      <c r="C49" s="8" t="s">
        <v>94</v>
      </c>
      <c r="D49" s="8">
        <f>IFERROR(__xludf.DUMMYFUNCTION("IFERROR(VLOOKUP(C49,IMPORTRANGE(""https://docs.google.com/spreadsheets/d/10KlTSftfC81rs2H7Cf6EIR7VWS3omC-2kwzaThHv16k/edit#gid=0"",""NSE Input VaR+ELM!D:J""),7,0),100)"),21.42)</f>
        <v>21.42</v>
      </c>
      <c r="E49" s="7">
        <f t="shared" si="1"/>
        <v>78.58</v>
      </c>
      <c r="F49" s="9" t="s">
        <v>10</v>
      </c>
      <c r="G49" s="7"/>
    </row>
    <row r="50">
      <c r="A50" s="7">
        <v>44.0</v>
      </c>
      <c r="B50" s="8" t="s">
        <v>95</v>
      </c>
      <c r="C50" s="8" t="s">
        <v>96</v>
      </c>
      <c r="D50" s="8">
        <f>IFERROR(__xludf.DUMMYFUNCTION("IFERROR(VLOOKUP(C50,IMPORTRANGE(""https://docs.google.com/spreadsheets/d/10KlTSftfC81rs2H7Cf6EIR7VWS3omC-2kwzaThHv16k/edit#gid=0"",""NSE Input VaR+ELM!D:J""),7,0),100)"),20.89)</f>
        <v>20.89</v>
      </c>
      <c r="E50" s="7">
        <f t="shared" si="1"/>
        <v>79.11</v>
      </c>
      <c r="F50" s="9" t="s">
        <v>10</v>
      </c>
      <c r="G50" s="7"/>
    </row>
    <row r="51">
      <c r="A51" s="7">
        <v>45.0</v>
      </c>
      <c r="B51" s="8" t="s">
        <v>97</v>
      </c>
      <c r="C51" s="8" t="s">
        <v>98</v>
      </c>
      <c r="D51" s="8">
        <f>IFERROR(__xludf.DUMMYFUNCTION("IFERROR(VLOOKUP(C51,IMPORTRANGE(""https://docs.google.com/spreadsheets/d/10KlTSftfC81rs2H7Cf6EIR7VWS3omC-2kwzaThHv16k/edit#gid=0"",""NSE Input VaR+ELM!D:J""),7,0),100)"),13.08)</f>
        <v>13.08</v>
      </c>
      <c r="E51" s="7">
        <f t="shared" si="1"/>
        <v>86.92</v>
      </c>
      <c r="F51" s="9" t="s">
        <v>10</v>
      </c>
      <c r="G51" s="7"/>
    </row>
    <row r="52">
      <c r="A52" s="7">
        <v>46.0</v>
      </c>
      <c r="B52" s="8" t="s">
        <v>99</v>
      </c>
      <c r="C52" s="8" t="s">
        <v>100</v>
      </c>
      <c r="D52" s="8">
        <f>IFERROR(__xludf.DUMMYFUNCTION("IFERROR(VLOOKUP(C52,IMPORTRANGE(""https://docs.google.com/spreadsheets/d/10KlTSftfC81rs2H7Cf6EIR7VWS3omC-2kwzaThHv16k/edit#gid=0"",""NSE Input VaR+ELM!D:J""),7,0),100)"),16.33)</f>
        <v>16.33</v>
      </c>
      <c r="E52" s="7">
        <f t="shared" si="1"/>
        <v>83.67</v>
      </c>
      <c r="F52" s="9" t="s">
        <v>10</v>
      </c>
      <c r="G52" s="7"/>
    </row>
    <row r="53">
      <c r="A53" s="7">
        <v>47.0</v>
      </c>
      <c r="B53" s="8" t="s">
        <v>101</v>
      </c>
      <c r="C53" s="8" t="s">
        <v>102</v>
      </c>
      <c r="D53" s="8">
        <f>IFERROR(__xludf.DUMMYFUNCTION("IFERROR(VLOOKUP(C53,IMPORTRANGE(""https://docs.google.com/spreadsheets/d/10KlTSftfC81rs2H7Cf6EIR7VWS3omC-2kwzaThHv16k/edit#gid=0"",""NSE Input VaR+ELM!D:J""),7,0),100)"),15.83)</f>
        <v>15.83</v>
      </c>
      <c r="E53" s="7">
        <f t="shared" si="1"/>
        <v>84.17</v>
      </c>
      <c r="F53" s="9" t="s">
        <v>10</v>
      </c>
      <c r="G53" s="7"/>
    </row>
    <row r="54">
      <c r="A54" s="7">
        <v>48.0</v>
      </c>
      <c r="B54" s="8" t="s">
        <v>103</v>
      </c>
      <c r="C54" s="8" t="s">
        <v>104</v>
      </c>
      <c r="D54" s="8">
        <f>IFERROR(__xludf.DUMMYFUNCTION("IFERROR(VLOOKUP(C54,IMPORTRANGE(""https://docs.google.com/spreadsheets/d/10KlTSftfC81rs2H7Cf6EIR7VWS3omC-2kwzaThHv16k/edit#gid=0"",""NSE Input VaR+ELM!D:J""),7,0),100)"),14.86)</f>
        <v>14.86</v>
      </c>
      <c r="E54" s="7">
        <f t="shared" si="1"/>
        <v>85.14</v>
      </c>
      <c r="F54" s="9" t="s">
        <v>10</v>
      </c>
      <c r="G54" s="7"/>
    </row>
    <row r="55">
      <c r="A55" s="7">
        <v>49.0</v>
      </c>
      <c r="B55" s="8" t="s">
        <v>105</v>
      </c>
      <c r="C55" s="8" t="s">
        <v>106</v>
      </c>
      <c r="D55" s="8">
        <f>IFERROR(__xludf.DUMMYFUNCTION("IFERROR(VLOOKUP(C55,IMPORTRANGE(""https://docs.google.com/spreadsheets/d/10KlTSftfC81rs2H7Cf6EIR7VWS3omC-2kwzaThHv16k/edit#gid=0"",""NSE Input VaR+ELM!D:J""),7,0),100)"),17.16)</f>
        <v>17.16</v>
      </c>
      <c r="E55" s="7">
        <f t="shared" si="1"/>
        <v>82.84</v>
      </c>
      <c r="F55" s="9" t="s">
        <v>10</v>
      </c>
      <c r="G55" s="7"/>
    </row>
    <row r="56">
      <c r="A56" s="7">
        <v>50.0</v>
      </c>
      <c r="B56" s="8" t="s">
        <v>107</v>
      </c>
      <c r="C56" s="8" t="s">
        <v>108</v>
      </c>
      <c r="D56" s="8">
        <f>IFERROR(__xludf.DUMMYFUNCTION("IFERROR(VLOOKUP(C56,IMPORTRANGE(""https://docs.google.com/spreadsheets/d/10KlTSftfC81rs2H7Cf6EIR7VWS3omC-2kwzaThHv16k/edit#gid=0"",""NSE Input VaR+ELM!D:J""),7,0),100)"),15.16)</f>
        <v>15.16</v>
      </c>
      <c r="E56" s="7">
        <f t="shared" si="1"/>
        <v>84.84</v>
      </c>
      <c r="F56" s="9" t="s">
        <v>10</v>
      </c>
      <c r="G56" s="7"/>
    </row>
    <row r="57">
      <c r="A57" s="7">
        <v>51.0</v>
      </c>
      <c r="B57" s="8" t="s">
        <v>109</v>
      </c>
      <c r="C57" s="8" t="s">
        <v>110</v>
      </c>
      <c r="D57" s="8">
        <f>IFERROR(__xludf.DUMMYFUNCTION("IFERROR(VLOOKUP(C57,IMPORTRANGE(""https://docs.google.com/spreadsheets/d/10KlTSftfC81rs2H7Cf6EIR7VWS3omC-2kwzaThHv16k/edit#gid=0"",""NSE Input VaR+ELM!D:J""),7,0),100)"),14.06)</f>
        <v>14.06</v>
      </c>
      <c r="E57" s="7">
        <f t="shared" si="1"/>
        <v>85.94</v>
      </c>
      <c r="F57" s="9" t="s">
        <v>10</v>
      </c>
      <c r="G57" s="7"/>
    </row>
    <row r="58">
      <c r="A58" s="7">
        <v>52.0</v>
      </c>
      <c r="B58" s="8" t="s">
        <v>111</v>
      </c>
      <c r="C58" s="8" t="s">
        <v>112</v>
      </c>
      <c r="D58" s="8">
        <f>IFERROR(__xludf.DUMMYFUNCTION("IFERROR(VLOOKUP(C58,IMPORTRANGE(""https://docs.google.com/spreadsheets/d/10KlTSftfC81rs2H7Cf6EIR7VWS3omC-2kwzaThHv16k/edit#gid=0"",""NSE Input VaR+ELM!D:J""),7,0),100)"),20.63)</f>
        <v>20.63</v>
      </c>
      <c r="E58" s="7">
        <f t="shared" si="1"/>
        <v>79.37</v>
      </c>
      <c r="F58" s="9" t="s">
        <v>10</v>
      </c>
      <c r="G58" s="7"/>
    </row>
    <row r="59">
      <c r="A59" s="7">
        <v>53.0</v>
      </c>
      <c r="B59" s="8" t="s">
        <v>113</v>
      </c>
      <c r="C59" s="8" t="s">
        <v>114</v>
      </c>
      <c r="D59" s="8">
        <f>IFERROR(__xludf.DUMMYFUNCTION("IFERROR(VLOOKUP(C59,IMPORTRANGE(""https://docs.google.com/spreadsheets/d/10KlTSftfC81rs2H7Cf6EIR7VWS3omC-2kwzaThHv16k/edit#gid=0"",""NSE Input VaR+ELM!D:J""),7,0),100)"),25.6)</f>
        <v>25.6</v>
      </c>
      <c r="E59" s="7">
        <f t="shared" si="1"/>
        <v>74.4</v>
      </c>
      <c r="F59" s="9" t="s">
        <v>10</v>
      </c>
      <c r="G59" s="7"/>
    </row>
    <row r="60">
      <c r="A60" s="7">
        <v>54.0</v>
      </c>
      <c r="B60" s="8" t="s">
        <v>115</v>
      </c>
      <c r="C60" s="8" t="s">
        <v>116</v>
      </c>
      <c r="D60" s="8">
        <f>IFERROR(__xludf.DUMMYFUNCTION("IFERROR(VLOOKUP(C60,IMPORTRANGE(""https://docs.google.com/spreadsheets/d/10KlTSftfC81rs2H7Cf6EIR7VWS3omC-2kwzaThHv16k/edit#gid=0"",""NSE Input VaR+ELM!D:J""),7,0),100)"),24.21)</f>
        <v>24.21</v>
      </c>
      <c r="E60" s="7">
        <f t="shared" si="1"/>
        <v>75.79</v>
      </c>
      <c r="F60" s="9" t="s">
        <v>10</v>
      </c>
      <c r="G60" s="7"/>
    </row>
    <row r="61">
      <c r="A61" s="7">
        <v>55.0</v>
      </c>
      <c r="B61" s="8" t="s">
        <v>117</v>
      </c>
      <c r="C61" s="8" t="s">
        <v>118</v>
      </c>
      <c r="D61" s="8">
        <f>IFERROR(__xludf.DUMMYFUNCTION("IFERROR(VLOOKUP(C61,IMPORTRANGE(""https://docs.google.com/spreadsheets/d/10KlTSftfC81rs2H7Cf6EIR7VWS3omC-2kwzaThHv16k/edit#gid=0"",""NSE Input VaR+ELM!D:J""),7,0),100)"),15.46)</f>
        <v>15.46</v>
      </c>
      <c r="E61" s="7">
        <f t="shared" si="1"/>
        <v>84.54</v>
      </c>
      <c r="F61" s="9" t="s">
        <v>10</v>
      </c>
      <c r="G61" s="7"/>
    </row>
    <row r="62">
      <c r="A62" s="7">
        <v>56.0</v>
      </c>
      <c r="B62" s="8" t="s">
        <v>119</v>
      </c>
      <c r="C62" s="8" t="s">
        <v>120</v>
      </c>
      <c r="D62" s="8">
        <f>IFERROR(__xludf.DUMMYFUNCTION("IFERROR(VLOOKUP(C62,IMPORTRANGE(""https://docs.google.com/spreadsheets/d/10KlTSftfC81rs2H7Cf6EIR7VWS3omC-2kwzaThHv16k/edit#gid=0"",""NSE Input VaR+ELM!D:J""),7,0),100)"),16.6)</f>
        <v>16.6</v>
      </c>
      <c r="E62" s="7">
        <f t="shared" si="1"/>
        <v>83.4</v>
      </c>
      <c r="F62" s="9" t="s">
        <v>10</v>
      </c>
      <c r="G62" s="7"/>
    </row>
    <row r="63">
      <c r="A63" s="7">
        <v>57.0</v>
      </c>
      <c r="B63" s="8" t="s">
        <v>121</v>
      </c>
      <c r="C63" s="8" t="s">
        <v>122</v>
      </c>
      <c r="D63" s="8">
        <f>IFERROR(__xludf.DUMMYFUNCTION("IFERROR(VLOOKUP(C63,IMPORTRANGE(""https://docs.google.com/spreadsheets/d/10KlTSftfC81rs2H7Cf6EIR7VWS3omC-2kwzaThHv16k/edit#gid=0"",""NSE Input VaR+ELM!D:J""),7,0),100)"),21.75)</f>
        <v>21.75</v>
      </c>
      <c r="E63" s="7">
        <f t="shared" si="1"/>
        <v>78.25</v>
      </c>
      <c r="F63" s="9" t="s">
        <v>10</v>
      </c>
      <c r="G63" s="7"/>
    </row>
    <row r="64">
      <c r="A64" s="7">
        <v>58.0</v>
      </c>
      <c r="B64" s="8" t="s">
        <v>123</v>
      </c>
      <c r="C64" s="8" t="s">
        <v>124</v>
      </c>
      <c r="D64" s="8">
        <f>IFERROR(__xludf.DUMMYFUNCTION("IFERROR(VLOOKUP(C64,IMPORTRANGE(""https://docs.google.com/spreadsheets/d/10KlTSftfC81rs2H7Cf6EIR7VWS3omC-2kwzaThHv16k/edit#gid=0"",""NSE Input VaR+ELM!D:J""),7,0),100)"),20.77)</f>
        <v>20.77</v>
      </c>
      <c r="E64" s="7">
        <f t="shared" si="1"/>
        <v>79.23</v>
      </c>
      <c r="F64" s="9" t="s">
        <v>10</v>
      </c>
      <c r="G64" s="7"/>
    </row>
    <row r="65">
      <c r="A65" s="7">
        <v>59.0</v>
      </c>
      <c r="B65" s="8" t="s">
        <v>125</v>
      </c>
      <c r="C65" s="8" t="s">
        <v>126</v>
      </c>
      <c r="D65" s="8">
        <f>IFERROR(__xludf.DUMMYFUNCTION("IFERROR(VLOOKUP(C65,IMPORTRANGE(""https://docs.google.com/spreadsheets/d/10KlTSftfC81rs2H7Cf6EIR7VWS3omC-2kwzaThHv16k/edit#gid=0"",""NSE Input VaR+ELM!D:J""),7,0),100)"),14.51)</f>
        <v>14.51</v>
      </c>
      <c r="E65" s="7">
        <f t="shared" si="1"/>
        <v>85.49</v>
      </c>
      <c r="F65" s="9" t="s">
        <v>10</v>
      </c>
      <c r="G65" s="7"/>
    </row>
    <row r="66">
      <c r="A66" s="7">
        <v>60.0</v>
      </c>
      <c r="B66" s="8" t="s">
        <v>127</v>
      </c>
      <c r="C66" s="8" t="s">
        <v>128</v>
      </c>
      <c r="D66" s="8">
        <f>IFERROR(__xludf.DUMMYFUNCTION("IFERROR(VLOOKUP(C66,IMPORTRANGE(""https://docs.google.com/spreadsheets/d/10KlTSftfC81rs2H7Cf6EIR7VWS3omC-2kwzaThHv16k/edit#gid=0"",""NSE Input VaR+ELM!D:J""),7,0),100)"),17.58)</f>
        <v>17.58</v>
      </c>
      <c r="E66" s="7">
        <f t="shared" si="1"/>
        <v>82.42</v>
      </c>
      <c r="F66" s="9" t="s">
        <v>10</v>
      </c>
      <c r="G66" s="7"/>
    </row>
    <row r="67">
      <c r="A67" s="7">
        <v>61.0</v>
      </c>
      <c r="B67" s="8" t="s">
        <v>129</v>
      </c>
      <c r="C67" s="8" t="s">
        <v>130</v>
      </c>
      <c r="D67" s="8">
        <f>IFERROR(__xludf.DUMMYFUNCTION("IFERROR(VLOOKUP(C67,IMPORTRANGE(""https://docs.google.com/spreadsheets/d/10KlTSftfC81rs2H7Cf6EIR7VWS3omC-2kwzaThHv16k/edit#gid=0"",""NSE Input VaR+ELM!D:J""),7,0),100)"),16.24)</f>
        <v>16.24</v>
      </c>
      <c r="E67" s="7">
        <f t="shared" si="1"/>
        <v>83.76</v>
      </c>
      <c r="F67" s="9" t="s">
        <v>10</v>
      </c>
      <c r="G67" s="7"/>
    </row>
    <row r="68">
      <c r="A68" s="7">
        <v>62.0</v>
      </c>
      <c r="B68" s="8" t="s">
        <v>131</v>
      </c>
      <c r="C68" s="8" t="s">
        <v>132</v>
      </c>
      <c r="D68" s="8">
        <f>IFERROR(__xludf.DUMMYFUNCTION("IFERROR(VLOOKUP(C68,IMPORTRANGE(""https://docs.google.com/spreadsheets/d/10KlTSftfC81rs2H7Cf6EIR7VWS3omC-2kwzaThHv16k/edit#gid=0"",""NSE Input VaR+ELM!D:J""),7,0),100)"),21.26)</f>
        <v>21.26</v>
      </c>
      <c r="E68" s="7">
        <f t="shared" si="1"/>
        <v>78.74</v>
      </c>
      <c r="F68" s="9" t="s">
        <v>10</v>
      </c>
      <c r="G68" s="7"/>
    </row>
    <row r="69">
      <c r="A69" s="7">
        <v>63.0</v>
      </c>
      <c r="B69" s="8" t="s">
        <v>133</v>
      </c>
      <c r="C69" s="8" t="s">
        <v>134</v>
      </c>
      <c r="D69" s="8">
        <f>IFERROR(__xludf.DUMMYFUNCTION("IFERROR(VLOOKUP(C69,IMPORTRANGE(""https://docs.google.com/spreadsheets/d/10KlTSftfC81rs2H7Cf6EIR7VWS3omC-2kwzaThHv16k/edit#gid=0"",""NSE Input VaR+ELM!D:J""),7,0),100)"),12.5)</f>
        <v>12.5</v>
      </c>
      <c r="E69" s="7">
        <f t="shared" si="1"/>
        <v>87.5</v>
      </c>
      <c r="F69" s="9" t="s">
        <v>10</v>
      </c>
      <c r="G69" s="7"/>
    </row>
    <row r="70">
      <c r="A70" s="7">
        <v>64.0</v>
      </c>
      <c r="B70" s="8" t="s">
        <v>135</v>
      </c>
      <c r="C70" s="8" t="s">
        <v>136</v>
      </c>
      <c r="D70" s="8">
        <f>IFERROR(__xludf.DUMMYFUNCTION("IFERROR(VLOOKUP(C70,IMPORTRANGE(""https://docs.google.com/spreadsheets/d/10KlTSftfC81rs2H7Cf6EIR7VWS3omC-2kwzaThHv16k/edit#gid=0"",""NSE Input VaR+ELM!D:J""),7,0),100)"),12.5)</f>
        <v>12.5</v>
      </c>
      <c r="E70" s="7">
        <f t="shared" si="1"/>
        <v>87.5</v>
      </c>
      <c r="F70" s="9" t="s">
        <v>10</v>
      </c>
      <c r="G70" s="7"/>
    </row>
    <row r="71">
      <c r="A71" s="7">
        <v>65.0</v>
      </c>
      <c r="B71" s="8" t="s">
        <v>137</v>
      </c>
      <c r="C71" s="8" t="s">
        <v>138</v>
      </c>
      <c r="D71" s="8">
        <f>IFERROR(__xludf.DUMMYFUNCTION("IFERROR(VLOOKUP(C71,IMPORTRANGE(""https://docs.google.com/spreadsheets/d/10KlTSftfC81rs2H7Cf6EIR7VWS3omC-2kwzaThHv16k/edit#gid=0"",""NSE Input VaR+ELM!D:J""),7,0),100)"),20.65)</f>
        <v>20.65</v>
      </c>
      <c r="E71" s="7">
        <f t="shared" si="1"/>
        <v>79.35</v>
      </c>
      <c r="F71" s="9" t="s">
        <v>10</v>
      </c>
      <c r="G71" s="7"/>
    </row>
    <row r="72">
      <c r="A72" s="7">
        <v>66.0</v>
      </c>
      <c r="B72" s="8" t="s">
        <v>139</v>
      </c>
      <c r="C72" s="8" t="s">
        <v>140</v>
      </c>
      <c r="D72" s="8">
        <f>IFERROR(__xludf.DUMMYFUNCTION("IFERROR(VLOOKUP(C72,IMPORTRANGE(""https://docs.google.com/spreadsheets/d/10KlTSftfC81rs2H7Cf6EIR7VWS3omC-2kwzaThHv16k/edit#gid=0"",""NSE Input VaR+ELM!D:J""),7,0),100)"),16.9)</f>
        <v>16.9</v>
      </c>
      <c r="E72" s="7">
        <f t="shared" si="1"/>
        <v>83.1</v>
      </c>
      <c r="F72" s="9" t="s">
        <v>10</v>
      </c>
      <c r="G72" s="7"/>
    </row>
    <row r="73">
      <c r="A73" s="7">
        <v>67.0</v>
      </c>
      <c r="B73" s="8" t="s">
        <v>141</v>
      </c>
      <c r="C73" s="8" t="s">
        <v>142</v>
      </c>
      <c r="D73" s="8">
        <f>IFERROR(__xludf.DUMMYFUNCTION("IFERROR(VLOOKUP(C73,IMPORTRANGE(""https://docs.google.com/spreadsheets/d/10KlTSftfC81rs2H7Cf6EIR7VWS3omC-2kwzaThHv16k/edit#gid=0"",""NSE Input VaR+ELM!D:J""),7,0),100)"),17.04)</f>
        <v>17.04</v>
      </c>
      <c r="E73" s="7">
        <f t="shared" si="1"/>
        <v>82.96</v>
      </c>
      <c r="F73" s="9" t="s">
        <v>10</v>
      </c>
      <c r="G73" s="7"/>
    </row>
    <row r="74">
      <c r="A74" s="7">
        <v>68.0</v>
      </c>
      <c r="B74" s="8" t="s">
        <v>143</v>
      </c>
      <c r="C74" s="8" t="s">
        <v>144</v>
      </c>
      <c r="D74" s="8">
        <f>IFERROR(__xludf.DUMMYFUNCTION("IFERROR(VLOOKUP(C74,IMPORTRANGE(""https://docs.google.com/spreadsheets/d/10KlTSftfC81rs2H7Cf6EIR7VWS3omC-2kwzaThHv16k/edit#gid=0"",""NSE Input VaR+ELM!D:J""),7,0),100)"),16.73)</f>
        <v>16.73</v>
      </c>
      <c r="E74" s="7">
        <f t="shared" si="1"/>
        <v>83.27</v>
      </c>
      <c r="F74" s="9" t="s">
        <v>10</v>
      </c>
      <c r="G74" s="7"/>
    </row>
    <row r="75">
      <c r="A75" s="7">
        <v>69.0</v>
      </c>
      <c r="B75" s="8" t="s">
        <v>145</v>
      </c>
      <c r="C75" s="8" t="s">
        <v>146</v>
      </c>
      <c r="D75" s="8">
        <f>IFERROR(__xludf.DUMMYFUNCTION("IFERROR(VLOOKUP(C75,IMPORTRANGE(""https://docs.google.com/spreadsheets/d/10KlTSftfC81rs2H7Cf6EIR7VWS3omC-2kwzaThHv16k/edit#gid=0"",""NSE Input VaR+ELM!D:J""),7,0),100)"),16.63)</f>
        <v>16.63</v>
      </c>
      <c r="E75" s="7">
        <f t="shared" si="1"/>
        <v>83.37</v>
      </c>
      <c r="F75" s="9" t="s">
        <v>10</v>
      </c>
      <c r="G75" s="7"/>
    </row>
    <row r="76">
      <c r="A76" s="7">
        <v>70.0</v>
      </c>
      <c r="B76" s="8" t="s">
        <v>147</v>
      </c>
      <c r="C76" s="8" t="s">
        <v>148</v>
      </c>
      <c r="D76" s="8">
        <f>IFERROR(__xludf.DUMMYFUNCTION("IFERROR(VLOOKUP(C76,IMPORTRANGE(""https://docs.google.com/spreadsheets/d/10KlTSftfC81rs2H7Cf6EIR7VWS3omC-2kwzaThHv16k/edit#gid=0"",""NSE Input VaR+ELM!D:J""),7,0),100)"),15.82)</f>
        <v>15.82</v>
      </c>
      <c r="E76" s="7">
        <f t="shared" si="1"/>
        <v>84.18</v>
      </c>
      <c r="F76" s="9" t="s">
        <v>10</v>
      </c>
      <c r="G76" s="7"/>
    </row>
    <row r="77">
      <c r="A77" s="7">
        <v>71.0</v>
      </c>
      <c r="B77" s="8" t="s">
        <v>149</v>
      </c>
      <c r="C77" s="8" t="s">
        <v>150</v>
      </c>
      <c r="D77" s="8">
        <f>IFERROR(__xludf.DUMMYFUNCTION("IFERROR(VLOOKUP(C77,IMPORTRANGE(""https://docs.google.com/spreadsheets/d/10KlTSftfC81rs2H7Cf6EIR7VWS3omC-2kwzaThHv16k/edit#gid=0"",""NSE Input VaR+ELM!D:J""),7,0),100)"),16.25)</f>
        <v>16.25</v>
      </c>
      <c r="E77" s="7">
        <f t="shared" si="1"/>
        <v>83.75</v>
      </c>
      <c r="F77" s="9" t="s">
        <v>10</v>
      </c>
      <c r="G77" s="7"/>
    </row>
    <row r="78">
      <c r="A78" s="7">
        <v>72.0</v>
      </c>
      <c r="B78" s="8" t="s">
        <v>151</v>
      </c>
      <c r="C78" s="8" t="s">
        <v>152</v>
      </c>
      <c r="D78" s="8">
        <f>IFERROR(__xludf.DUMMYFUNCTION("IFERROR(VLOOKUP(C78,IMPORTRANGE(""https://docs.google.com/spreadsheets/d/10KlTSftfC81rs2H7Cf6EIR7VWS3omC-2kwzaThHv16k/edit#gid=0"",""NSE Input VaR+ELM!D:J""),7,0),100)"),15.57)</f>
        <v>15.57</v>
      </c>
      <c r="E78" s="7">
        <f t="shared" si="1"/>
        <v>84.43</v>
      </c>
      <c r="F78" s="9" t="s">
        <v>10</v>
      </c>
      <c r="G78" s="7"/>
    </row>
    <row r="79">
      <c r="A79" s="7">
        <v>73.0</v>
      </c>
      <c r="B79" s="8" t="s">
        <v>153</v>
      </c>
      <c r="C79" s="8" t="s">
        <v>154</v>
      </c>
      <c r="D79" s="8">
        <f>IFERROR(__xludf.DUMMYFUNCTION("IFERROR(VLOOKUP(C79,IMPORTRANGE(""https://docs.google.com/spreadsheets/d/10KlTSftfC81rs2H7Cf6EIR7VWS3omC-2kwzaThHv16k/edit#gid=0"",""NSE Input VaR+ELM!D:J""),7,0),100)"),16.72)</f>
        <v>16.72</v>
      </c>
      <c r="E79" s="7">
        <f t="shared" si="1"/>
        <v>83.28</v>
      </c>
      <c r="F79" s="9" t="s">
        <v>10</v>
      </c>
      <c r="G79" s="7"/>
    </row>
    <row r="80">
      <c r="A80" s="7">
        <v>74.0</v>
      </c>
      <c r="B80" s="8" t="s">
        <v>155</v>
      </c>
      <c r="C80" s="8" t="s">
        <v>156</v>
      </c>
      <c r="D80" s="8">
        <f>IFERROR(__xludf.DUMMYFUNCTION("IFERROR(VLOOKUP(C80,IMPORTRANGE(""https://docs.google.com/spreadsheets/d/10KlTSftfC81rs2H7Cf6EIR7VWS3omC-2kwzaThHv16k/edit#gid=0"",""NSE Input VaR+ELM!D:J""),7,0),100)"),19.45)</f>
        <v>19.45</v>
      </c>
      <c r="E80" s="7">
        <f t="shared" si="1"/>
        <v>80.55</v>
      </c>
      <c r="F80" s="9" t="s">
        <v>10</v>
      </c>
      <c r="G80" s="7"/>
    </row>
    <row r="81">
      <c r="A81" s="7">
        <v>75.0</v>
      </c>
      <c r="B81" s="8" t="s">
        <v>157</v>
      </c>
      <c r="C81" s="8" t="s">
        <v>158</v>
      </c>
      <c r="D81" s="8">
        <f>IFERROR(__xludf.DUMMYFUNCTION("IFERROR(VLOOKUP(C81,IMPORTRANGE(""https://docs.google.com/spreadsheets/d/10KlTSftfC81rs2H7Cf6EIR7VWS3omC-2kwzaThHv16k/edit#gid=0"",""NSE Input VaR+ELM!D:J""),7,0),100)"),20.11)</f>
        <v>20.11</v>
      </c>
      <c r="E81" s="7">
        <f t="shared" si="1"/>
        <v>79.89</v>
      </c>
      <c r="F81" s="9" t="s">
        <v>10</v>
      </c>
      <c r="G81" s="7"/>
    </row>
    <row r="82">
      <c r="A82" s="7">
        <v>76.0</v>
      </c>
      <c r="B82" s="8" t="s">
        <v>159</v>
      </c>
      <c r="C82" s="8" t="s">
        <v>160</v>
      </c>
      <c r="D82" s="8">
        <f>IFERROR(__xludf.DUMMYFUNCTION("IFERROR(VLOOKUP(C82,IMPORTRANGE(""https://docs.google.com/spreadsheets/d/10KlTSftfC81rs2H7Cf6EIR7VWS3omC-2kwzaThHv16k/edit#gid=0"",""NSE Input VaR+ELM!D:J""),7,0),100)"),14.23)</f>
        <v>14.23</v>
      </c>
      <c r="E82" s="7">
        <f t="shared" si="1"/>
        <v>85.77</v>
      </c>
      <c r="F82" s="9" t="s">
        <v>10</v>
      </c>
      <c r="G82" s="7"/>
    </row>
    <row r="83">
      <c r="A83" s="7">
        <v>77.0</v>
      </c>
      <c r="B83" s="8" t="s">
        <v>161</v>
      </c>
      <c r="C83" s="8" t="s">
        <v>162</v>
      </c>
      <c r="D83" s="8">
        <f>IFERROR(__xludf.DUMMYFUNCTION("IFERROR(VLOOKUP(C83,IMPORTRANGE(""https://docs.google.com/spreadsheets/d/10KlTSftfC81rs2H7Cf6EIR7VWS3omC-2kwzaThHv16k/edit#gid=0"",""NSE Input VaR+ELM!D:J""),7,0),100)"),19.79)</f>
        <v>19.79</v>
      </c>
      <c r="E83" s="7">
        <f t="shared" si="1"/>
        <v>80.21</v>
      </c>
      <c r="F83" s="9" t="s">
        <v>10</v>
      </c>
      <c r="G83" s="7"/>
    </row>
    <row r="84">
      <c r="A84" s="7">
        <v>78.0</v>
      </c>
      <c r="B84" s="8" t="s">
        <v>163</v>
      </c>
      <c r="C84" s="8" t="s">
        <v>164</v>
      </c>
      <c r="D84" s="8">
        <f>IFERROR(__xludf.DUMMYFUNCTION("IFERROR(VLOOKUP(C84,IMPORTRANGE(""https://docs.google.com/spreadsheets/d/10KlTSftfC81rs2H7Cf6EIR7VWS3omC-2kwzaThHv16k/edit#gid=0"",""NSE Input VaR+ELM!D:J""),7,0),100)"),12.5)</f>
        <v>12.5</v>
      </c>
      <c r="E84" s="7">
        <f t="shared" si="1"/>
        <v>87.5</v>
      </c>
      <c r="F84" s="9" t="s">
        <v>10</v>
      </c>
      <c r="G84" s="7"/>
    </row>
    <row r="85">
      <c r="A85" s="7">
        <v>79.0</v>
      </c>
      <c r="B85" s="8" t="s">
        <v>165</v>
      </c>
      <c r="C85" s="8" t="s">
        <v>166</v>
      </c>
      <c r="D85" s="8">
        <f>IFERROR(__xludf.DUMMYFUNCTION("IFERROR(VLOOKUP(C85,IMPORTRANGE(""https://docs.google.com/spreadsheets/d/10KlTSftfC81rs2H7Cf6EIR7VWS3omC-2kwzaThHv16k/edit#gid=0"",""NSE Input VaR+ELM!D:J""),7,0),100)"),19.26)</f>
        <v>19.26</v>
      </c>
      <c r="E85" s="7">
        <f t="shared" si="1"/>
        <v>80.74</v>
      </c>
      <c r="F85" s="9" t="s">
        <v>10</v>
      </c>
      <c r="G85" s="7"/>
    </row>
    <row r="86">
      <c r="A86" s="7">
        <v>80.0</v>
      </c>
      <c r="B86" s="8" t="s">
        <v>167</v>
      </c>
      <c r="C86" s="8" t="s">
        <v>168</v>
      </c>
      <c r="D86" s="8">
        <f>IFERROR(__xludf.DUMMYFUNCTION("IFERROR(VLOOKUP(C86,IMPORTRANGE(""https://docs.google.com/spreadsheets/d/10KlTSftfC81rs2H7Cf6EIR7VWS3omC-2kwzaThHv16k/edit#gid=0"",""NSE Input VaR+ELM!D:J""),7,0),100)"),15.8)</f>
        <v>15.8</v>
      </c>
      <c r="E86" s="7">
        <f t="shared" si="1"/>
        <v>84.2</v>
      </c>
      <c r="F86" s="9" t="s">
        <v>10</v>
      </c>
      <c r="G86" s="7"/>
    </row>
    <row r="87">
      <c r="A87" s="7">
        <v>81.0</v>
      </c>
      <c r="B87" s="8" t="s">
        <v>169</v>
      </c>
      <c r="C87" s="8" t="s">
        <v>170</v>
      </c>
      <c r="D87" s="8">
        <f>IFERROR(__xludf.DUMMYFUNCTION("IFERROR(VLOOKUP(C87,IMPORTRANGE(""https://docs.google.com/spreadsheets/d/10KlTSftfC81rs2H7Cf6EIR7VWS3omC-2kwzaThHv16k/edit#gid=0"",""NSE Input VaR+ELM!D:J""),7,0),100)"),13.06)</f>
        <v>13.06</v>
      </c>
      <c r="E87" s="7">
        <f t="shared" si="1"/>
        <v>86.94</v>
      </c>
      <c r="F87" s="9" t="s">
        <v>10</v>
      </c>
      <c r="G87" s="7"/>
    </row>
    <row r="88">
      <c r="A88" s="7">
        <v>82.0</v>
      </c>
      <c r="B88" s="8" t="s">
        <v>171</v>
      </c>
      <c r="C88" s="8" t="s">
        <v>172</v>
      </c>
      <c r="D88" s="8">
        <f>IFERROR(__xludf.DUMMYFUNCTION("IFERROR(VLOOKUP(C88,IMPORTRANGE(""https://docs.google.com/spreadsheets/d/10KlTSftfC81rs2H7Cf6EIR7VWS3omC-2kwzaThHv16k/edit#gid=0"",""NSE Input VaR+ELM!D:J""),7,0),100)"),16.38)</f>
        <v>16.38</v>
      </c>
      <c r="E88" s="7">
        <f t="shared" si="1"/>
        <v>83.62</v>
      </c>
      <c r="F88" s="9" t="s">
        <v>10</v>
      </c>
      <c r="G88" s="7"/>
    </row>
    <row r="89">
      <c r="A89" s="7">
        <v>83.0</v>
      </c>
      <c r="B89" s="8" t="s">
        <v>173</v>
      </c>
      <c r="C89" s="8" t="s">
        <v>174</v>
      </c>
      <c r="D89" s="8">
        <f>IFERROR(__xludf.DUMMYFUNCTION("IFERROR(VLOOKUP(C89,IMPORTRANGE(""https://docs.google.com/spreadsheets/d/10KlTSftfC81rs2H7Cf6EIR7VWS3omC-2kwzaThHv16k/edit#gid=0"",""NSE Input VaR+ELM!D:J""),7,0),100)"),20.68)</f>
        <v>20.68</v>
      </c>
      <c r="E89" s="7">
        <f t="shared" si="1"/>
        <v>79.32</v>
      </c>
      <c r="F89" s="9" t="s">
        <v>10</v>
      </c>
      <c r="G89" s="7"/>
    </row>
    <row r="90">
      <c r="A90" s="7">
        <v>84.0</v>
      </c>
      <c r="B90" s="8" t="s">
        <v>175</v>
      </c>
      <c r="C90" s="8" t="s">
        <v>176</v>
      </c>
      <c r="D90" s="8">
        <f>IFERROR(__xludf.DUMMYFUNCTION("IFERROR(VLOOKUP(C90,IMPORTRANGE(""https://docs.google.com/spreadsheets/d/10KlTSftfC81rs2H7Cf6EIR7VWS3omC-2kwzaThHv16k/edit#gid=0"",""NSE Input VaR+ELM!D:J""),7,0),100)"),18.04)</f>
        <v>18.04</v>
      </c>
      <c r="E90" s="7">
        <f t="shared" si="1"/>
        <v>81.96</v>
      </c>
      <c r="F90" s="9" t="s">
        <v>10</v>
      </c>
      <c r="G90" s="7"/>
    </row>
    <row r="91">
      <c r="A91" s="7">
        <v>85.0</v>
      </c>
      <c r="B91" s="8" t="s">
        <v>177</v>
      </c>
      <c r="C91" s="8" t="s">
        <v>178</v>
      </c>
      <c r="D91" s="8">
        <f>IFERROR(__xludf.DUMMYFUNCTION("IFERROR(VLOOKUP(C91,IMPORTRANGE(""https://docs.google.com/spreadsheets/d/10KlTSftfC81rs2H7Cf6EIR7VWS3omC-2kwzaThHv16k/edit#gid=0"",""NSE Input VaR+ELM!D:J""),7,0),100)"),20.54)</f>
        <v>20.54</v>
      </c>
      <c r="E91" s="7">
        <f t="shared" si="1"/>
        <v>79.46</v>
      </c>
      <c r="F91" s="9" t="s">
        <v>10</v>
      </c>
      <c r="G91" s="7"/>
    </row>
    <row r="92">
      <c r="A92" s="7">
        <v>86.0</v>
      </c>
      <c r="B92" s="8" t="s">
        <v>179</v>
      </c>
      <c r="C92" s="8" t="s">
        <v>180</v>
      </c>
      <c r="D92" s="8">
        <f>IFERROR(__xludf.DUMMYFUNCTION("IFERROR(VLOOKUP(C92,IMPORTRANGE(""https://docs.google.com/spreadsheets/d/10KlTSftfC81rs2H7Cf6EIR7VWS3omC-2kwzaThHv16k/edit#gid=0"",""NSE Input VaR+ELM!D:J""),7,0),100)"),18.66)</f>
        <v>18.66</v>
      </c>
      <c r="E92" s="7">
        <f t="shared" si="1"/>
        <v>81.34</v>
      </c>
      <c r="F92" s="9" t="s">
        <v>10</v>
      </c>
      <c r="G92" s="7"/>
    </row>
    <row r="93">
      <c r="A93" s="7">
        <v>87.0</v>
      </c>
      <c r="B93" s="8" t="s">
        <v>181</v>
      </c>
      <c r="C93" s="8" t="s">
        <v>182</v>
      </c>
      <c r="D93" s="8">
        <f>IFERROR(__xludf.DUMMYFUNCTION("IFERROR(VLOOKUP(C93,IMPORTRANGE(""https://docs.google.com/spreadsheets/d/10KlTSftfC81rs2H7Cf6EIR7VWS3omC-2kwzaThHv16k/edit#gid=0"",""NSE Input VaR+ELM!D:J""),7,0),100)"),22.67)</f>
        <v>22.67</v>
      </c>
      <c r="E93" s="7">
        <f t="shared" si="1"/>
        <v>77.33</v>
      </c>
      <c r="F93" s="9" t="s">
        <v>10</v>
      </c>
      <c r="G93" s="7"/>
    </row>
    <row r="94">
      <c r="A94" s="7">
        <v>88.0</v>
      </c>
      <c r="B94" s="8" t="s">
        <v>183</v>
      </c>
      <c r="C94" s="8" t="s">
        <v>184</v>
      </c>
      <c r="D94" s="8">
        <f>IFERROR(__xludf.DUMMYFUNCTION("IFERROR(VLOOKUP(C94,IMPORTRANGE(""https://docs.google.com/spreadsheets/d/10KlTSftfC81rs2H7Cf6EIR7VWS3omC-2kwzaThHv16k/edit#gid=0"",""NSE Input VaR+ELM!D:J""),7,0),100)"),12.89)</f>
        <v>12.89</v>
      </c>
      <c r="E94" s="7">
        <f t="shared" si="1"/>
        <v>87.11</v>
      </c>
      <c r="F94" s="9" t="s">
        <v>10</v>
      </c>
      <c r="G94" s="7"/>
    </row>
    <row r="95">
      <c r="A95" s="7">
        <v>89.0</v>
      </c>
      <c r="B95" s="8" t="s">
        <v>185</v>
      </c>
      <c r="C95" s="8" t="s">
        <v>186</v>
      </c>
      <c r="D95" s="8">
        <f>IFERROR(__xludf.DUMMYFUNCTION("IFERROR(VLOOKUP(C95,IMPORTRANGE(""https://docs.google.com/spreadsheets/d/10KlTSftfC81rs2H7Cf6EIR7VWS3omC-2kwzaThHv16k/edit#gid=0"",""NSE Input VaR+ELM!D:J""),7,0),100)"),14.02)</f>
        <v>14.02</v>
      </c>
      <c r="E95" s="7">
        <f t="shared" si="1"/>
        <v>85.98</v>
      </c>
      <c r="F95" s="9" t="s">
        <v>10</v>
      </c>
      <c r="G95" s="7"/>
    </row>
    <row r="96">
      <c r="A96" s="7">
        <v>90.0</v>
      </c>
      <c r="B96" s="8" t="s">
        <v>187</v>
      </c>
      <c r="C96" s="8" t="s">
        <v>188</v>
      </c>
      <c r="D96" s="8">
        <f>IFERROR(__xludf.DUMMYFUNCTION("IFERROR(VLOOKUP(C96,IMPORTRANGE(""https://docs.google.com/spreadsheets/d/10KlTSftfC81rs2H7Cf6EIR7VWS3omC-2kwzaThHv16k/edit#gid=0"",""NSE Input VaR+ELM!D:J""),7,0),100)"),16.76)</f>
        <v>16.76</v>
      </c>
      <c r="E96" s="7">
        <f t="shared" si="1"/>
        <v>83.24</v>
      </c>
      <c r="F96" s="9" t="s">
        <v>10</v>
      </c>
      <c r="G96" s="7"/>
    </row>
    <row r="97">
      <c r="A97" s="7">
        <v>91.0</v>
      </c>
      <c r="B97" s="8" t="s">
        <v>189</v>
      </c>
      <c r="C97" s="8" t="s">
        <v>190</v>
      </c>
      <c r="D97" s="8">
        <f>IFERROR(__xludf.DUMMYFUNCTION("IFERROR(VLOOKUP(C97,IMPORTRANGE(""https://docs.google.com/spreadsheets/d/10KlTSftfC81rs2H7Cf6EIR7VWS3omC-2kwzaThHv16k/edit#gid=0"",""NSE Input VaR+ELM!D:J""),7,0),100)"),19.88)</f>
        <v>19.88</v>
      </c>
      <c r="E97" s="7">
        <f t="shared" si="1"/>
        <v>80.12</v>
      </c>
      <c r="F97" s="9" t="s">
        <v>10</v>
      </c>
      <c r="G97" s="7"/>
    </row>
    <row r="98">
      <c r="A98" s="7">
        <v>92.0</v>
      </c>
      <c r="B98" s="8" t="s">
        <v>191</v>
      </c>
      <c r="C98" s="8" t="s">
        <v>192</v>
      </c>
      <c r="D98" s="8">
        <f>IFERROR(__xludf.DUMMYFUNCTION("IFERROR(VLOOKUP(C98,IMPORTRANGE(""https://docs.google.com/spreadsheets/d/10KlTSftfC81rs2H7Cf6EIR7VWS3omC-2kwzaThHv16k/edit#gid=0"",""NSE Input VaR+ELM!D:J""),7,0),100)"),22.13)</f>
        <v>22.13</v>
      </c>
      <c r="E98" s="7">
        <f t="shared" si="1"/>
        <v>77.87</v>
      </c>
      <c r="F98" s="9" t="s">
        <v>10</v>
      </c>
      <c r="G98" s="7"/>
    </row>
    <row r="99">
      <c r="A99" s="7">
        <v>93.0</v>
      </c>
      <c r="B99" s="8" t="s">
        <v>193</v>
      </c>
      <c r="C99" s="8" t="s">
        <v>194</v>
      </c>
      <c r="D99" s="8">
        <f>IFERROR(__xludf.DUMMYFUNCTION("IFERROR(VLOOKUP(C99,IMPORTRANGE(""https://docs.google.com/spreadsheets/d/10KlTSftfC81rs2H7Cf6EIR7VWS3omC-2kwzaThHv16k/edit#gid=0"",""NSE Input VaR+ELM!D:J""),7,0),100)"),16.68)</f>
        <v>16.68</v>
      </c>
      <c r="E99" s="7">
        <f t="shared" si="1"/>
        <v>83.32</v>
      </c>
      <c r="F99" s="9" t="s">
        <v>10</v>
      </c>
      <c r="G99" s="7"/>
    </row>
    <row r="100">
      <c r="A100" s="7">
        <v>94.0</v>
      </c>
      <c r="B100" s="8" t="s">
        <v>195</v>
      </c>
      <c r="C100" s="8" t="s">
        <v>196</v>
      </c>
      <c r="D100" s="8">
        <f>IFERROR(__xludf.DUMMYFUNCTION("IFERROR(VLOOKUP(C100,IMPORTRANGE(""https://docs.google.com/spreadsheets/d/10KlTSftfC81rs2H7Cf6EIR7VWS3omC-2kwzaThHv16k/edit#gid=0"",""NSE Input VaR+ELM!D:J""),7,0),100)"),14.92)</f>
        <v>14.92</v>
      </c>
      <c r="E100" s="7">
        <f t="shared" si="1"/>
        <v>85.08</v>
      </c>
      <c r="F100" s="9" t="s">
        <v>10</v>
      </c>
      <c r="G100" s="7"/>
    </row>
    <row r="101">
      <c r="A101" s="7">
        <v>95.0</v>
      </c>
      <c r="B101" s="8" t="s">
        <v>197</v>
      </c>
      <c r="C101" s="8" t="s">
        <v>198</v>
      </c>
      <c r="D101" s="8">
        <f>IFERROR(__xludf.DUMMYFUNCTION("IFERROR(VLOOKUP(C101,IMPORTRANGE(""https://docs.google.com/spreadsheets/d/10KlTSftfC81rs2H7Cf6EIR7VWS3omC-2kwzaThHv16k/edit#gid=0"",""NSE Input VaR+ELM!D:J""),7,0),100)"),18.48)</f>
        <v>18.48</v>
      </c>
      <c r="E101" s="7">
        <f t="shared" si="1"/>
        <v>81.52</v>
      </c>
      <c r="F101" s="9" t="s">
        <v>10</v>
      </c>
      <c r="G101" s="7"/>
    </row>
    <row r="102">
      <c r="A102" s="7">
        <v>96.0</v>
      </c>
      <c r="B102" s="8" t="s">
        <v>199</v>
      </c>
      <c r="C102" s="8" t="s">
        <v>200</v>
      </c>
      <c r="D102" s="8">
        <f>IFERROR(__xludf.DUMMYFUNCTION("IFERROR(VLOOKUP(C102,IMPORTRANGE(""https://docs.google.com/spreadsheets/d/10KlTSftfC81rs2H7Cf6EIR7VWS3omC-2kwzaThHv16k/edit#gid=0"",""NSE Input VaR+ELM!D:J""),7,0),100)"),20.88)</f>
        <v>20.88</v>
      </c>
      <c r="E102" s="7">
        <f t="shared" si="1"/>
        <v>79.12</v>
      </c>
      <c r="F102" s="9" t="s">
        <v>10</v>
      </c>
      <c r="G102" s="7"/>
    </row>
    <row r="103">
      <c r="A103" s="7">
        <v>97.0</v>
      </c>
      <c r="B103" s="8" t="s">
        <v>201</v>
      </c>
      <c r="C103" s="8" t="s">
        <v>202</v>
      </c>
      <c r="D103" s="8">
        <f>IFERROR(__xludf.DUMMYFUNCTION("IFERROR(VLOOKUP(C103,IMPORTRANGE(""https://docs.google.com/spreadsheets/d/10KlTSftfC81rs2H7Cf6EIR7VWS3omC-2kwzaThHv16k/edit#gid=0"",""NSE Input VaR+ELM!D:J""),7,0),100)"),15.14)</f>
        <v>15.14</v>
      </c>
      <c r="E103" s="7">
        <f t="shared" si="1"/>
        <v>84.86</v>
      </c>
      <c r="F103" s="9" t="s">
        <v>10</v>
      </c>
      <c r="G103" s="7"/>
    </row>
    <row r="104">
      <c r="A104" s="7">
        <v>98.0</v>
      </c>
      <c r="B104" s="8" t="s">
        <v>203</v>
      </c>
      <c r="C104" s="8" t="s">
        <v>204</v>
      </c>
      <c r="D104" s="8">
        <f>IFERROR(__xludf.DUMMYFUNCTION("IFERROR(VLOOKUP(C104,IMPORTRANGE(""https://docs.google.com/spreadsheets/d/10KlTSftfC81rs2H7Cf6EIR7VWS3omC-2kwzaThHv16k/edit#gid=0"",""NSE Input VaR+ELM!D:J""),7,0),100)"),35.0)</f>
        <v>35</v>
      </c>
      <c r="E104" s="7">
        <f t="shared" si="1"/>
        <v>65</v>
      </c>
      <c r="F104" s="9" t="s">
        <v>10</v>
      </c>
      <c r="G104" s="7"/>
    </row>
    <row r="105">
      <c r="A105" s="7">
        <v>99.0</v>
      </c>
      <c r="B105" s="8" t="s">
        <v>205</v>
      </c>
      <c r="C105" s="8" t="s">
        <v>206</v>
      </c>
      <c r="D105" s="8">
        <f>IFERROR(__xludf.DUMMYFUNCTION("IFERROR(VLOOKUP(C105,IMPORTRANGE(""https://docs.google.com/spreadsheets/d/10KlTSftfC81rs2H7Cf6EIR7VWS3omC-2kwzaThHv16k/edit#gid=0"",""NSE Input VaR+ELM!D:J""),7,0),100)"),29.34)</f>
        <v>29.34</v>
      </c>
      <c r="E105" s="7">
        <f t="shared" si="1"/>
        <v>70.66</v>
      </c>
      <c r="F105" s="9" t="s">
        <v>10</v>
      </c>
      <c r="G105" s="7"/>
    </row>
    <row r="106">
      <c r="A106" s="7">
        <v>100.0</v>
      </c>
      <c r="B106" s="8" t="s">
        <v>207</v>
      </c>
      <c r="C106" s="8" t="s">
        <v>208</v>
      </c>
      <c r="D106" s="8">
        <f>IFERROR(__xludf.DUMMYFUNCTION("IFERROR(VLOOKUP(C106,IMPORTRANGE(""https://docs.google.com/spreadsheets/d/10KlTSftfC81rs2H7Cf6EIR7VWS3omC-2kwzaThHv16k/edit#gid=0"",""NSE Input VaR+ELM!D:J""),7,0),100)"),14.9)</f>
        <v>14.9</v>
      </c>
      <c r="E106" s="7">
        <f t="shared" si="1"/>
        <v>85.1</v>
      </c>
      <c r="F106" s="9" t="s">
        <v>10</v>
      </c>
      <c r="G106" s="7"/>
    </row>
    <row r="107">
      <c r="A107" s="7">
        <v>101.0</v>
      </c>
      <c r="B107" s="8" t="s">
        <v>209</v>
      </c>
      <c r="C107" s="8" t="s">
        <v>210</v>
      </c>
      <c r="D107" s="8">
        <f>IFERROR(__xludf.DUMMYFUNCTION("IFERROR(VLOOKUP(C107,IMPORTRANGE(""https://docs.google.com/spreadsheets/d/10KlTSftfC81rs2H7Cf6EIR7VWS3omC-2kwzaThHv16k/edit#gid=0"",""NSE Input VaR+ELM!D:J""),7,0),100)"),29.7)</f>
        <v>29.7</v>
      </c>
      <c r="E107" s="7">
        <f t="shared" si="1"/>
        <v>70.3</v>
      </c>
      <c r="F107" s="9" t="s">
        <v>10</v>
      </c>
      <c r="G107" s="7"/>
    </row>
    <row r="108">
      <c r="A108" s="7">
        <v>102.0</v>
      </c>
      <c r="B108" s="8" t="s">
        <v>211</v>
      </c>
      <c r="C108" s="8" t="s">
        <v>212</v>
      </c>
      <c r="D108" s="8">
        <f>IFERROR(__xludf.DUMMYFUNCTION("IFERROR(VLOOKUP(C108,IMPORTRANGE(""https://docs.google.com/spreadsheets/d/10KlTSftfC81rs2H7Cf6EIR7VWS3omC-2kwzaThHv16k/edit#gid=0"",""NSE Input VaR+ELM!D:J""),7,0),100)"),22.09)</f>
        <v>22.09</v>
      </c>
      <c r="E108" s="7">
        <f t="shared" si="1"/>
        <v>77.91</v>
      </c>
      <c r="F108" s="9" t="s">
        <v>10</v>
      </c>
      <c r="G108" s="7"/>
    </row>
    <row r="109">
      <c r="A109" s="7">
        <v>103.0</v>
      </c>
      <c r="B109" s="8" t="s">
        <v>213</v>
      </c>
      <c r="C109" s="8" t="s">
        <v>214</v>
      </c>
      <c r="D109" s="8">
        <f>IFERROR(__xludf.DUMMYFUNCTION("IFERROR(VLOOKUP(C109,IMPORTRANGE(""https://docs.google.com/spreadsheets/d/10KlTSftfC81rs2H7Cf6EIR7VWS3omC-2kwzaThHv16k/edit#gid=0"",""NSE Input VaR+ELM!D:J""),7,0),100)"),15.58)</f>
        <v>15.58</v>
      </c>
      <c r="E109" s="7">
        <f t="shared" si="1"/>
        <v>84.42</v>
      </c>
      <c r="F109" s="9" t="s">
        <v>10</v>
      </c>
      <c r="G109" s="7"/>
    </row>
    <row r="110">
      <c r="A110" s="7">
        <v>104.0</v>
      </c>
      <c r="B110" s="8" t="s">
        <v>215</v>
      </c>
      <c r="C110" s="8" t="s">
        <v>216</v>
      </c>
      <c r="D110" s="8">
        <f>IFERROR(__xludf.DUMMYFUNCTION("IFERROR(VLOOKUP(C110,IMPORTRANGE(""https://docs.google.com/spreadsheets/d/10KlTSftfC81rs2H7Cf6EIR7VWS3omC-2kwzaThHv16k/edit#gid=0"",""NSE Input VaR+ELM!D:J""),7,0),100)"),25.29)</f>
        <v>25.29</v>
      </c>
      <c r="E110" s="7">
        <f t="shared" si="1"/>
        <v>74.71</v>
      </c>
      <c r="F110" s="9" t="s">
        <v>217</v>
      </c>
      <c r="G110" s="7"/>
    </row>
    <row r="111">
      <c r="A111" s="7">
        <v>105.0</v>
      </c>
      <c r="B111" s="8" t="s">
        <v>218</v>
      </c>
      <c r="C111" s="8" t="s">
        <v>219</v>
      </c>
      <c r="D111" s="8">
        <f>IFERROR(__xludf.DUMMYFUNCTION("IFERROR(VLOOKUP(C111,IMPORTRANGE(""https://docs.google.com/spreadsheets/d/10KlTSftfC81rs2H7Cf6EIR7VWS3omC-2kwzaThHv16k/edit#gid=0"",""NSE Input VaR+ELM!D:J""),7,0),100)"),18.67)</f>
        <v>18.67</v>
      </c>
      <c r="E111" s="7">
        <f t="shared" si="1"/>
        <v>81.33</v>
      </c>
      <c r="F111" s="9" t="s">
        <v>10</v>
      </c>
      <c r="G111" s="7"/>
    </row>
    <row r="112">
      <c r="A112" s="7">
        <v>106.0</v>
      </c>
      <c r="B112" s="8" t="s">
        <v>220</v>
      </c>
      <c r="C112" s="8" t="s">
        <v>221</v>
      </c>
      <c r="D112" s="8">
        <f>IFERROR(__xludf.DUMMYFUNCTION("IFERROR(VLOOKUP(C112,IMPORTRANGE(""https://docs.google.com/spreadsheets/d/10KlTSftfC81rs2H7Cf6EIR7VWS3omC-2kwzaThHv16k/edit#gid=0"",""NSE Input VaR+ELM!D:J""),7,0),100)"),17.35)</f>
        <v>17.35</v>
      </c>
      <c r="E112" s="7">
        <f t="shared" si="1"/>
        <v>82.65</v>
      </c>
      <c r="F112" s="9" t="s">
        <v>10</v>
      </c>
      <c r="G112" s="7"/>
    </row>
    <row r="113">
      <c r="A113" s="7">
        <v>107.0</v>
      </c>
      <c r="B113" s="8" t="s">
        <v>222</v>
      </c>
      <c r="C113" s="8" t="s">
        <v>223</v>
      </c>
      <c r="D113" s="8">
        <f>IFERROR(__xludf.DUMMYFUNCTION("IFERROR(VLOOKUP(C113,IMPORTRANGE(""https://docs.google.com/spreadsheets/d/10KlTSftfC81rs2H7Cf6EIR7VWS3omC-2kwzaThHv16k/edit#gid=0"",""NSE Input VaR+ELM!D:J""),7,0),100)"),23.53)</f>
        <v>23.53</v>
      </c>
      <c r="E113" s="7">
        <f t="shared" si="1"/>
        <v>76.47</v>
      </c>
      <c r="F113" s="9" t="s">
        <v>217</v>
      </c>
      <c r="G113" s="7"/>
    </row>
    <row r="114">
      <c r="A114" s="7">
        <v>108.0</v>
      </c>
      <c r="B114" s="8" t="s">
        <v>224</v>
      </c>
      <c r="C114" s="8" t="s">
        <v>225</v>
      </c>
      <c r="D114" s="8">
        <f>IFERROR(__xludf.DUMMYFUNCTION("IFERROR(VLOOKUP(C114,IMPORTRANGE(""https://docs.google.com/spreadsheets/d/10KlTSftfC81rs2H7Cf6EIR7VWS3omC-2kwzaThHv16k/edit#gid=0"",""NSE Input VaR+ELM!D:J""),7,0),100)"),19.22)</f>
        <v>19.22</v>
      </c>
      <c r="E114" s="7">
        <f t="shared" si="1"/>
        <v>80.78</v>
      </c>
      <c r="F114" s="9" t="s">
        <v>10</v>
      </c>
      <c r="G114" s="7"/>
    </row>
    <row r="115">
      <c r="A115" s="7">
        <v>109.0</v>
      </c>
      <c r="B115" s="8" t="s">
        <v>226</v>
      </c>
      <c r="C115" s="8" t="s">
        <v>227</v>
      </c>
      <c r="D115" s="8">
        <f>IFERROR(__xludf.DUMMYFUNCTION("IFERROR(VLOOKUP(C115,IMPORTRANGE(""https://docs.google.com/spreadsheets/d/10KlTSftfC81rs2H7Cf6EIR7VWS3omC-2kwzaThHv16k/edit#gid=0"",""NSE Input VaR+ELM!D:J""),7,0),100)"),100.0)</f>
        <v>100</v>
      </c>
      <c r="E115" s="7">
        <f t="shared" si="1"/>
        <v>0</v>
      </c>
      <c r="F115" s="9" t="s">
        <v>10</v>
      </c>
      <c r="G115" s="7"/>
    </row>
    <row r="116">
      <c r="A116" s="7">
        <v>110.0</v>
      </c>
      <c r="B116" s="8" t="s">
        <v>228</v>
      </c>
      <c r="C116" s="8" t="s">
        <v>229</v>
      </c>
      <c r="D116" s="8">
        <f>IFERROR(__xludf.DUMMYFUNCTION("IFERROR(VLOOKUP(C116,IMPORTRANGE(""https://docs.google.com/spreadsheets/d/10KlTSftfC81rs2H7Cf6EIR7VWS3omC-2kwzaThHv16k/edit#gid=0"",""NSE Input VaR+ELM!D:J""),7,0),100)"),17.31)</f>
        <v>17.31</v>
      </c>
      <c r="E116" s="7">
        <f t="shared" si="1"/>
        <v>82.69</v>
      </c>
      <c r="F116" s="9" t="s">
        <v>10</v>
      </c>
      <c r="G116" s="7"/>
    </row>
    <row r="117">
      <c r="A117" s="7">
        <v>111.0</v>
      </c>
      <c r="B117" s="8" t="s">
        <v>230</v>
      </c>
      <c r="C117" s="8" t="s">
        <v>231</v>
      </c>
      <c r="D117" s="8">
        <f>IFERROR(__xludf.DUMMYFUNCTION("IFERROR(VLOOKUP(C117,IMPORTRANGE(""https://docs.google.com/spreadsheets/d/10KlTSftfC81rs2H7Cf6EIR7VWS3omC-2kwzaThHv16k/edit#gid=0"",""NSE Input VaR+ELM!D:J""),7,0),100)"),14.3)</f>
        <v>14.3</v>
      </c>
      <c r="E117" s="7">
        <f t="shared" si="1"/>
        <v>85.7</v>
      </c>
      <c r="F117" s="9" t="s">
        <v>10</v>
      </c>
      <c r="G117" s="7"/>
    </row>
    <row r="118">
      <c r="A118" s="7">
        <v>112.0</v>
      </c>
      <c r="B118" s="8" t="s">
        <v>232</v>
      </c>
      <c r="C118" s="8" t="s">
        <v>233</v>
      </c>
      <c r="D118" s="8">
        <f>IFERROR(__xludf.DUMMYFUNCTION("IFERROR(VLOOKUP(C118,IMPORTRANGE(""https://docs.google.com/spreadsheets/d/10KlTSftfC81rs2H7Cf6EIR7VWS3omC-2kwzaThHv16k/edit#gid=0"",""NSE Input VaR+ELM!D:J""),7,0),100)"),19.42)</f>
        <v>19.42</v>
      </c>
      <c r="E118" s="7">
        <f t="shared" si="1"/>
        <v>80.58</v>
      </c>
      <c r="F118" s="9" t="s">
        <v>10</v>
      </c>
      <c r="G118" s="7"/>
    </row>
    <row r="119">
      <c r="A119" s="7">
        <v>113.0</v>
      </c>
      <c r="B119" s="8" t="s">
        <v>234</v>
      </c>
      <c r="C119" s="8" t="s">
        <v>235</v>
      </c>
      <c r="D119" s="8">
        <f>IFERROR(__xludf.DUMMYFUNCTION("IFERROR(VLOOKUP(C119,IMPORTRANGE(""https://docs.google.com/spreadsheets/d/10KlTSftfC81rs2H7Cf6EIR7VWS3omC-2kwzaThHv16k/edit#gid=0"",""NSE Input VaR+ELM!D:J""),7,0),100)"),18.64)</f>
        <v>18.64</v>
      </c>
      <c r="E119" s="7">
        <f t="shared" si="1"/>
        <v>81.36</v>
      </c>
      <c r="F119" s="9" t="s">
        <v>10</v>
      </c>
      <c r="G119" s="7"/>
    </row>
    <row r="120">
      <c r="A120" s="7">
        <v>114.0</v>
      </c>
      <c r="B120" s="8" t="s">
        <v>236</v>
      </c>
      <c r="C120" s="8" t="s">
        <v>237</v>
      </c>
      <c r="D120" s="8">
        <f>IFERROR(__xludf.DUMMYFUNCTION("IFERROR(VLOOKUP(C120,IMPORTRANGE(""https://docs.google.com/spreadsheets/d/10KlTSftfC81rs2H7Cf6EIR7VWS3omC-2kwzaThHv16k/edit#gid=0"",""NSE Input VaR+ELM!D:J""),7,0),100)"),12.5)</f>
        <v>12.5</v>
      </c>
      <c r="E120" s="7">
        <f t="shared" si="1"/>
        <v>87.5</v>
      </c>
      <c r="F120" s="9" t="s">
        <v>10</v>
      </c>
      <c r="G120" s="7"/>
    </row>
    <row r="121">
      <c r="A121" s="7">
        <v>115.0</v>
      </c>
      <c r="B121" s="8" t="s">
        <v>238</v>
      </c>
      <c r="C121" s="8" t="s">
        <v>239</v>
      </c>
      <c r="D121" s="8">
        <f>IFERROR(__xludf.DUMMYFUNCTION("IFERROR(VLOOKUP(C121,IMPORTRANGE(""https://docs.google.com/spreadsheets/d/10KlTSftfC81rs2H7Cf6EIR7VWS3omC-2kwzaThHv16k/edit#gid=0"",""NSE Input VaR+ELM!D:J""),7,0),100)"),17.72)</f>
        <v>17.72</v>
      </c>
      <c r="E121" s="7">
        <f t="shared" si="1"/>
        <v>82.28</v>
      </c>
      <c r="F121" s="9" t="s">
        <v>217</v>
      </c>
      <c r="G121" s="7"/>
    </row>
    <row r="122">
      <c r="A122" s="7">
        <v>116.0</v>
      </c>
      <c r="B122" s="8" t="s">
        <v>240</v>
      </c>
      <c r="C122" s="8" t="s">
        <v>241</v>
      </c>
      <c r="D122" s="8">
        <f>IFERROR(__xludf.DUMMYFUNCTION("IFERROR(VLOOKUP(C122,IMPORTRANGE(""https://docs.google.com/spreadsheets/d/10KlTSftfC81rs2H7Cf6EIR7VWS3omC-2kwzaThHv16k/edit#gid=0"",""NSE Input VaR+ELM!D:J""),7,0),100)"),26.44)</f>
        <v>26.44</v>
      </c>
      <c r="E122" s="7">
        <f t="shared" si="1"/>
        <v>73.56</v>
      </c>
      <c r="F122" s="9" t="s">
        <v>10</v>
      </c>
      <c r="G122" s="7"/>
    </row>
    <row r="123">
      <c r="A123" s="7">
        <v>117.0</v>
      </c>
      <c r="B123" s="8" t="s">
        <v>242</v>
      </c>
      <c r="C123" s="8" t="s">
        <v>243</v>
      </c>
      <c r="D123" s="8">
        <f>IFERROR(__xludf.DUMMYFUNCTION("IFERROR(VLOOKUP(C123,IMPORTRANGE(""https://docs.google.com/spreadsheets/d/10KlTSftfC81rs2H7Cf6EIR7VWS3omC-2kwzaThHv16k/edit#gid=0"",""NSE Input VaR+ELM!D:J""),7,0),100)"),23.72)</f>
        <v>23.72</v>
      </c>
      <c r="E123" s="7">
        <f t="shared" si="1"/>
        <v>76.28</v>
      </c>
      <c r="F123" s="9" t="s">
        <v>10</v>
      </c>
      <c r="G123" s="7"/>
    </row>
    <row r="124">
      <c r="A124" s="7">
        <v>118.0</v>
      </c>
      <c r="B124" s="8" t="s">
        <v>244</v>
      </c>
      <c r="C124" s="8" t="s">
        <v>245</v>
      </c>
      <c r="D124" s="8">
        <f>IFERROR(__xludf.DUMMYFUNCTION("IFERROR(VLOOKUP(C124,IMPORTRANGE(""https://docs.google.com/spreadsheets/d/10KlTSftfC81rs2H7Cf6EIR7VWS3omC-2kwzaThHv16k/edit#gid=0"",""NSE Input VaR+ELM!D:J""),7,0),100)"),24.19)</f>
        <v>24.19</v>
      </c>
      <c r="E124" s="7">
        <f t="shared" si="1"/>
        <v>75.81</v>
      </c>
      <c r="F124" s="9" t="s">
        <v>10</v>
      </c>
      <c r="G124" s="7"/>
    </row>
    <row r="125">
      <c r="A125" s="7">
        <v>119.0</v>
      </c>
      <c r="B125" s="8" t="s">
        <v>246</v>
      </c>
      <c r="C125" s="8" t="s">
        <v>247</v>
      </c>
      <c r="D125" s="8">
        <f>IFERROR(__xludf.DUMMYFUNCTION("IFERROR(VLOOKUP(C125,IMPORTRANGE(""https://docs.google.com/spreadsheets/d/10KlTSftfC81rs2H7Cf6EIR7VWS3omC-2kwzaThHv16k/edit#gid=0"",""NSE Input VaR+ELM!D:J""),7,0),100)"),19.38)</f>
        <v>19.38</v>
      </c>
      <c r="E125" s="7">
        <f t="shared" si="1"/>
        <v>80.62</v>
      </c>
      <c r="F125" s="9" t="s">
        <v>10</v>
      </c>
      <c r="G125" s="7"/>
    </row>
    <row r="126">
      <c r="A126" s="7">
        <v>120.0</v>
      </c>
      <c r="B126" s="8" t="s">
        <v>248</v>
      </c>
      <c r="C126" s="8" t="s">
        <v>249</v>
      </c>
      <c r="D126" s="8">
        <f>IFERROR(__xludf.DUMMYFUNCTION("IFERROR(VLOOKUP(C126,IMPORTRANGE(""https://docs.google.com/spreadsheets/d/10KlTSftfC81rs2H7Cf6EIR7VWS3omC-2kwzaThHv16k/edit#gid=0"",""NSE Input VaR+ELM!D:J""),7,0),100)"),22.38)</f>
        <v>22.38</v>
      </c>
      <c r="E126" s="7">
        <f t="shared" si="1"/>
        <v>77.62</v>
      </c>
      <c r="F126" s="9" t="s">
        <v>10</v>
      </c>
      <c r="G126" s="7"/>
    </row>
    <row r="127">
      <c r="A127" s="7">
        <v>121.0</v>
      </c>
      <c r="B127" s="8" t="s">
        <v>250</v>
      </c>
      <c r="C127" s="8" t="s">
        <v>251</v>
      </c>
      <c r="D127" s="8">
        <f>IFERROR(__xludf.DUMMYFUNCTION("IFERROR(VLOOKUP(C127,IMPORTRANGE(""https://docs.google.com/spreadsheets/d/10KlTSftfC81rs2H7Cf6EIR7VWS3omC-2kwzaThHv16k/edit#gid=0"",""NSE Input VaR+ELM!D:J""),7,0),100)"),29.18)</f>
        <v>29.18</v>
      </c>
      <c r="E127" s="7">
        <f t="shared" si="1"/>
        <v>70.82</v>
      </c>
      <c r="F127" s="9" t="s">
        <v>10</v>
      </c>
      <c r="G127" s="7"/>
    </row>
    <row r="128">
      <c r="A128" s="7">
        <v>122.0</v>
      </c>
      <c r="B128" s="8" t="s">
        <v>252</v>
      </c>
      <c r="C128" s="8" t="s">
        <v>253</v>
      </c>
      <c r="D128" s="8">
        <f>IFERROR(__xludf.DUMMYFUNCTION("IFERROR(VLOOKUP(C128,IMPORTRANGE(""https://docs.google.com/spreadsheets/d/10KlTSftfC81rs2H7Cf6EIR7VWS3omC-2kwzaThHv16k/edit#gid=0"",""NSE Input VaR+ELM!D:J""),7,0),100)"),24.67)</f>
        <v>24.67</v>
      </c>
      <c r="E128" s="7">
        <f t="shared" si="1"/>
        <v>75.33</v>
      </c>
      <c r="F128" s="9" t="s">
        <v>10</v>
      </c>
      <c r="G128" s="7"/>
    </row>
    <row r="129">
      <c r="A129" s="7">
        <v>123.0</v>
      </c>
      <c r="B129" s="8" t="s">
        <v>254</v>
      </c>
      <c r="C129" s="8" t="s">
        <v>255</v>
      </c>
      <c r="D129" s="8">
        <f>IFERROR(__xludf.DUMMYFUNCTION("IFERROR(VLOOKUP(C129,IMPORTRANGE(""https://docs.google.com/spreadsheets/d/10KlTSftfC81rs2H7Cf6EIR7VWS3omC-2kwzaThHv16k/edit#gid=0"",""NSE Input VaR+ELM!D:J""),7,0),100)"),18.83)</f>
        <v>18.83</v>
      </c>
      <c r="E129" s="7">
        <f t="shared" si="1"/>
        <v>81.17</v>
      </c>
      <c r="F129" s="9" t="s">
        <v>10</v>
      </c>
      <c r="G129" s="7"/>
    </row>
    <row r="130">
      <c r="A130" s="7">
        <v>124.0</v>
      </c>
      <c r="B130" s="8" t="s">
        <v>256</v>
      </c>
      <c r="C130" s="8" t="s">
        <v>257</v>
      </c>
      <c r="D130" s="8">
        <f>IFERROR(__xludf.DUMMYFUNCTION("IFERROR(VLOOKUP(C130,IMPORTRANGE(""https://docs.google.com/spreadsheets/d/10KlTSftfC81rs2H7Cf6EIR7VWS3omC-2kwzaThHv16k/edit#gid=0"",""NSE Input VaR+ELM!D:J""),7,0),100)"),24.52)</f>
        <v>24.52</v>
      </c>
      <c r="E130" s="7">
        <f t="shared" si="1"/>
        <v>75.48</v>
      </c>
      <c r="F130" s="9" t="s">
        <v>10</v>
      </c>
      <c r="G130" s="7"/>
    </row>
    <row r="131">
      <c r="A131" s="7">
        <v>125.0</v>
      </c>
      <c r="B131" s="8" t="s">
        <v>258</v>
      </c>
      <c r="C131" s="8" t="s">
        <v>259</v>
      </c>
      <c r="D131" s="8">
        <f>IFERROR(__xludf.DUMMYFUNCTION("IFERROR(VLOOKUP(C131,IMPORTRANGE(""https://docs.google.com/spreadsheets/d/10KlTSftfC81rs2H7Cf6EIR7VWS3omC-2kwzaThHv16k/edit#gid=0"",""NSE Input VaR+ELM!D:J""),7,0),100)"),12.5)</f>
        <v>12.5</v>
      </c>
      <c r="E131" s="7">
        <f t="shared" si="1"/>
        <v>87.5</v>
      </c>
      <c r="F131" s="9" t="s">
        <v>10</v>
      </c>
      <c r="G131" s="7"/>
    </row>
    <row r="132">
      <c r="A132" s="7">
        <v>126.0</v>
      </c>
      <c r="B132" s="8" t="s">
        <v>260</v>
      </c>
      <c r="C132" s="8" t="s">
        <v>261</v>
      </c>
      <c r="D132" s="8">
        <f>IFERROR(__xludf.DUMMYFUNCTION("IFERROR(VLOOKUP(C132,IMPORTRANGE(""https://docs.google.com/spreadsheets/d/10KlTSftfC81rs2H7Cf6EIR7VWS3omC-2kwzaThHv16k/edit#gid=0"",""NSE Input VaR+ELM!D:J""),7,0),100)"),21.9)</f>
        <v>21.9</v>
      </c>
      <c r="E132" s="7">
        <f t="shared" si="1"/>
        <v>78.1</v>
      </c>
      <c r="F132" s="9" t="s">
        <v>10</v>
      </c>
      <c r="G132" s="7"/>
    </row>
    <row r="133">
      <c r="A133" s="7">
        <v>127.0</v>
      </c>
      <c r="B133" s="8" t="s">
        <v>262</v>
      </c>
      <c r="C133" s="8" t="s">
        <v>263</v>
      </c>
      <c r="D133" s="8">
        <f>IFERROR(__xludf.DUMMYFUNCTION("IFERROR(VLOOKUP(C133,IMPORTRANGE(""https://docs.google.com/spreadsheets/d/10KlTSftfC81rs2H7Cf6EIR7VWS3omC-2kwzaThHv16k/edit#gid=0"",""NSE Input VaR+ELM!D:J""),7,0),100)"),29.11)</f>
        <v>29.11</v>
      </c>
      <c r="E133" s="7">
        <f t="shared" si="1"/>
        <v>70.89</v>
      </c>
      <c r="F133" s="9" t="s">
        <v>10</v>
      </c>
      <c r="G133" s="7"/>
    </row>
    <row r="134">
      <c r="A134" s="7">
        <v>128.0</v>
      </c>
      <c r="B134" s="8" t="s">
        <v>264</v>
      </c>
      <c r="C134" s="8" t="s">
        <v>265</v>
      </c>
      <c r="D134" s="8">
        <f>IFERROR(__xludf.DUMMYFUNCTION("IFERROR(VLOOKUP(C134,IMPORTRANGE(""https://docs.google.com/spreadsheets/d/10KlTSftfC81rs2H7Cf6EIR7VWS3omC-2kwzaThHv16k/edit#gid=0"",""NSE Input VaR+ELM!D:J""),7,0),100)"),29.26)</f>
        <v>29.26</v>
      </c>
      <c r="E134" s="7">
        <f t="shared" si="1"/>
        <v>70.74</v>
      </c>
      <c r="F134" s="9" t="s">
        <v>10</v>
      </c>
      <c r="G134" s="7"/>
    </row>
    <row r="135">
      <c r="A135" s="7">
        <v>129.0</v>
      </c>
      <c r="B135" s="8" t="s">
        <v>266</v>
      </c>
      <c r="C135" s="8" t="s">
        <v>267</v>
      </c>
      <c r="D135" s="8">
        <f>IFERROR(__xludf.DUMMYFUNCTION("IFERROR(VLOOKUP(C135,IMPORTRANGE(""https://docs.google.com/spreadsheets/d/10KlTSftfC81rs2H7Cf6EIR7VWS3omC-2kwzaThHv16k/edit#gid=0"",""NSE Input VaR+ELM!D:J""),7,0),100)"),19.73)</f>
        <v>19.73</v>
      </c>
      <c r="E135" s="7">
        <f t="shared" si="1"/>
        <v>80.27</v>
      </c>
      <c r="F135" s="9" t="s">
        <v>10</v>
      </c>
      <c r="G135" s="7"/>
    </row>
    <row r="136">
      <c r="A136" s="7">
        <v>130.0</v>
      </c>
      <c r="B136" s="8" t="s">
        <v>268</v>
      </c>
      <c r="C136" s="8" t="s">
        <v>269</v>
      </c>
      <c r="D136" s="8">
        <f>IFERROR(__xludf.DUMMYFUNCTION("IFERROR(VLOOKUP(C136,IMPORTRANGE(""https://docs.google.com/spreadsheets/d/10KlTSftfC81rs2H7Cf6EIR7VWS3omC-2kwzaThHv16k/edit#gid=0"",""NSE Input VaR+ELM!D:J""),7,0),100)"),100.0)</f>
        <v>100</v>
      </c>
      <c r="E136" s="7">
        <f t="shared" si="1"/>
        <v>0</v>
      </c>
      <c r="F136" s="9" t="s">
        <v>217</v>
      </c>
      <c r="G136" s="7"/>
    </row>
    <row r="137">
      <c r="A137" s="7">
        <v>131.0</v>
      </c>
      <c r="B137" s="8" t="s">
        <v>270</v>
      </c>
      <c r="C137" s="8" t="s">
        <v>271</v>
      </c>
      <c r="D137" s="8">
        <f>IFERROR(__xludf.DUMMYFUNCTION("IFERROR(VLOOKUP(C137,IMPORTRANGE(""https://docs.google.com/spreadsheets/d/10KlTSftfC81rs2H7Cf6EIR7VWS3omC-2kwzaThHv16k/edit#gid=0"",""NSE Input VaR+ELM!D:J""),7,0),100)"),20.78)</f>
        <v>20.78</v>
      </c>
      <c r="E137" s="7">
        <f t="shared" si="1"/>
        <v>79.22</v>
      </c>
      <c r="F137" s="9" t="s">
        <v>217</v>
      </c>
      <c r="G137" s="7"/>
    </row>
    <row r="138">
      <c r="A138" s="7">
        <v>132.0</v>
      </c>
      <c r="B138" s="8" t="s">
        <v>272</v>
      </c>
      <c r="C138" s="8" t="s">
        <v>273</v>
      </c>
      <c r="D138" s="8">
        <f>IFERROR(__xludf.DUMMYFUNCTION("IFERROR(VLOOKUP(C138,IMPORTRANGE(""https://docs.google.com/spreadsheets/d/10KlTSftfC81rs2H7Cf6EIR7VWS3omC-2kwzaThHv16k/edit#gid=0"",""NSE Input VaR+ELM!D:J""),7,0),100)"),19.9)</f>
        <v>19.9</v>
      </c>
      <c r="E138" s="7">
        <f t="shared" si="1"/>
        <v>80.1</v>
      </c>
      <c r="F138" s="9" t="s">
        <v>10</v>
      </c>
      <c r="G138" s="7"/>
    </row>
    <row r="139">
      <c r="A139" s="7">
        <v>133.0</v>
      </c>
      <c r="B139" s="8" t="s">
        <v>274</v>
      </c>
      <c r="C139" s="8" t="s">
        <v>275</v>
      </c>
      <c r="D139" s="8">
        <f>IFERROR(__xludf.DUMMYFUNCTION("IFERROR(VLOOKUP(C139,IMPORTRANGE(""https://docs.google.com/spreadsheets/d/10KlTSftfC81rs2H7Cf6EIR7VWS3omC-2kwzaThHv16k/edit#gid=0"",""NSE Input VaR+ELM!D:J""),7,0),100)"),16.35)</f>
        <v>16.35</v>
      </c>
      <c r="E139" s="7">
        <f t="shared" si="1"/>
        <v>83.65</v>
      </c>
      <c r="F139" s="9" t="s">
        <v>10</v>
      </c>
      <c r="G139" s="7"/>
    </row>
    <row r="140">
      <c r="A140" s="7">
        <v>134.0</v>
      </c>
      <c r="B140" s="8" t="s">
        <v>276</v>
      </c>
      <c r="C140" s="8" t="s">
        <v>277</v>
      </c>
      <c r="D140" s="8">
        <f>IFERROR(__xludf.DUMMYFUNCTION("IFERROR(VLOOKUP(C140,IMPORTRANGE(""https://docs.google.com/spreadsheets/d/10KlTSftfC81rs2H7Cf6EIR7VWS3omC-2kwzaThHv16k/edit#gid=0"",""NSE Input VaR+ELM!D:J""),7,0),100)"),25.8)</f>
        <v>25.8</v>
      </c>
      <c r="E140" s="7">
        <f t="shared" si="1"/>
        <v>74.2</v>
      </c>
      <c r="F140" s="9" t="s">
        <v>10</v>
      </c>
      <c r="G140" s="7"/>
    </row>
    <row r="141">
      <c r="A141" s="7">
        <v>135.0</v>
      </c>
      <c r="B141" s="8" t="s">
        <v>278</v>
      </c>
      <c r="C141" s="8" t="s">
        <v>279</v>
      </c>
      <c r="D141" s="8">
        <f>IFERROR(__xludf.DUMMYFUNCTION("IFERROR(VLOOKUP(C141,IMPORTRANGE(""https://docs.google.com/spreadsheets/d/10KlTSftfC81rs2H7Cf6EIR7VWS3omC-2kwzaThHv16k/edit#gid=0"",""NSE Input VaR+ELM!D:J""),7,0),100)"),14.52)</f>
        <v>14.52</v>
      </c>
      <c r="E141" s="7">
        <f t="shared" si="1"/>
        <v>85.48</v>
      </c>
      <c r="F141" s="9" t="s">
        <v>10</v>
      </c>
      <c r="G141" s="7"/>
    </row>
    <row r="142">
      <c r="A142" s="7">
        <v>136.0</v>
      </c>
      <c r="B142" s="8" t="s">
        <v>280</v>
      </c>
      <c r="C142" s="8" t="s">
        <v>281</v>
      </c>
      <c r="D142" s="8">
        <f>IFERROR(__xludf.DUMMYFUNCTION("IFERROR(VLOOKUP(C142,IMPORTRANGE(""https://docs.google.com/spreadsheets/d/10KlTSftfC81rs2H7Cf6EIR7VWS3omC-2kwzaThHv16k/edit#gid=0"",""NSE Input VaR+ELM!D:J""),7,0),100)"),25.96)</f>
        <v>25.96</v>
      </c>
      <c r="E142" s="7">
        <f t="shared" si="1"/>
        <v>74.04</v>
      </c>
      <c r="F142" s="9" t="s">
        <v>10</v>
      </c>
      <c r="G142" s="7"/>
    </row>
    <row r="143">
      <c r="A143" s="7">
        <v>137.0</v>
      </c>
      <c r="B143" s="8" t="s">
        <v>282</v>
      </c>
      <c r="C143" s="8" t="s">
        <v>283</v>
      </c>
      <c r="D143" s="8">
        <f>IFERROR(__xludf.DUMMYFUNCTION("IFERROR(VLOOKUP(C143,IMPORTRANGE(""https://docs.google.com/spreadsheets/d/10KlTSftfC81rs2H7Cf6EIR7VWS3omC-2kwzaThHv16k/edit#gid=0"",""NSE Input VaR+ELM!D:J""),7,0),100)"),23.53)</f>
        <v>23.53</v>
      </c>
      <c r="E143" s="7">
        <f t="shared" si="1"/>
        <v>76.47</v>
      </c>
      <c r="F143" s="9" t="s">
        <v>10</v>
      </c>
      <c r="G143" s="7"/>
    </row>
    <row r="144">
      <c r="A144" s="7">
        <v>138.0</v>
      </c>
      <c r="B144" s="8" t="s">
        <v>284</v>
      </c>
      <c r="C144" s="8" t="s">
        <v>285</v>
      </c>
      <c r="D144" s="8">
        <f>IFERROR(__xludf.DUMMYFUNCTION("IFERROR(VLOOKUP(C144,IMPORTRANGE(""https://docs.google.com/spreadsheets/d/10KlTSftfC81rs2H7Cf6EIR7VWS3omC-2kwzaThHv16k/edit#gid=0"",""NSE Input VaR+ELM!D:J""),7,0),100)"),26.14)</f>
        <v>26.14</v>
      </c>
      <c r="E144" s="7">
        <f t="shared" si="1"/>
        <v>73.86</v>
      </c>
      <c r="F144" s="9" t="s">
        <v>217</v>
      </c>
      <c r="G144" s="7"/>
    </row>
    <row r="145">
      <c r="A145" s="7">
        <v>139.0</v>
      </c>
      <c r="B145" s="8" t="s">
        <v>286</v>
      </c>
      <c r="C145" s="8" t="s">
        <v>287</v>
      </c>
      <c r="D145" s="8">
        <f>IFERROR(__xludf.DUMMYFUNCTION("IFERROR(VLOOKUP(C145,IMPORTRANGE(""https://docs.google.com/spreadsheets/d/10KlTSftfC81rs2H7Cf6EIR7VWS3omC-2kwzaThHv16k/edit#gid=0"",""NSE Input VaR+ELM!D:J""),7,0),100)"),28.99)</f>
        <v>28.99</v>
      </c>
      <c r="E145" s="7">
        <f t="shared" si="1"/>
        <v>71.01</v>
      </c>
      <c r="F145" s="9" t="s">
        <v>10</v>
      </c>
      <c r="G145" s="7"/>
    </row>
    <row r="146">
      <c r="A146" s="7">
        <v>140.0</v>
      </c>
      <c r="B146" s="8" t="s">
        <v>288</v>
      </c>
      <c r="C146" s="8" t="s">
        <v>289</v>
      </c>
      <c r="D146" s="8">
        <f>IFERROR(__xludf.DUMMYFUNCTION("IFERROR(VLOOKUP(C146,IMPORTRANGE(""https://docs.google.com/spreadsheets/d/10KlTSftfC81rs2H7Cf6EIR7VWS3omC-2kwzaThHv16k/edit#gid=0"",""NSE Input VaR+ELM!D:J""),7,0),100)"),12.5)</f>
        <v>12.5</v>
      </c>
      <c r="E146" s="7">
        <f t="shared" si="1"/>
        <v>87.5</v>
      </c>
      <c r="F146" s="9" t="s">
        <v>10</v>
      </c>
      <c r="G146" s="7"/>
    </row>
    <row r="147">
      <c r="A147" s="7">
        <v>141.0</v>
      </c>
      <c r="B147" s="8" t="s">
        <v>290</v>
      </c>
      <c r="C147" s="8" t="s">
        <v>291</v>
      </c>
      <c r="D147" s="8">
        <f>IFERROR(__xludf.DUMMYFUNCTION("IFERROR(VLOOKUP(C147,IMPORTRANGE(""https://docs.google.com/spreadsheets/d/10KlTSftfC81rs2H7Cf6EIR7VWS3omC-2kwzaThHv16k/edit#gid=0"",""NSE Input VaR+ELM!D:J""),7,0),100)"),24.45)</f>
        <v>24.45</v>
      </c>
      <c r="E147" s="7">
        <f t="shared" si="1"/>
        <v>75.55</v>
      </c>
      <c r="F147" s="9" t="s">
        <v>10</v>
      </c>
      <c r="G147" s="7"/>
    </row>
    <row r="148">
      <c r="A148" s="7">
        <v>142.0</v>
      </c>
      <c r="B148" s="8" t="s">
        <v>292</v>
      </c>
      <c r="C148" s="8" t="s">
        <v>293</v>
      </c>
      <c r="D148" s="8">
        <f>IFERROR(__xludf.DUMMYFUNCTION("IFERROR(VLOOKUP(C148,IMPORTRANGE(""https://docs.google.com/spreadsheets/d/10KlTSftfC81rs2H7Cf6EIR7VWS3omC-2kwzaThHv16k/edit#gid=0"",""NSE Input VaR+ELM!D:J""),7,0),100)"),18.69)</f>
        <v>18.69</v>
      </c>
      <c r="E148" s="7">
        <f t="shared" si="1"/>
        <v>81.31</v>
      </c>
      <c r="F148" s="9" t="s">
        <v>217</v>
      </c>
      <c r="G148" s="7"/>
    </row>
    <row r="149">
      <c r="A149" s="7">
        <v>143.0</v>
      </c>
      <c r="B149" s="8" t="s">
        <v>294</v>
      </c>
      <c r="C149" s="8" t="s">
        <v>295</v>
      </c>
      <c r="D149" s="8">
        <f>IFERROR(__xludf.DUMMYFUNCTION("IFERROR(VLOOKUP(C149,IMPORTRANGE(""https://docs.google.com/spreadsheets/d/10KlTSftfC81rs2H7Cf6EIR7VWS3omC-2kwzaThHv16k/edit#gid=0"",""NSE Input VaR+ELM!D:J""),7,0),100)"),20.59)</f>
        <v>20.59</v>
      </c>
      <c r="E149" s="7">
        <f t="shared" si="1"/>
        <v>79.41</v>
      </c>
      <c r="F149" s="9" t="s">
        <v>10</v>
      </c>
      <c r="G149" s="7"/>
    </row>
    <row r="150">
      <c r="A150" s="7">
        <v>144.0</v>
      </c>
      <c r="B150" s="8" t="s">
        <v>296</v>
      </c>
      <c r="C150" s="8" t="s">
        <v>297</v>
      </c>
      <c r="D150" s="8">
        <f>IFERROR(__xludf.DUMMYFUNCTION("IFERROR(VLOOKUP(C150,IMPORTRANGE(""https://docs.google.com/spreadsheets/d/10KlTSftfC81rs2H7Cf6EIR7VWS3omC-2kwzaThHv16k/edit#gid=0"",""NSE Input VaR+ELM!D:J""),7,0),100)"),23.67)</f>
        <v>23.67</v>
      </c>
      <c r="E150" s="7">
        <f t="shared" si="1"/>
        <v>76.33</v>
      </c>
      <c r="F150" s="9" t="s">
        <v>217</v>
      </c>
      <c r="G150" s="7"/>
    </row>
    <row r="151">
      <c r="A151" s="7">
        <v>145.0</v>
      </c>
      <c r="B151" s="8" t="s">
        <v>298</v>
      </c>
      <c r="C151" s="8" t="s">
        <v>299</v>
      </c>
      <c r="D151" s="8">
        <f>IFERROR(__xludf.DUMMYFUNCTION("IFERROR(VLOOKUP(C151,IMPORTRANGE(""https://docs.google.com/spreadsheets/d/10KlTSftfC81rs2H7Cf6EIR7VWS3omC-2kwzaThHv16k/edit#gid=0"",""NSE Input VaR+ELM!D:J""),7,0),100)"),13.02)</f>
        <v>13.02</v>
      </c>
      <c r="E151" s="7">
        <f t="shared" si="1"/>
        <v>86.98</v>
      </c>
      <c r="F151" s="9" t="s">
        <v>10</v>
      </c>
      <c r="G151" s="7"/>
    </row>
    <row r="152">
      <c r="A152" s="7">
        <v>146.0</v>
      </c>
      <c r="B152" s="8" t="s">
        <v>300</v>
      </c>
      <c r="C152" s="8" t="s">
        <v>301</v>
      </c>
      <c r="D152" s="8">
        <f>IFERROR(__xludf.DUMMYFUNCTION("IFERROR(VLOOKUP(C152,IMPORTRANGE(""https://docs.google.com/spreadsheets/d/10KlTSftfC81rs2H7Cf6EIR7VWS3omC-2kwzaThHv16k/edit#gid=0"",""NSE Input VaR+ELM!D:J""),7,0),100)"),20.17)</f>
        <v>20.17</v>
      </c>
      <c r="E152" s="7">
        <f t="shared" si="1"/>
        <v>79.83</v>
      </c>
      <c r="F152" s="9" t="s">
        <v>10</v>
      </c>
      <c r="G152" s="7"/>
    </row>
    <row r="153">
      <c r="A153" s="7">
        <v>147.0</v>
      </c>
      <c r="B153" s="8" t="s">
        <v>302</v>
      </c>
      <c r="C153" s="8" t="s">
        <v>303</v>
      </c>
      <c r="D153" s="8">
        <f>IFERROR(__xludf.DUMMYFUNCTION("IFERROR(VLOOKUP(C153,IMPORTRANGE(""https://docs.google.com/spreadsheets/d/10KlTSftfC81rs2H7Cf6EIR7VWS3omC-2kwzaThHv16k/edit#gid=0"",""NSE Input VaR+ELM!D:J""),7,0),100)"),22.97)</f>
        <v>22.97</v>
      </c>
      <c r="E153" s="7">
        <f t="shared" si="1"/>
        <v>77.03</v>
      </c>
      <c r="F153" s="9" t="s">
        <v>10</v>
      </c>
      <c r="G153" s="7"/>
    </row>
    <row r="154">
      <c r="A154" s="7">
        <v>148.0</v>
      </c>
      <c r="B154" s="8" t="s">
        <v>304</v>
      </c>
      <c r="C154" s="8" t="s">
        <v>305</v>
      </c>
      <c r="D154" s="8">
        <f>IFERROR(__xludf.DUMMYFUNCTION("IFERROR(VLOOKUP(C154,IMPORTRANGE(""https://docs.google.com/spreadsheets/d/10KlTSftfC81rs2H7Cf6EIR7VWS3omC-2kwzaThHv16k/edit#gid=0"",""NSE Input VaR+ELM!D:J""),7,0),100)"),22.45)</f>
        <v>22.45</v>
      </c>
      <c r="E154" s="7">
        <f t="shared" si="1"/>
        <v>77.55</v>
      </c>
      <c r="F154" s="9" t="s">
        <v>217</v>
      </c>
      <c r="G154" s="7"/>
    </row>
    <row r="155">
      <c r="A155" s="7">
        <v>149.0</v>
      </c>
      <c r="B155" s="8" t="s">
        <v>306</v>
      </c>
      <c r="C155" s="8" t="s">
        <v>307</v>
      </c>
      <c r="D155" s="8">
        <f>IFERROR(__xludf.DUMMYFUNCTION("IFERROR(VLOOKUP(C155,IMPORTRANGE(""https://docs.google.com/spreadsheets/d/10KlTSftfC81rs2H7Cf6EIR7VWS3omC-2kwzaThHv16k/edit#gid=0"",""NSE Input VaR+ELM!D:J""),7,0),100)"),28.99)</f>
        <v>28.99</v>
      </c>
      <c r="E155" s="7">
        <f t="shared" si="1"/>
        <v>71.01</v>
      </c>
      <c r="F155" s="9" t="s">
        <v>10</v>
      </c>
      <c r="G155" s="7"/>
    </row>
    <row r="156">
      <c r="A156" s="7">
        <v>150.0</v>
      </c>
      <c r="B156" s="8" t="s">
        <v>308</v>
      </c>
      <c r="C156" s="8" t="s">
        <v>309</v>
      </c>
      <c r="D156" s="8">
        <f>IFERROR(__xludf.DUMMYFUNCTION("IFERROR(VLOOKUP(C156,IMPORTRANGE(""https://docs.google.com/spreadsheets/d/10KlTSftfC81rs2H7Cf6EIR7VWS3omC-2kwzaThHv16k/edit#gid=0"",""NSE Input VaR+ELM!D:J""),7,0),100)"),27.24)</f>
        <v>27.24</v>
      </c>
      <c r="E156" s="7">
        <f t="shared" si="1"/>
        <v>72.76</v>
      </c>
      <c r="F156" s="9" t="s">
        <v>217</v>
      </c>
      <c r="G156" s="7"/>
    </row>
    <row r="157">
      <c r="A157" s="7">
        <v>151.0</v>
      </c>
      <c r="B157" s="8" t="s">
        <v>310</v>
      </c>
      <c r="C157" s="8" t="s">
        <v>311</v>
      </c>
      <c r="D157" s="8">
        <f>IFERROR(__xludf.DUMMYFUNCTION("IFERROR(VLOOKUP(C157,IMPORTRANGE(""https://docs.google.com/spreadsheets/d/10KlTSftfC81rs2H7Cf6EIR7VWS3omC-2kwzaThHv16k/edit#gid=0"",""NSE Input VaR+ELM!D:J""),7,0),100)"),14.96)</f>
        <v>14.96</v>
      </c>
      <c r="E157" s="7">
        <f t="shared" si="1"/>
        <v>85.04</v>
      </c>
      <c r="F157" s="9" t="s">
        <v>10</v>
      </c>
      <c r="G157" s="7"/>
    </row>
    <row r="158">
      <c r="A158" s="7">
        <v>152.0</v>
      </c>
      <c r="B158" s="8" t="s">
        <v>312</v>
      </c>
      <c r="C158" s="8" t="s">
        <v>313</v>
      </c>
      <c r="D158" s="8">
        <f>IFERROR(__xludf.DUMMYFUNCTION("IFERROR(VLOOKUP(C158,IMPORTRANGE(""https://docs.google.com/spreadsheets/d/10KlTSftfC81rs2H7Cf6EIR7VWS3omC-2kwzaThHv16k/edit#gid=0"",""NSE Input VaR+ELM!D:J""),7,0),100)"),23.06)</f>
        <v>23.06</v>
      </c>
      <c r="E158" s="7">
        <f t="shared" si="1"/>
        <v>76.94</v>
      </c>
      <c r="F158" s="9" t="s">
        <v>10</v>
      </c>
      <c r="G158" s="7"/>
    </row>
    <row r="159">
      <c r="A159" s="7">
        <v>153.0</v>
      </c>
      <c r="B159" s="8" t="s">
        <v>314</v>
      </c>
      <c r="C159" s="8" t="s">
        <v>315</v>
      </c>
      <c r="D159" s="8">
        <f>IFERROR(__xludf.DUMMYFUNCTION("IFERROR(VLOOKUP(C159,IMPORTRANGE(""https://docs.google.com/spreadsheets/d/10KlTSftfC81rs2H7Cf6EIR7VWS3omC-2kwzaThHv16k/edit#gid=0"",""NSE Input VaR+ELM!D:J""),7,0),100)"),23.76)</f>
        <v>23.76</v>
      </c>
      <c r="E159" s="7">
        <f t="shared" si="1"/>
        <v>76.24</v>
      </c>
      <c r="F159" s="9" t="s">
        <v>10</v>
      </c>
      <c r="G159" s="7"/>
    </row>
    <row r="160">
      <c r="A160" s="7">
        <v>154.0</v>
      </c>
      <c r="B160" s="8" t="s">
        <v>316</v>
      </c>
      <c r="C160" s="8" t="s">
        <v>317</v>
      </c>
      <c r="D160" s="8">
        <f>IFERROR(__xludf.DUMMYFUNCTION("IFERROR(VLOOKUP(C160,IMPORTRANGE(""https://docs.google.com/spreadsheets/d/10KlTSftfC81rs2H7Cf6EIR7VWS3omC-2kwzaThHv16k/edit#gid=0"",""NSE Input VaR+ELM!D:J""),7,0),100)"),21.3)</f>
        <v>21.3</v>
      </c>
      <c r="E160" s="7">
        <f t="shared" si="1"/>
        <v>78.7</v>
      </c>
      <c r="F160" s="9" t="s">
        <v>10</v>
      </c>
      <c r="G160" s="7"/>
    </row>
    <row r="161">
      <c r="A161" s="7">
        <v>155.0</v>
      </c>
      <c r="B161" s="8" t="s">
        <v>318</v>
      </c>
      <c r="C161" s="8" t="s">
        <v>319</v>
      </c>
      <c r="D161" s="8">
        <f>IFERROR(__xludf.DUMMYFUNCTION("IFERROR(VLOOKUP(C161,IMPORTRANGE(""https://docs.google.com/spreadsheets/d/10KlTSftfC81rs2H7Cf6EIR7VWS3omC-2kwzaThHv16k/edit#gid=0"",""NSE Input VaR+ELM!D:J""),7,0),100)"),17.76)</f>
        <v>17.76</v>
      </c>
      <c r="E161" s="7">
        <f t="shared" si="1"/>
        <v>82.24</v>
      </c>
      <c r="F161" s="9" t="s">
        <v>10</v>
      </c>
      <c r="G161" s="7"/>
    </row>
    <row r="162">
      <c r="A162" s="7">
        <v>156.0</v>
      </c>
      <c r="B162" s="8" t="s">
        <v>320</v>
      </c>
      <c r="C162" s="8" t="s">
        <v>321</v>
      </c>
      <c r="D162" s="8">
        <f>IFERROR(__xludf.DUMMYFUNCTION("IFERROR(VLOOKUP(C162,IMPORTRANGE(""https://docs.google.com/spreadsheets/d/10KlTSftfC81rs2H7Cf6EIR7VWS3omC-2kwzaThHv16k/edit#gid=0"",""NSE Input VaR+ELM!D:J""),7,0),100)"),12.5)</f>
        <v>12.5</v>
      </c>
      <c r="E162" s="7">
        <f t="shared" si="1"/>
        <v>87.5</v>
      </c>
      <c r="F162" s="9" t="s">
        <v>10</v>
      </c>
      <c r="G162" s="7"/>
    </row>
    <row r="163">
      <c r="A163" s="7">
        <v>157.0</v>
      </c>
      <c r="B163" s="8" t="s">
        <v>322</v>
      </c>
      <c r="C163" s="8" t="s">
        <v>323</v>
      </c>
      <c r="D163" s="8">
        <f>IFERROR(__xludf.DUMMYFUNCTION("IFERROR(VLOOKUP(C163,IMPORTRANGE(""https://docs.google.com/spreadsheets/d/10KlTSftfC81rs2H7Cf6EIR7VWS3omC-2kwzaThHv16k/edit#gid=0"",""NSE Input VaR+ELM!D:J""),7,0),100)"),27.58)</f>
        <v>27.58</v>
      </c>
      <c r="E163" s="7">
        <f t="shared" si="1"/>
        <v>72.42</v>
      </c>
      <c r="F163" s="9" t="s">
        <v>10</v>
      </c>
      <c r="G163" s="7"/>
    </row>
    <row r="164">
      <c r="A164" s="7">
        <v>158.0</v>
      </c>
      <c r="B164" s="8" t="s">
        <v>324</v>
      </c>
      <c r="C164" s="8" t="s">
        <v>325</v>
      </c>
      <c r="D164" s="8">
        <f>IFERROR(__xludf.DUMMYFUNCTION("IFERROR(VLOOKUP(C164,IMPORTRANGE(""https://docs.google.com/spreadsheets/d/10KlTSftfC81rs2H7Cf6EIR7VWS3omC-2kwzaThHv16k/edit#gid=0"",""NSE Input VaR+ELM!D:J""),7,0),100)"),20.39)</f>
        <v>20.39</v>
      </c>
      <c r="E164" s="7">
        <f t="shared" si="1"/>
        <v>79.61</v>
      </c>
      <c r="F164" s="9" t="s">
        <v>10</v>
      </c>
      <c r="G164" s="7"/>
    </row>
    <row r="165">
      <c r="A165" s="7">
        <v>159.0</v>
      </c>
      <c r="B165" s="8" t="s">
        <v>326</v>
      </c>
      <c r="C165" s="8" t="s">
        <v>327</v>
      </c>
      <c r="D165" s="8">
        <f>IFERROR(__xludf.DUMMYFUNCTION("IFERROR(VLOOKUP(C165,IMPORTRANGE(""https://docs.google.com/spreadsheets/d/10KlTSftfC81rs2H7Cf6EIR7VWS3omC-2kwzaThHv16k/edit#gid=0"",""NSE Input VaR+ELM!D:J""),7,0),100)"),22.64)</f>
        <v>22.64</v>
      </c>
      <c r="E165" s="7">
        <f t="shared" si="1"/>
        <v>77.36</v>
      </c>
      <c r="F165" s="9" t="s">
        <v>10</v>
      </c>
      <c r="G165" s="7"/>
    </row>
    <row r="166">
      <c r="A166" s="7">
        <v>160.0</v>
      </c>
      <c r="B166" s="8" t="s">
        <v>328</v>
      </c>
      <c r="C166" s="8" t="s">
        <v>329</v>
      </c>
      <c r="D166" s="8">
        <f>IFERROR(__xludf.DUMMYFUNCTION("IFERROR(VLOOKUP(C166,IMPORTRANGE(""https://docs.google.com/spreadsheets/d/10KlTSftfC81rs2H7Cf6EIR7VWS3omC-2kwzaThHv16k/edit#gid=0"",""NSE Input VaR+ELM!D:J""),7,0),100)"),17.55)</f>
        <v>17.55</v>
      </c>
      <c r="E166" s="7">
        <f t="shared" si="1"/>
        <v>82.45</v>
      </c>
      <c r="F166" s="9" t="s">
        <v>10</v>
      </c>
      <c r="G166" s="7"/>
    </row>
    <row r="167">
      <c r="A167" s="7">
        <v>161.0</v>
      </c>
      <c r="B167" s="8" t="s">
        <v>330</v>
      </c>
      <c r="C167" s="8" t="s">
        <v>331</v>
      </c>
      <c r="D167" s="8">
        <f>IFERROR(__xludf.DUMMYFUNCTION("IFERROR(VLOOKUP(C167,IMPORTRANGE(""https://docs.google.com/spreadsheets/d/10KlTSftfC81rs2H7Cf6EIR7VWS3omC-2kwzaThHv16k/edit#gid=0"",""NSE Input VaR+ELM!D:J""),7,0),100)"),21.95)</f>
        <v>21.95</v>
      </c>
      <c r="E167" s="7">
        <f t="shared" si="1"/>
        <v>78.05</v>
      </c>
      <c r="F167" s="9" t="s">
        <v>10</v>
      </c>
      <c r="G167" s="7"/>
    </row>
    <row r="168">
      <c r="A168" s="7">
        <v>162.0</v>
      </c>
      <c r="B168" s="8" t="s">
        <v>332</v>
      </c>
      <c r="C168" s="8" t="s">
        <v>333</v>
      </c>
      <c r="D168" s="8">
        <f>IFERROR(__xludf.DUMMYFUNCTION("IFERROR(VLOOKUP(C168,IMPORTRANGE(""https://docs.google.com/spreadsheets/d/10KlTSftfC81rs2H7Cf6EIR7VWS3omC-2kwzaThHv16k/edit#gid=0"",""NSE Input VaR+ELM!D:J""),7,0),100)"),21.35)</f>
        <v>21.35</v>
      </c>
      <c r="E168" s="7">
        <f t="shared" si="1"/>
        <v>78.65</v>
      </c>
      <c r="F168" s="9" t="s">
        <v>10</v>
      </c>
      <c r="G168" s="7"/>
    </row>
    <row r="169">
      <c r="A169" s="7">
        <v>163.0</v>
      </c>
      <c r="B169" s="8" t="s">
        <v>334</v>
      </c>
      <c r="C169" s="8" t="s">
        <v>335</v>
      </c>
      <c r="D169" s="8">
        <f>IFERROR(__xludf.DUMMYFUNCTION("IFERROR(VLOOKUP(C169,IMPORTRANGE(""https://docs.google.com/spreadsheets/d/10KlTSftfC81rs2H7Cf6EIR7VWS3omC-2kwzaThHv16k/edit#gid=0"",""NSE Input VaR+ELM!D:J""),7,0),100)"),21.87)</f>
        <v>21.87</v>
      </c>
      <c r="E169" s="7">
        <f t="shared" si="1"/>
        <v>78.13</v>
      </c>
      <c r="F169" s="9" t="s">
        <v>10</v>
      </c>
      <c r="G169" s="7"/>
    </row>
    <row r="170">
      <c r="A170" s="7">
        <v>164.0</v>
      </c>
      <c r="B170" s="8" t="s">
        <v>336</v>
      </c>
      <c r="C170" s="8" t="s">
        <v>337</v>
      </c>
      <c r="D170" s="8">
        <f>IFERROR(__xludf.DUMMYFUNCTION("IFERROR(VLOOKUP(C170,IMPORTRANGE(""https://docs.google.com/spreadsheets/d/10KlTSftfC81rs2H7Cf6EIR7VWS3omC-2kwzaThHv16k/edit#gid=0"",""NSE Input VaR+ELM!D:J""),7,0),100)"),17.66)</f>
        <v>17.66</v>
      </c>
      <c r="E170" s="7">
        <f t="shared" si="1"/>
        <v>82.34</v>
      </c>
      <c r="F170" s="9" t="s">
        <v>10</v>
      </c>
      <c r="G170" s="7"/>
    </row>
    <row r="171">
      <c r="A171" s="7">
        <v>165.0</v>
      </c>
      <c r="B171" s="8" t="s">
        <v>338</v>
      </c>
      <c r="C171" s="8" t="s">
        <v>339</v>
      </c>
      <c r="D171" s="8">
        <f>IFERROR(__xludf.DUMMYFUNCTION("IFERROR(VLOOKUP(C171,IMPORTRANGE(""https://docs.google.com/spreadsheets/d/10KlTSftfC81rs2H7Cf6EIR7VWS3omC-2kwzaThHv16k/edit#gid=0"",""NSE Input VaR+ELM!D:J""),7,0),100)"),23.73)</f>
        <v>23.73</v>
      </c>
      <c r="E171" s="7">
        <f t="shared" si="1"/>
        <v>76.27</v>
      </c>
      <c r="F171" s="9" t="s">
        <v>217</v>
      </c>
      <c r="G171" s="7"/>
    </row>
    <row r="172">
      <c r="A172" s="7">
        <v>166.0</v>
      </c>
      <c r="B172" s="8" t="s">
        <v>340</v>
      </c>
      <c r="C172" s="8" t="s">
        <v>341</v>
      </c>
      <c r="D172" s="8">
        <f>IFERROR(__xludf.DUMMYFUNCTION("IFERROR(VLOOKUP(C172,IMPORTRANGE(""https://docs.google.com/spreadsheets/d/10KlTSftfC81rs2H7Cf6EIR7VWS3omC-2kwzaThHv16k/edit#gid=0"",""NSE Input VaR+ELM!D:J""),7,0),100)"),24.61)</f>
        <v>24.61</v>
      </c>
      <c r="E172" s="7">
        <f t="shared" si="1"/>
        <v>75.39</v>
      </c>
      <c r="F172" s="9" t="s">
        <v>10</v>
      </c>
      <c r="G172" s="7"/>
    </row>
    <row r="173">
      <c r="A173" s="7">
        <v>167.0</v>
      </c>
      <c r="B173" s="8" t="s">
        <v>342</v>
      </c>
      <c r="C173" s="8" t="s">
        <v>343</v>
      </c>
      <c r="D173" s="8">
        <f>IFERROR(__xludf.DUMMYFUNCTION("IFERROR(VLOOKUP(C173,IMPORTRANGE(""https://docs.google.com/spreadsheets/d/10KlTSftfC81rs2H7Cf6EIR7VWS3omC-2kwzaThHv16k/edit#gid=0"",""NSE Input VaR+ELM!D:J""),7,0),100)"),24.24)</f>
        <v>24.24</v>
      </c>
      <c r="E173" s="7">
        <f t="shared" si="1"/>
        <v>75.76</v>
      </c>
      <c r="F173" s="9" t="s">
        <v>10</v>
      </c>
      <c r="G173" s="7"/>
    </row>
    <row r="174">
      <c r="A174" s="7">
        <v>168.0</v>
      </c>
      <c r="B174" s="8" t="s">
        <v>344</v>
      </c>
      <c r="C174" s="8" t="s">
        <v>345</v>
      </c>
      <c r="D174" s="8">
        <f>IFERROR(__xludf.DUMMYFUNCTION("IFERROR(VLOOKUP(C174,IMPORTRANGE(""https://docs.google.com/spreadsheets/d/10KlTSftfC81rs2H7Cf6EIR7VWS3omC-2kwzaThHv16k/edit#gid=0"",""NSE Input VaR+ELM!D:J""),7,0),100)"),21.79)</f>
        <v>21.79</v>
      </c>
      <c r="E174" s="7">
        <f t="shared" si="1"/>
        <v>78.21</v>
      </c>
      <c r="F174" s="9" t="s">
        <v>10</v>
      </c>
      <c r="G174" s="7"/>
    </row>
    <row r="175">
      <c r="A175" s="7">
        <v>169.0</v>
      </c>
      <c r="B175" s="8" t="s">
        <v>346</v>
      </c>
      <c r="C175" s="8" t="s">
        <v>347</v>
      </c>
      <c r="D175" s="8">
        <f>IFERROR(__xludf.DUMMYFUNCTION("IFERROR(VLOOKUP(C175,IMPORTRANGE(""https://docs.google.com/spreadsheets/d/10KlTSftfC81rs2H7Cf6EIR7VWS3omC-2kwzaThHv16k/edit#gid=0"",""NSE Input VaR+ELM!D:J""),7,0),100)"),14.69)</f>
        <v>14.69</v>
      </c>
      <c r="E175" s="7">
        <f t="shared" si="1"/>
        <v>85.31</v>
      </c>
      <c r="F175" s="9" t="s">
        <v>10</v>
      </c>
      <c r="G175" s="7"/>
    </row>
    <row r="176">
      <c r="A176" s="7">
        <v>170.0</v>
      </c>
      <c r="B176" s="8" t="s">
        <v>348</v>
      </c>
      <c r="C176" s="8" t="s">
        <v>349</v>
      </c>
      <c r="D176" s="8">
        <f>IFERROR(__xludf.DUMMYFUNCTION("IFERROR(VLOOKUP(C176,IMPORTRANGE(""https://docs.google.com/spreadsheets/d/10KlTSftfC81rs2H7Cf6EIR7VWS3omC-2kwzaThHv16k/edit#gid=0"",""NSE Input VaR+ELM!D:J""),7,0),100)"),24.35)</f>
        <v>24.35</v>
      </c>
      <c r="E176" s="7">
        <f t="shared" si="1"/>
        <v>75.65</v>
      </c>
      <c r="F176" s="9" t="s">
        <v>217</v>
      </c>
      <c r="G176" s="7"/>
    </row>
    <row r="177">
      <c r="A177" s="7">
        <v>171.0</v>
      </c>
      <c r="B177" s="8" t="s">
        <v>350</v>
      </c>
      <c r="C177" s="8" t="s">
        <v>351</v>
      </c>
      <c r="D177" s="8">
        <f>IFERROR(__xludf.DUMMYFUNCTION("IFERROR(VLOOKUP(C177,IMPORTRANGE(""https://docs.google.com/spreadsheets/d/10KlTSftfC81rs2H7Cf6EIR7VWS3omC-2kwzaThHv16k/edit#gid=0"",""NSE Input VaR+ELM!D:J""),7,0),100)"),22.21)</f>
        <v>22.21</v>
      </c>
      <c r="E177" s="7">
        <f t="shared" si="1"/>
        <v>77.79</v>
      </c>
      <c r="F177" s="9" t="s">
        <v>10</v>
      </c>
      <c r="G177" s="7"/>
    </row>
    <row r="178">
      <c r="A178" s="7">
        <v>172.0</v>
      </c>
      <c r="B178" s="8" t="s">
        <v>352</v>
      </c>
      <c r="C178" s="8" t="s">
        <v>353</v>
      </c>
      <c r="D178" s="8">
        <f>IFERROR(__xludf.DUMMYFUNCTION("IFERROR(VLOOKUP(C178,IMPORTRANGE(""https://docs.google.com/spreadsheets/d/10KlTSftfC81rs2H7Cf6EIR7VWS3omC-2kwzaThHv16k/edit#gid=0"",""NSE Input VaR+ELM!D:J""),7,0),100)"),18.77)</f>
        <v>18.77</v>
      </c>
      <c r="E178" s="7">
        <f t="shared" si="1"/>
        <v>81.23</v>
      </c>
      <c r="F178" s="9" t="s">
        <v>10</v>
      </c>
      <c r="G178" s="7"/>
    </row>
    <row r="179">
      <c r="A179" s="7">
        <v>173.0</v>
      </c>
      <c r="B179" s="8" t="s">
        <v>354</v>
      </c>
      <c r="C179" s="8" t="s">
        <v>355</v>
      </c>
      <c r="D179" s="8">
        <f>IFERROR(__xludf.DUMMYFUNCTION("IFERROR(VLOOKUP(C179,IMPORTRANGE(""https://docs.google.com/spreadsheets/d/10KlTSftfC81rs2H7Cf6EIR7VWS3omC-2kwzaThHv16k/edit#gid=0"",""NSE Input VaR+ELM!D:J""),7,0),100)"),25.74)</f>
        <v>25.74</v>
      </c>
      <c r="E179" s="7">
        <f t="shared" si="1"/>
        <v>74.26</v>
      </c>
      <c r="F179" s="9" t="s">
        <v>10</v>
      </c>
      <c r="G179" s="7"/>
    </row>
    <row r="180">
      <c r="A180" s="7">
        <v>174.0</v>
      </c>
      <c r="B180" s="8" t="s">
        <v>356</v>
      </c>
      <c r="C180" s="8" t="s">
        <v>357</v>
      </c>
      <c r="D180" s="8">
        <f>IFERROR(__xludf.DUMMYFUNCTION("IFERROR(VLOOKUP(C180,IMPORTRANGE(""https://docs.google.com/spreadsheets/d/10KlTSftfC81rs2H7Cf6EIR7VWS3omC-2kwzaThHv16k/edit#gid=0"",""NSE Input VaR+ELM!D:J""),7,0),100)"),25.77)</f>
        <v>25.77</v>
      </c>
      <c r="E180" s="7">
        <f t="shared" si="1"/>
        <v>74.23</v>
      </c>
      <c r="F180" s="9" t="s">
        <v>10</v>
      </c>
      <c r="G180" s="7"/>
    </row>
    <row r="181">
      <c r="A181" s="7">
        <v>175.0</v>
      </c>
      <c r="B181" s="8" t="s">
        <v>358</v>
      </c>
      <c r="C181" s="8" t="s">
        <v>359</v>
      </c>
      <c r="D181" s="8">
        <f>IFERROR(__xludf.DUMMYFUNCTION("IFERROR(VLOOKUP(C181,IMPORTRANGE(""https://docs.google.com/spreadsheets/d/10KlTSftfC81rs2H7Cf6EIR7VWS3omC-2kwzaThHv16k/edit#gid=0"",""NSE Input VaR+ELM!D:J""),7,0),100)"),20.06)</f>
        <v>20.06</v>
      </c>
      <c r="E181" s="7">
        <f t="shared" si="1"/>
        <v>79.94</v>
      </c>
      <c r="F181" s="9" t="s">
        <v>10</v>
      </c>
      <c r="G181" s="7"/>
    </row>
    <row r="182">
      <c r="A182" s="7">
        <v>176.0</v>
      </c>
      <c r="B182" s="8" t="s">
        <v>360</v>
      </c>
      <c r="C182" s="8" t="s">
        <v>361</v>
      </c>
      <c r="D182" s="8">
        <f>IFERROR(__xludf.DUMMYFUNCTION("IFERROR(VLOOKUP(C182,IMPORTRANGE(""https://docs.google.com/spreadsheets/d/10KlTSftfC81rs2H7Cf6EIR7VWS3omC-2kwzaThHv16k/edit#gid=0"",""NSE Input VaR+ELM!D:J""),7,0),100)"),23.41)</f>
        <v>23.41</v>
      </c>
      <c r="E182" s="7">
        <f t="shared" si="1"/>
        <v>76.59</v>
      </c>
      <c r="F182" s="9" t="s">
        <v>217</v>
      </c>
      <c r="G182" s="7"/>
    </row>
    <row r="183">
      <c r="A183" s="7">
        <v>177.0</v>
      </c>
      <c r="B183" s="8" t="s">
        <v>362</v>
      </c>
      <c r="C183" s="8" t="s">
        <v>363</v>
      </c>
      <c r="D183" s="8">
        <f>IFERROR(__xludf.DUMMYFUNCTION("IFERROR(VLOOKUP(C183,IMPORTRANGE(""https://docs.google.com/spreadsheets/d/10KlTSftfC81rs2H7Cf6EIR7VWS3omC-2kwzaThHv16k/edit#gid=0"",""NSE Input VaR+ELM!D:J""),7,0),100)"),28.34)</f>
        <v>28.34</v>
      </c>
      <c r="E183" s="7">
        <f t="shared" si="1"/>
        <v>71.66</v>
      </c>
      <c r="F183" s="9" t="s">
        <v>10</v>
      </c>
      <c r="G183" s="7"/>
    </row>
    <row r="184">
      <c r="A184" s="7">
        <v>178.0</v>
      </c>
      <c r="B184" s="8" t="s">
        <v>364</v>
      </c>
      <c r="C184" s="8" t="s">
        <v>365</v>
      </c>
      <c r="D184" s="8">
        <f>IFERROR(__xludf.DUMMYFUNCTION("IFERROR(VLOOKUP(C184,IMPORTRANGE(""https://docs.google.com/spreadsheets/d/10KlTSftfC81rs2H7Cf6EIR7VWS3omC-2kwzaThHv16k/edit#gid=0"",""NSE Input VaR+ELM!D:J""),7,0),100)"),26.77)</f>
        <v>26.77</v>
      </c>
      <c r="E184" s="7">
        <f t="shared" si="1"/>
        <v>73.23</v>
      </c>
      <c r="F184" s="9" t="s">
        <v>217</v>
      </c>
      <c r="G184" s="7"/>
    </row>
    <row r="185">
      <c r="A185" s="7">
        <v>179.0</v>
      </c>
      <c r="B185" s="8" t="s">
        <v>366</v>
      </c>
      <c r="C185" s="8" t="s">
        <v>367</v>
      </c>
      <c r="D185" s="8">
        <f>IFERROR(__xludf.DUMMYFUNCTION("IFERROR(VLOOKUP(C185,IMPORTRANGE(""https://docs.google.com/spreadsheets/d/10KlTSftfC81rs2H7Cf6EIR7VWS3omC-2kwzaThHv16k/edit#gid=0"",""NSE Input VaR+ELM!D:J""),7,0),100)"),25.6)</f>
        <v>25.6</v>
      </c>
      <c r="E185" s="7">
        <f t="shared" si="1"/>
        <v>74.4</v>
      </c>
      <c r="F185" s="9" t="s">
        <v>10</v>
      </c>
      <c r="G185" s="7"/>
    </row>
    <row r="186">
      <c r="A186" s="7">
        <v>180.0</v>
      </c>
      <c r="B186" s="8" t="s">
        <v>368</v>
      </c>
      <c r="C186" s="8" t="s">
        <v>369</v>
      </c>
      <c r="D186" s="8">
        <f>IFERROR(__xludf.DUMMYFUNCTION("IFERROR(VLOOKUP(C186,IMPORTRANGE(""https://docs.google.com/spreadsheets/d/10KlTSftfC81rs2H7Cf6EIR7VWS3omC-2kwzaThHv16k/edit#gid=0"",""NSE Input VaR+ELM!D:J""),7,0),100)"),24.73)</f>
        <v>24.73</v>
      </c>
      <c r="E186" s="7">
        <f t="shared" si="1"/>
        <v>75.27</v>
      </c>
      <c r="F186" s="9" t="s">
        <v>217</v>
      </c>
      <c r="G186" s="7"/>
    </row>
    <row r="187">
      <c r="A187" s="7">
        <v>181.0</v>
      </c>
      <c r="B187" s="8" t="s">
        <v>370</v>
      </c>
      <c r="C187" s="8" t="s">
        <v>371</v>
      </c>
      <c r="D187" s="8">
        <f>IFERROR(__xludf.DUMMYFUNCTION("IFERROR(VLOOKUP(C187,IMPORTRANGE(""https://docs.google.com/spreadsheets/d/10KlTSftfC81rs2H7Cf6EIR7VWS3omC-2kwzaThHv16k/edit#gid=0"",""NSE Input VaR+ELM!D:J""),7,0),100)"),24.77)</f>
        <v>24.77</v>
      </c>
      <c r="E187" s="7">
        <f t="shared" si="1"/>
        <v>75.23</v>
      </c>
      <c r="F187" s="9" t="s">
        <v>10</v>
      </c>
      <c r="G187" s="7"/>
    </row>
    <row r="188">
      <c r="A188" s="7">
        <v>182.0</v>
      </c>
      <c r="B188" s="8" t="s">
        <v>372</v>
      </c>
      <c r="C188" s="8" t="s">
        <v>373</v>
      </c>
      <c r="D188" s="8">
        <f>IFERROR(__xludf.DUMMYFUNCTION("IFERROR(VLOOKUP(C188,IMPORTRANGE(""https://docs.google.com/spreadsheets/d/10KlTSftfC81rs2H7Cf6EIR7VWS3omC-2kwzaThHv16k/edit#gid=0"",""NSE Input VaR+ELM!D:J""),7,0),100)"),22.7)</f>
        <v>22.7</v>
      </c>
      <c r="E188" s="7">
        <f t="shared" si="1"/>
        <v>77.3</v>
      </c>
      <c r="F188" s="9" t="s">
        <v>10</v>
      </c>
      <c r="G188" s="7"/>
    </row>
    <row r="189">
      <c r="A189" s="7">
        <v>183.0</v>
      </c>
      <c r="B189" s="8" t="s">
        <v>374</v>
      </c>
      <c r="C189" s="8" t="s">
        <v>375</v>
      </c>
      <c r="D189" s="8">
        <f>IFERROR(__xludf.DUMMYFUNCTION("IFERROR(VLOOKUP(C189,IMPORTRANGE(""https://docs.google.com/spreadsheets/d/10KlTSftfC81rs2H7Cf6EIR7VWS3omC-2kwzaThHv16k/edit#gid=0"",""NSE Input VaR+ELM!D:J""),7,0),100)"),23.84)</f>
        <v>23.84</v>
      </c>
      <c r="E189" s="7">
        <f t="shared" si="1"/>
        <v>76.16</v>
      </c>
      <c r="F189" s="9" t="s">
        <v>217</v>
      </c>
      <c r="G189" s="7"/>
    </row>
    <row r="190">
      <c r="A190" s="7">
        <v>184.0</v>
      </c>
      <c r="B190" s="8" t="s">
        <v>376</v>
      </c>
      <c r="C190" s="8" t="s">
        <v>377</v>
      </c>
      <c r="D190" s="8">
        <f>IFERROR(__xludf.DUMMYFUNCTION("IFERROR(VLOOKUP(C190,IMPORTRANGE(""https://docs.google.com/spreadsheets/d/10KlTSftfC81rs2H7Cf6EIR7VWS3omC-2kwzaThHv16k/edit#gid=0"",""NSE Input VaR+ELM!D:J""),7,0),100)"),23.77)</f>
        <v>23.77</v>
      </c>
      <c r="E190" s="7">
        <f t="shared" si="1"/>
        <v>76.23</v>
      </c>
      <c r="F190" s="9" t="s">
        <v>10</v>
      </c>
      <c r="G190" s="7"/>
    </row>
    <row r="191">
      <c r="A191" s="7">
        <v>185.0</v>
      </c>
      <c r="B191" s="8" t="s">
        <v>378</v>
      </c>
      <c r="C191" s="8" t="s">
        <v>379</v>
      </c>
      <c r="D191" s="8">
        <f>IFERROR(__xludf.DUMMYFUNCTION("IFERROR(VLOOKUP(C191,IMPORTRANGE(""https://docs.google.com/spreadsheets/d/10KlTSftfC81rs2H7Cf6EIR7VWS3omC-2kwzaThHv16k/edit#gid=0"",""NSE Input VaR+ELM!D:J""),7,0),100)"),23.07)</f>
        <v>23.07</v>
      </c>
      <c r="E191" s="7">
        <f t="shared" si="1"/>
        <v>76.93</v>
      </c>
      <c r="F191" s="9" t="s">
        <v>10</v>
      </c>
      <c r="G191" s="7"/>
    </row>
    <row r="192">
      <c r="A192" s="7">
        <v>186.0</v>
      </c>
      <c r="B192" s="8" t="s">
        <v>380</v>
      </c>
      <c r="C192" s="8" t="s">
        <v>381</v>
      </c>
      <c r="D192" s="8">
        <f>IFERROR(__xludf.DUMMYFUNCTION("IFERROR(VLOOKUP(C192,IMPORTRANGE(""https://docs.google.com/spreadsheets/d/10KlTSftfC81rs2H7Cf6EIR7VWS3omC-2kwzaThHv16k/edit#gid=0"",""NSE Input VaR+ELM!D:J""),7,0),100)"),17.9)</f>
        <v>17.9</v>
      </c>
      <c r="E192" s="7">
        <f t="shared" si="1"/>
        <v>82.1</v>
      </c>
      <c r="F192" s="9" t="s">
        <v>217</v>
      </c>
      <c r="G192" s="7"/>
    </row>
    <row r="193">
      <c r="A193" s="7">
        <v>187.0</v>
      </c>
      <c r="B193" s="8" t="s">
        <v>382</v>
      </c>
      <c r="C193" s="8" t="s">
        <v>383</v>
      </c>
      <c r="D193" s="8">
        <f>IFERROR(__xludf.DUMMYFUNCTION("IFERROR(VLOOKUP(C193,IMPORTRANGE(""https://docs.google.com/spreadsheets/d/10KlTSftfC81rs2H7Cf6EIR7VWS3omC-2kwzaThHv16k/edit#gid=0"",""NSE Input VaR+ELM!D:J""),7,0),100)"),27.65)</f>
        <v>27.65</v>
      </c>
      <c r="E193" s="7">
        <f t="shared" si="1"/>
        <v>72.35</v>
      </c>
      <c r="F193" s="9" t="s">
        <v>10</v>
      </c>
      <c r="G193" s="7"/>
    </row>
    <row r="194">
      <c r="A194" s="7">
        <v>188.0</v>
      </c>
      <c r="B194" s="8" t="s">
        <v>384</v>
      </c>
      <c r="C194" s="8" t="s">
        <v>385</v>
      </c>
      <c r="D194" s="8">
        <f>IFERROR(__xludf.DUMMYFUNCTION("IFERROR(VLOOKUP(C194,IMPORTRANGE(""https://docs.google.com/spreadsheets/d/10KlTSftfC81rs2H7Cf6EIR7VWS3omC-2kwzaThHv16k/edit#gid=0"",""NSE Input VaR+ELM!D:J""),7,0),100)"),21.45)</f>
        <v>21.45</v>
      </c>
      <c r="E194" s="7">
        <f t="shared" si="1"/>
        <v>78.55</v>
      </c>
      <c r="F194" s="9" t="s">
        <v>217</v>
      </c>
      <c r="G194" s="7"/>
    </row>
    <row r="195">
      <c r="A195" s="7">
        <v>189.0</v>
      </c>
      <c r="B195" s="8" t="s">
        <v>386</v>
      </c>
      <c r="C195" s="8" t="s">
        <v>387</v>
      </c>
      <c r="D195" s="8">
        <f>IFERROR(__xludf.DUMMYFUNCTION("IFERROR(VLOOKUP(C195,IMPORTRANGE(""https://docs.google.com/spreadsheets/d/10KlTSftfC81rs2H7Cf6EIR7VWS3omC-2kwzaThHv16k/edit#gid=0"",""NSE Input VaR+ELM!D:J""),7,0),100)"),20.52)</f>
        <v>20.52</v>
      </c>
      <c r="E195" s="7">
        <f t="shared" si="1"/>
        <v>79.48</v>
      </c>
      <c r="F195" s="9" t="s">
        <v>10</v>
      </c>
      <c r="G195" s="7"/>
    </row>
    <row r="196">
      <c r="A196" s="7">
        <v>190.0</v>
      </c>
      <c r="B196" s="8" t="s">
        <v>388</v>
      </c>
      <c r="C196" s="8" t="s">
        <v>389</v>
      </c>
      <c r="D196" s="8">
        <f>IFERROR(__xludf.DUMMYFUNCTION("IFERROR(VLOOKUP(C196,IMPORTRANGE(""https://docs.google.com/spreadsheets/d/10KlTSftfC81rs2H7Cf6EIR7VWS3omC-2kwzaThHv16k/edit#gid=0"",""NSE Input VaR+ELM!D:J""),7,0),100)"),19.53)</f>
        <v>19.53</v>
      </c>
      <c r="E196" s="7">
        <f t="shared" si="1"/>
        <v>80.47</v>
      </c>
      <c r="F196" s="9" t="s">
        <v>10</v>
      </c>
      <c r="G196" s="7"/>
    </row>
    <row r="197">
      <c r="A197" s="7">
        <v>191.0</v>
      </c>
      <c r="B197" s="8" t="s">
        <v>390</v>
      </c>
      <c r="C197" s="8" t="s">
        <v>391</v>
      </c>
      <c r="D197" s="8">
        <f>IFERROR(__xludf.DUMMYFUNCTION("IFERROR(VLOOKUP(C197,IMPORTRANGE(""https://docs.google.com/spreadsheets/d/10KlTSftfC81rs2H7Cf6EIR7VWS3omC-2kwzaThHv16k/edit#gid=0"",""NSE Input VaR+ELM!D:J""),7,0),100)"),19.29)</f>
        <v>19.29</v>
      </c>
      <c r="E197" s="7">
        <f t="shared" si="1"/>
        <v>80.71</v>
      </c>
      <c r="F197" s="9" t="s">
        <v>10</v>
      </c>
      <c r="G197" s="7"/>
    </row>
    <row r="198">
      <c r="A198" s="7">
        <v>192.0</v>
      </c>
      <c r="B198" s="8" t="s">
        <v>392</v>
      </c>
      <c r="C198" s="8" t="s">
        <v>393</v>
      </c>
      <c r="D198" s="8">
        <f>IFERROR(__xludf.DUMMYFUNCTION("IFERROR(VLOOKUP(C198,IMPORTRANGE(""https://docs.google.com/spreadsheets/d/10KlTSftfC81rs2H7Cf6EIR7VWS3omC-2kwzaThHv16k/edit#gid=0"",""NSE Input VaR+ELM!D:J""),7,0),100)"),21.5)</f>
        <v>21.5</v>
      </c>
      <c r="E198" s="7">
        <f t="shared" si="1"/>
        <v>78.5</v>
      </c>
      <c r="F198" s="9" t="s">
        <v>10</v>
      </c>
      <c r="G198" s="7"/>
    </row>
    <row r="199">
      <c r="A199" s="7">
        <v>193.0</v>
      </c>
      <c r="B199" s="8" t="s">
        <v>394</v>
      </c>
      <c r="C199" s="8" t="s">
        <v>395</v>
      </c>
      <c r="D199" s="8">
        <f>IFERROR(__xludf.DUMMYFUNCTION("IFERROR(VLOOKUP(C199,IMPORTRANGE(""https://docs.google.com/spreadsheets/d/10KlTSftfC81rs2H7Cf6EIR7VWS3omC-2kwzaThHv16k/edit#gid=0"",""NSE Input VaR+ELM!D:J""),7,0),100)"),20.97)</f>
        <v>20.97</v>
      </c>
      <c r="E199" s="7">
        <f t="shared" si="1"/>
        <v>79.03</v>
      </c>
      <c r="F199" s="9" t="s">
        <v>10</v>
      </c>
      <c r="G199" s="7"/>
    </row>
    <row r="200">
      <c r="A200" s="7">
        <v>194.0</v>
      </c>
      <c r="B200" s="8" t="s">
        <v>396</v>
      </c>
      <c r="C200" s="8" t="s">
        <v>397</v>
      </c>
      <c r="D200" s="8">
        <f>IFERROR(__xludf.DUMMYFUNCTION("IFERROR(VLOOKUP(C200,IMPORTRANGE(""https://docs.google.com/spreadsheets/d/10KlTSftfC81rs2H7Cf6EIR7VWS3omC-2kwzaThHv16k/edit#gid=0"",""NSE Input VaR+ELM!D:J""),7,0),100)"),18.52)</f>
        <v>18.52</v>
      </c>
      <c r="E200" s="7">
        <f t="shared" si="1"/>
        <v>81.48</v>
      </c>
      <c r="F200" s="9" t="s">
        <v>10</v>
      </c>
      <c r="G200" s="7"/>
    </row>
    <row r="201">
      <c r="A201" s="7">
        <v>195.0</v>
      </c>
      <c r="B201" s="8" t="s">
        <v>398</v>
      </c>
      <c r="C201" s="8" t="s">
        <v>399</v>
      </c>
      <c r="D201" s="8">
        <f>IFERROR(__xludf.DUMMYFUNCTION("IFERROR(VLOOKUP(C201,IMPORTRANGE(""https://docs.google.com/spreadsheets/d/10KlTSftfC81rs2H7Cf6EIR7VWS3omC-2kwzaThHv16k/edit#gid=0"",""NSE Input VaR+ELM!D:J""),7,0),100)"),25.26)</f>
        <v>25.26</v>
      </c>
      <c r="E201" s="7">
        <f t="shared" si="1"/>
        <v>74.74</v>
      </c>
      <c r="F201" s="9" t="s">
        <v>10</v>
      </c>
      <c r="G201" s="7"/>
    </row>
    <row r="202">
      <c r="A202" s="7">
        <v>196.0</v>
      </c>
      <c r="B202" s="8" t="s">
        <v>400</v>
      </c>
      <c r="C202" s="8" t="s">
        <v>401</v>
      </c>
      <c r="D202" s="8">
        <f>IFERROR(__xludf.DUMMYFUNCTION("IFERROR(VLOOKUP(C202,IMPORTRANGE(""https://docs.google.com/spreadsheets/d/10KlTSftfC81rs2H7Cf6EIR7VWS3omC-2kwzaThHv16k/edit#gid=0"",""NSE Input VaR+ELM!D:J""),7,0),100)"),16.39)</f>
        <v>16.39</v>
      </c>
      <c r="E202" s="7">
        <f t="shared" si="1"/>
        <v>83.61</v>
      </c>
      <c r="F202" s="9" t="s">
        <v>10</v>
      </c>
      <c r="G202" s="7"/>
    </row>
    <row r="203">
      <c r="A203" s="7">
        <v>197.0</v>
      </c>
      <c r="B203" s="8" t="s">
        <v>402</v>
      </c>
      <c r="C203" s="8" t="s">
        <v>403</v>
      </c>
      <c r="D203" s="8">
        <f>IFERROR(__xludf.DUMMYFUNCTION("IFERROR(VLOOKUP(C203,IMPORTRANGE(""https://docs.google.com/spreadsheets/d/10KlTSftfC81rs2H7Cf6EIR7VWS3omC-2kwzaThHv16k/edit#gid=0"",""NSE Input VaR+ELM!D:J""),7,0),100)"),22.85)</f>
        <v>22.85</v>
      </c>
      <c r="E203" s="7">
        <f t="shared" si="1"/>
        <v>77.15</v>
      </c>
      <c r="F203" s="9" t="s">
        <v>217</v>
      </c>
      <c r="G203" s="7"/>
    </row>
    <row r="204">
      <c r="A204" s="7">
        <v>198.0</v>
      </c>
      <c r="B204" s="8" t="s">
        <v>404</v>
      </c>
      <c r="C204" s="8" t="s">
        <v>405</v>
      </c>
      <c r="D204" s="8">
        <f>IFERROR(__xludf.DUMMYFUNCTION("IFERROR(VLOOKUP(C204,IMPORTRANGE(""https://docs.google.com/spreadsheets/d/10KlTSftfC81rs2H7Cf6EIR7VWS3omC-2kwzaThHv16k/edit#gid=0"",""NSE Input VaR+ELM!D:J""),7,0),100)"),15.8)</f>
        <v>15.8</v>
      </c>
      <c r="E204" s="7">
        <f t="shared" si="1"/>
        <v>84.2</v>
      </c>
      <c r="F204" s="9" t="s">
        <v>217</v>
      </c>
      <c r="G204" s="7"/>
    </row>
    <row r="205">
      <c r="A205" s="7">
        <v>199.0</v>
      </c>
      <c r="B205" s="8" t="s">
        <v>406</v>
      </c>
      <c r="C205" s="8" t="s">
        <v>407</v>
      </c>
      <c r="D205" s="8">
        <f>IFERROR(__xludf.DUMMYFUNCTION("IFERROR(VLOOKUP(C205,IMPORTRANGE(""https://docs.google.com/spreadsheets/d/10KlTSftfC81rs2H7Cf6EIR7VWS3omC-2kwzaThHv16k/edit#gid=0"",""NSE Input VaR+ELM!D:J""),7,0),100)"),26.44)</f>
        <v>26.44</v>
      </c>
      <c r="E205" s="7">
        <f t="shared" si="1"/>
        <v>73.56</v>
      </c>
      <c r="F205" s="9" t="s">
        <v>10</v>
      </c>
      <c r="G205" s="7"/>
    </row>
    <row r="206">
      <c r="A206" s="7">
        <v>200.0</v>
      </c>
      <c r="B206" s="8" t="s">
        <v>408</v>
      </c>
      <c r="C206" s="8" t="s">
        <v>409</v>
      </c>
      <c r="D206" s="8">
        <f>IFERROR(__xludf.DUMMYFUNCTION("IFERROR(VLOOKUP(C206,IMPORTRANGE(""https://docs.google.com/spreadsheets/d/10KlTSftfC81rs2H7Cf6EIR7VWS3omC-2kwzaThHv16k/edit#gid=0"",""NSE Input VaR+ELM!D:J""),7,0),100)"),15.67)</f>
        <v>15.67</v>
      </c>
      <c r="E206" s="7">
        <f t="shared" si="1"/>
        <v>84.33</v>
      </c>
      <c r="F206" s="9" t="s">
        <v>10</v>
      </c>
      <c r="G206" s="7"/>
    </row>
    <row r="207">
      <c r="A207" s="7">
        <v>201.0</v>
      </c>
      <c r="B207" s="8" t="s">
        <v>410</v>
      </c>
      <c r="C207" s="8" t="s">
        <v>411</v>
      </c>
      <c r="D207" s="8">
        <f>IFERROR(__xludf.DUMMYFUNCTION("IFERROR(VLOOKUP(C207,IMPORTRANGE(""https://docs.google.com/spreadsheets/d/10KlTSftfC81rs2H7Cf6EIR7VWS3omC-2kwzaThHv16k/edit#gid=0"",""NSE Input VaR+ELM!D:J""),7,0),100)"),20.05)</f>
        <v>20.05</v>
      </c>
      <c r="E207" s="7">
        <f t="shared" si="1"/>
        <v>79.95</v>
      </c>
      <c r="F207" s="9" t="s">
        <v>10</v>
      </c>
      <c r="G207" s="7"/>
    </row>
    <row r="208">
      <c r="A208" s="7">
        <v>202.0</v>
      </c>
      <c r="B208" s="8" t="s">
        <v>412</v>
      </c>
      <c r="C208" s="8" t="s">
        <v>413</v>
      </c>
      <c r="D208" s="8">
        <f>IFERROR(__xludf.DUMMYFUNCTION("IFERROR(VLOOKUP(C208,IMPORTRANGE(""https://docs.google.com/spreadsheets/d/10KlTSftfC81rs2H7Cf6EIR7VWS3omC-2kwzaThHv16k/edit#gid=0"",""NSE Input VaR+ELM!D:J""),7,0),100)"),19.92)</f>
        <v>19.92</v>
      </c>
      <c r="E208" s="7">
        <f t="shared" si="1"/>
        <v>80.08</v>
      </c>
      <c r="F208" s="9" t="s">
        <v>10</v>
      </c>
      <c r="G208" s="7"/>
    </row>
    <row r="209">
      <c r="A209" s="7">
        <v>203.0</v>
      </c>
      <c r="B209" s="8" t="s">
        <v>414</v>
      </c>
      <c r="C209" s="8" t="s">
        <v>415</v>
      </c>
      <c r="D209" s="8">
        <f>IFERROR(__xludf.DUMMYFUNCTION("IFERROR(VLOOKUP(C209,IMPORTRANGE(""https://docs.google.com/spreadsheets/d/10KlTSftfC81rs2H7Cf6EIR7VWS3omC-2kwzaThHv16k/edit#gid=0"",""NSE Input VaR+ELM!D:J""),7,0),100)"),27.39)</f>
        <v>27.39</v>
      </c>
      <c r="E209" s="7">
        <f t="shared" si="1"/>
        <v>72.61</v>
      </c>
      <c r="F209" s="9" t="s">
        <v>10</v>
      </c>
      <c r="G209" s="7"/>
    </row>
    <row r="210">
      <c r="A210" s="7">
        <v>204.0</v>
      </c>
      <c r="B210" s="8" t="s">
        <v>416</v>
      </c>
      <c r="C210" s="8" t="s">
        <v>417</v>
      </c>
      <c r="D210" s="8">
        <f>IFERROR(__xludf.DUMMYFUNCTION("IFERROR(VLOOKUP(C210,IMPORTRANGE(""https://docs.google.com/spreadsheets/d/10KlTSftfC81rs2H7Cf6EIR7VWS3omC-2kwzaThHv16k/edit#gid=0"",""NSE Input VaR+ELM!D:J""),7,0),100)"),17.57)</f>
        <v>17.57</v>
      </c>
      <c r="E210" s="7">
        <f t="shared" si="1"/>
        <v>82.43</v>
      </c>
      <c r="F210" s="9" t="s">
        <v>10</v>
      </c>
      <c r="G210" s="7"/>
    </row>
    <row r="211">
      <c r="A211" s="7">
        <v>205.0</v>
      </c>
      <c r="B211" s="8" t="s">
        <v>418</v>
      </c>
      <c r="C211" s="8" t="s">
        <v>419</v>
      </c>
      <c r="D211" s="8">
        <f>IFERROR(__xludf.DUMMYFUNCTION("IFERROR(VLOOKUP(C211,IMPORTRANGE(""https://docs.google.com/spreadsheets/d/10KlTSftfC81rs2H7Cf6EIR7VWS3omC-2kwzaThHv16k/edit#gid=0"",""NSE Input VaR+ELM!D:J""),7,0),100)"),23.12)</f>
        <v>23.12</v>
      </c>
      <c r="E211" s="7">
        <f t="shared" si="1"/>
        <v>76.88</v>
      </c>
      <c r="F211" s="9" t="s">
        <v>10</v>
      </c>
      <c r="G211" s="7"/>
    </row>
    <row r="212">
      <c r="A212" s="7">
        <v>206.0</v>
      </c>
      <c r="B212" s="8" t="s">
        <v>420</v>
      </c>
      <c r="C212" s="8" t="s">
        <v>421</v>
      </c>
      <c r="D212" s="8">
        <f>IFERROR(__xludf.DUMMYFUNCTION("IFERROR(VLOOKUP(C212,IMPORTRANGE(""https://docs.google.com/spreadsheets/d/10KlTSftfC81rs2H7Cf6EIR7VWS3omC-2kwzaThHv16k/edit#gid=0"",""NSE Input VaR+ELM!D:J""),7,0),100)"),27.63)</f>
        <v>27.63</v>
      </c>
      <c r="E212" s="7">
        <f t="shared" si="1"/>
        <v>72.37</v>
      </c>
      <c r="F212" s="9" t="s">
        <v>10</v>
      </c>
      <c r="G212" s="7"/>
    </row>
    <row r="213">
      <c r="A213" s="7">
        <v>207.0</v>
      </c>
      <c r="B213" s="8" t="s">
        <v>422</v>
      </c>
      <c r="C213" s="8" t="s">
        <v>423</v>
      </c>
      <c r="D213" s="8">
        <f>IFERROR(__xludf.DUMMYFUNCTION("IFERROR(VLOOKUP(C213,IMPORTRANGE(""https://docs.google.com/spreadsheets/d/10KlTSftfC81rs2H7Cf6EIR7VWS3omC-2kwzaThHv16k/edit#gid=0"",""NSE Input VaR+ELM!D:J""),7,0),100)"),18.65)</f>
        <v>18.65</v>
      </c>
      <c r="E213" s="7">
        <f t="shared" si="1"/>
        <v>81.35</v>
      </c>
      <c r="F213" s="9" t="s">
        <v>10</v>
      </c>
      <c r="G213" s="7"/>
    </row>
    <row r="214">
      <c r="A214" s="7">
        <v>208.0</v>
      </c>
      <c r="B214" s="8" t="s">
        <v>424</v>
      </c>
      <c r="C214" s="8" t="s">
        <v>425</v>
      </c>
      <c r="D214" s="8">
        <f>IFERROR(__xludf.DUMMYFUNCTION("IFERROR(VLOOKUP(C214,IMPORTRANGE(""https://docs.google.com/spreadsheets/d/10KlTSftfC81rs2H7Cf6EIR7VWS3omC-2kwzaThHv16k/edit#gid=0"",""NSE Input VaR+ELM!D:J""),7,0),100)"),23.68)</f>
        <v>23.68</v>
      </c>
      <c r="E214" s="7">
        <f t="shared" si="1"/>
        <v>76.32</v>
      </c>
      <c r="F214" s="9" t="s">
        <v>10</v>
      </c>
      <c r="G214" s="7"/>
    </row>
    <row r="215">
      <c r="A215" s="7">
        <v>209.0</v>
      </c>
      <c r="B215" s="8" t="s">
        <v>426</v>
      </c>
      <c r="C215" s="8" t="s">
        <v>427</v>
      </c>
      <c r="D215" s="8">
        <f>IFERROR(__xludf.DUMMYFUNCTION("IFERROR(VLOOKUP(C215,IMPORTRANGE(""https://docs.google.com/spreadsheets/d/10KlTSftfC81rs2H7Cf6EIR7VWS3omC-2kwzaThHv16k/edit#gid=0"",""NSE Input VaR+ELM!D:J""),7,0),100)"),19.89)</f>
        <v>19.89</v>
      </c>
      <c r="E215" s="7">
        <f t="shared" si="1"/>
        <v>80.11</v>
      </c>
      <c r="F215" s="9" t="s">
        <v>10</v>
      </c>
      <c r="G215" s="7"/>
    </row>
    <row r="216">
      <c r="A216" s="7">
        <v>210.0</v>
      </c>
      <c r="B216" s="8" t="s">
        <v>428</v>
      </c>
      <c r="C216" s="8" t="s">
        <v>429</v>
      </c>
      <c r="D216" s="8">
        <f>IFERROR(__xludf.DUMMYFUNCTION("IFERROR(VLOOKUP(C216,IMPORTRANGE(""https://docs.google.com/spreadsheets/d/10KlTSftfC81rs2H7Cf6EIR7VWS3omC-2kwzaThHv16k/edit#gid=0"",""NSE Input VaR+ELM!D:J""),7,0),100)"),26.0)</f>
        <v>26</v>
      </c>
      <c r="E216" s="7">
        <f t="shared" si="1"/>
        <v>74</v>
      </c>
      <c r="F216" s="9" t="s">
        <v>217</v>
      </c>
      <c r="G216" s="7"/>
    </row>
    <row r="217">
      <c r="A217" s="7">
        <v>211.0</v>
      </c>
      <c r="B217" s="8" t="s">
        <v>430</v>
      </c>
      <c r="C217" s="8" t="s">
        <v>431</v>
      </c>
      <c r="D217" s="8">
        <f>IFERROR(__xludf.DUMMYFUNCTION("IFERROR(VLOOKUP(C217,IMPORTRANGE(""https://docs.google.com/spreadsheets/d/10KlTSftfC81rs2H7Cf6EIR7VWS3omC-2kwzaThHv16k/edit#gid=0"",""NSE Input VaR+ELM!D:J""),7,0),100)"),17.42)</f>
        <v>17.42</v>
      </c>
      <c r="E217" s="7">
        <f t="shared" si="1"/>
        <v>82.58</v>
      </c>
      <c r="F217" s="9" t="s">
        <v>10</v>
      </c>
      <c r="G217" s="7"/>
    </row>
    <row r="218">
      <c r="A218" s="7">
        <v>212.0</v>
      </c>
      <c r="B218" s="8" t="s">
        <v>432</v>
      </c>
      <c r="C218" s="8" t="s">
        <v>433</v>
      </c>
      <c r="D218" s="8">
        <f>IFERROR(__xludf.DUMMYFUNCTION("IFERROR(VLOOKUP(C218,IMPORTRANGE(""https://docs.google.com/spreadsheets/d/10KlTSftfC81rs2H7Cf6EIR7VWS3omC-2kwzaThHv16k/edit#gid=0"",""NSE Input VaR+ELM!D:J""),7,0),100)"),19.46)</f>
        <v>19.46</v>
      </c>
      <c r="E218" s="7">
        <f t="shared" si="1"/>
        <v>80.54</v>
      </c>
      <c r="F218" s="9" t="s">
        <v>10</v>
      </c>
      <c r="G218" s="7"/>
    </row>
    <row r="219">
      <c r="A219" s="7">
        <v>213.0</v>
      </c>
      <c r="B219" s="8" t="s">
        <v>434</v>
      </c>
      <c r="C219" s="8" t="s">
        <v>435</v>
      </c>
      <c r="D219" s="8">
        <f>IFERROR(__xludf.DUMMYFUNCTION("IFERROR(VLOOKUP(C219,IMPORTRANGE(""https://docs.google.com/spreadsheets/d/10KlTSftfC81rs2H7Cf6EIR7VWS3omC-2kwzaThHv16k/edit#gid=0"",""NSE Input VaR+ELM!D:J""),7,0),100)"),19.84)</f>
        <v>19.84</v>
      </c>
      <c r="E219" s="7">
        <f t="shared" si="1"/>
        <v>80.16</v>
      </c>
      <c r="F219" s="9" t="s">
        <v>10</v>
      </c>
      <c r="G219" s="7"/>
    </row>
    <row r="220">
      <c r="A220" s="7">
        <v>214.0</v>
      </c>
      <c r="B220" s="8" t="s">
        <v>436</v>
      </c>
      <c r="C220" s="8" t="s">
        <v>437</v>
      </c>
      <c r="D220" s="8">
        <f>IFERROR(__xludf.DUMMYFUNCTION("IFERROR(VLOOKUP(C220,IMPORTRANGE(""https://docs.google.com/spreadsheets/d/10KlTSftfC81rs2H7Cf6EIR7VWS3omC-2kwzaThHv16k/edit#gid=0"",""NSE Input VaR+ELM!D:J""),7,0),100)"),29.48)</f>
        <v>29.48</v>
      </c>
      <c r="E220" s="7">
        <f t="shared" si="1"/>
        <v>70.52</v>
      </c>
      <c r="F220" s="9" t="s">
        <v>10</v>
      </c>
      <c r="G220" s="7"/>
    </row>
    <row r="221">
      <c r="A221" s="7">
        <v>215.0</v>
      </c>
      <c r="B221" s="8" t="s">
        <v>438</v>
      </c>
      <c r="C221" s="8" t="s">
        <v>439</v>
      </c>
      <c r="D221" s="8">
        <f>IFERROR(__xludf.DUMMYFUNCTION("IFERROR(VLOOKUP(C221,IMPORTRANGE(""https://docs.google.com/spreadsheets/d/10KlTSftfC81rs2H7Cf6EIR7VWS3omC-2kwzaThHv16k/edit#gid=0"",""NSE Input VaR+ELM!D:J""),7,0),100)"),24.0)</f>
        <v>24</v>
      </c>
      <c r="E221" s="7">
        <f t="shared" si="1"/>
        <v>76</v>
      </c>
      <c r="F221" s="9" t="s">
        <v>10</v>
      </c>
      <c r="G221" s="7"/>
    </row>
    <row r="222">
      <c r="A222" s="7">
        <v>216.0</v>
      </c>
      <c r="B222" s="8" t="s">
        <v>440</v>
      </c>
      <c r="C222" s="8" t="s">
        <v>441</v>
      </c>
      <c r="D222" s="8">
        <f>IFERROR(__xludf.DUMMYFUNCTION("IFERROR(VLOOKUP(C222,IMPORTRANGE(""https://docs.google.com/spreadsheets/d/10KlTSftfC81rs2H7Cf6EIR7VWS3omC-2kwzaThHv16k/edit#gid=0"",""NSE Input VaR+ELM!D:J""),7,0),100)"),23.86)</f>
        <v>23.86</v>
      </c>
      <c r="E222" s="7">
        <f t="shared" si="1"/>
        <v>76.14</v>
      </c>
      <c r="F222" s="9" t="s">
        <v>10</v>
      </c>
      <c r="G222" s="7"/>
    </row>
    <row r="223">
      <c r="A223" s="7">
        <v>217.0</v>
      </c>
      <c r="B223" s="8" t="s">
        <v>442</v>
      </c>
      <c r="C223" s="8" t="s">
        <v>443</v>
      </c>
      <c r="D223" s="8">
        <f>IFERROR(__xludf.DUMMYFUNCTION("IFERROR(VLOOKUP(C223,IMPORTRANGE(""https://docs.google.com/spreadsheets/d/10KlTSftfC81rs2H7Cf6EIR7VWS3omC-2kwzaThHv16k/edit#gid=0"",""NSE Input VaR+ELM!D:J""),7,0),100)"),50.0)</f>
        <v>50</v>
      </c>
      <c r="E223" s="7">
        <f t="shared" si="1"/>
        <v>50</v>
      </c>
      <c r="F223" s="9" t="s">
        <v>217</v>
      </c>
      <c r="G223" s="7"/>
    </row>
    <row r="224">
      <c r="A224" s="7">
        <v>218.0</v>
      </c>
      <c r="B224" s="8" t="s">
        <v>444</v>
      </c>
      <c r="C224" s="8" t="s">
        <v>445</v>
      </c>
      <c r="D224" s="8">
        <f>IFERROR(__xludf.DUMMYFUNCTION("IFERROR(VLOOKUP(C224,IMPORTRANGE(""https://docs.google.com/spreadsheets/d/10KlTSftfC81rs2H7Cf6EIR7VWS3omC-2kwzaThHv16k/edit#gid=0"",""NSE Input VaR+ELM!D:J""),7,0),100)"),16.94)</f>
        <v>16.94</v>
      </c>
      <c r="E224" s="7">
        <f t="shared" si="1"/>
        <v>83.06</v>
      </c>
      <c r="F224" s="9" t="s">
        <v>10</v>
      </c>
      <c r="G224" s="7"/>
    </row>
    <row r="225">
      <c r="A225" s="7">
        <v>219.0</v>
      </c>
      <c r="B225" s="8" t="s">
        <v>446</v>
      </c>
      <c r="C225" s="8" t="s">
        <v>447</v>
      </c>
      <c r="D225" s="8">
        <f>IFERROR(__xludf.DUMMYFUNCTION("IFERROR(VLOOKUP(C225,IMPORTRANGE(""https://docs.google.com/spreadsheets/d/10KlTSftfC81rs2H7Cf6EIR7VWS3omC-2kwzaThHv16k/edit#gid=0"",""NSE Input VaR+ELM!D:J""),7,0),100)"),14.73)</f>
        <v>14.73</v>
      </c>
      <c r="E225" s="7">
        <f t="shared" si="1"/>
        <v>85.27</v>
      </c>
      <c r="F225" s="9" t="s">
        <v>10</v>
      </c>
      <c r="G225" s="7"/>
    </row>
    <row r="226">
      <c r="A226" s="7">
        <v>220.0</v>
      </c>
      <c r="B226" s="8" t="s">
        <v>448</v>
      </c>
      <c r="C226" s="8" t="s">
        <v>449</v>
      </c>
      <c r="D226" s="8">
        <f>IFERROR(__xludf.DUMMYFUNCTION("IFERROR(VLOOKUP(C226,IMPORTRANGE(""https://docs.google.com/spreadsheets/d/10KlTSftfC81rs2H7Cf6EIR7VWS3omC-2kwzaThHv16k/edit#gid=0"",""NSE Input VaR+ELM!D:J""),7,0),100)"),25.94)</f>
        <v>25.94</v>
      </c>
      <c r="E226" s="7">
        <f t="shared" si="1"/>
        <v>74.06</v>
      </c>
      <c r="F226" s="9" t="s">
        <v>10</v>
      </c>
      <c r="G226" s="7"/>
    </row>
    <row r="227">
      <c r="A227" s="7">
        <v>221.0</v>
      </c>
      <c r="B227" s="8" t="s">
        <v>450</v>
      </c>
      <c r="C227" s="8" t="s">
        <v>451</v>
      </c>
      <c r="D227" s="8">
        <f>IFERROR(__xludf.DUMMYFUNCTION("IFERROR(VLOOKUP(C227,IMPORTRANGE(""https://docs.google.com/spreadsheets/d/10KlTSftfC81rs2H7Cf6EIR7VWS3omC-2kwzaThHv16k/edit#gid=0"",""NSE Input VaR+ELM!D:J""),7,0),100)"),23.53)</f>
        <v>23.53</v>
      </c>
      <c r="E227" s="7">
        <f t="shared" si="1"/>
        <v>76.47</v>
      </c>
      <c r="F227" s="9" t="s">
        <v>10</v>
      </c>
      <c r="G227" s="7"/>
    </row>
    <row r="228">
      <c r="A228" s="7">
        <v>222.0</v>
      </c>
      <c r="B228" s="8" t="s">
        <v>452</v>
      </c>
      <c r="C228" s="8" t="s">
        <v>453</v>
      </c>
      <c r="D228" s="8">
        <f>IFERROR(__xludf.DUMMYFUNCTION("IFERROR(VLOOKUP(C228,IMPORTRANGE(""https://docs.google.com/spreadsheets/d/10KlTSftfC81rs2H7Cf6EIR7VWS3omC-2kwzaThHv16k/edit#gid=0"",""NSE Input VaR+ELM!D:J""),7,0),100)"),19.29)</f>
        <v>19.29</v>
      </c>
      <c r="E228" s="7">
        <f t="shared" si="1"/>
        <v>80.71</v>
      </c>
      <c r="F228" s="9" t="s">
        <v>217</v>
      </c>
      <c r="G228" s="7"/>
    </row>
    <row r="229">
      <c r="A229" s="7">
        <v>223.0</v>
      </c>
      <c r="B229" s="8" t="s">
        <v>454</v>
      </c>
      <c r="C229" s="8" t="s">
        <v>455</v>
      </c>
      <c r="D229" s="8">
        <f>IFERROR(__xludf.DUMMYFUNCTION("IFERROR(VLOOKUP(C229,IMPORTRANGE(""https://docs.google.com/spreadsheets/d/10KlTSftfC81rs2H7Cf6EIR7VWS3omC-2kwzaThHv16k/edit#gid=0"",""NSE Input VaR+ELM!D:J""),7,0),100)"),22.66)</f>
        <v>22.66</v>
      </c>
      <c r="E229" s="7">
        <f t="shared" si="1"/>
        <v>77.34</v>
      </c>
      <c r="F229" s="9" t="s">
        <v>10</v>
      </c>
      <c r="G229" s="7"/>
    </row>
    <row r="230">
      <c r="A230" s="7">
        <v>224.0</v>
      </c>
      <c r="B230" s="8" t="s">
        <v>456</v>
      </c>
      <c r="C230" s="8" t="s">
        <v>457</v>
      </c>
      <c r="D230" s="8">
        <f>IFERROR(__xludf.DUMMYFUNCTION("IFERROR(VLOOKUP(C230,IMPORTRANGE(""https://docs.google.com/spreadsheets/d/10KlTSftfC81rs2H7Cf6EIR7VWS3omC-2kwzaThHv16k/edit#gid=0"",""NSE Input VaR+ELM!D:J""),7,0),100)"),19.9)</f>
        <v>19.9</v>
      </c>
      <c r="E230" s="7">
        <f t="shared" si="1"/>
        <v>80.1</v>
      </c>
      <c r="F230" s="9" t="s">
        <v>10</v>
      </c>
      <c r="G230" s="7"/>
    </row>
    <row r="231">
      <c r="A231" s="7">
        <v>225.0</v>
      </c>
      <c r="B231" s="8" t="s">
        <v>458</v>
      </c>
      <c r="C231" s="8" t="s">
        <v>459</v>
      </c>
      <c r="D231" s="8">
        <f>IFERROR(__xludf.DUMMYFUNCTION("IFERROR(VLOOKUP(C231,IMPORTRANGE(""https://docs.google.com/spreadsheets/d/10KlTSftfC81rs2H7Cf6EIR7VWS3omC-2kwzaThHv16k/edit#gid=0"",""NSE Input VaR+ELM!D:J""),7,0),100)"),27.26)</f>
        <v>27.26</v>
      </c>
      <c r="E231" s="7">
        <f t="shared" si="1"/>
        <v>72.74</v>
      </c>
      <c r="F231" s="9" t="s">
        <v>217</v>
      </c>
      <c r="G231" s="7"/>
    </row>
    <row r="232">
      <c r="A232" s="7">
        <v>226.0</v>
      </c>
      <c r="B232" s="8" t="s">
        <v>460</v>
      </c>
      <c r="C232" s="8" t="s">
        <v>461</v>
      </c>
      <c r="D232" s="8">
        <f>IFERROR(__xludf.DUMMYFUNCTION("IFERROR(VLOOKUP(C232,IMPORTRANGE(""https://docs.google.com/spreadsheets/d/10KlTSftfC81rs2H7Cf6EIR7VWS3omC-2kwzaThHv16k/edit#gid=0"",""NSE Input VaR+ELM!D:J""),7,0),100)"),21.18)</f>
        <v>21.18</v>
      </c>
      <c r="E232" s="7">
        <f t="shared" si="1"/>
        <v>78.82</v>
      </c>
      <c r="F232" s="9" t="s">
        <v>10</v>
      </c>
      <c r="G232" s="7"/>
    </row>
    <row r="233">
      <c r="A233" s="7">
        <v>227.0</v>
      </c>
      <c r="B233" s="8" t="s">
        <v>462</v>
      </c>
      <c r="C233" s="8" t="s">
        <v>463</v>
      </c>
      <c r="D233" s="8">
        <f>IFERROR(__xludf.DUMMYFUNCTION("IFERROR(VLOOKUP(C233,IMPORTRANGE(""https://docs.google.com/spreadsheets/d/10KlTSftfC81rs2H7Cf6EIR7VWS3omC-2kwzaThHv16k/edit#gid=0"",""NSE Input VaR+ELM!D:J""),7,0),100)"),19.09)</f>
        <v>19.09</v>
      </c>
      <c r="E233" s="7">
        <f t="shared" si="1"/>
        <v>80.91</v>
      </c>
      <c r="F233" s="9" t="s">
        <v>10</v>
      </c>
      <c r="G233" s="7"/>
    </row>
    <row r="234">
      <c r="A234" s="7">
        <v>228.0</v>
      </c>
      <c r="B234" s="8" t="s">
        <v>464</v>
      </c>
      <c r="C234" s="8" t="s">
        <v>465</v>
      </c>
      <c r="D234" s="8">
        <f>IFERROR(__xludf.DUMMYFUNCTION("IFERROR(VLOOKUP(C234,IMPORTRANGE(""https://docs.google.com/spreadsheets/d/10KlTSftfC81rs2H7Cf6EIR7VWS3omC-2kwzaThHv16k/edit#gid=0"",""NSE Input VaR+ELM!D:J""),7,0),100)"),25.74)</f>
        <v>25.74</v>
      </c>
      <c r="E234" s="7">
        <f t="shared" si="1"/>
        <v>74.26</v>
      </c>
      <c r="F234" s="9" t="s">
        <v>10</v>
      </c>
      <c r="G234" s="7"/>
    </row>
    <row r="235">
      <c r="A235" s="7">
        <v>229.0</v>
      </c>
      <c r="B235" s="8" t="s">
        <v>466</v>
      </c>
      <c r="C235" s="8" t="s">
        <v>467</v>
      </c>
      <c r="D235" s="8">
        <f>IFERROR(__xludf.DUMMYFUNCTION("IFERROR(VLOOKUP(C235,IMPORTRANGE(""https://docs.google.com/spreadsheets/d/10KlTSftfC81rs2H7Cf6EIR7VWS3omC-2kwzaThHv16k/edit#gid=0"",""NSE Input VaR+ELM!D:J""),7,0),100)"),15.33)</f>
        <v>15.33</v>
      </c>
      <c r="E235" s="7">
        <f t="shared" si="1"/>
        <v>84.67</v>
      </c>
      <c r="F235" s="9" t="s">
        <v>10</v>
      </c>
      <c r="G235" s="7"/>
    </row>
    <row r="236">
      <c r="A236" s="7">
        <v>230.0</v>
      </c>
      <c r="B236" s="8" t="s">
        <v>468</v>
      </c>
      <c r="C236" s="8" t="s">
        <v>469</v>
      </c>
      <c r="D236" s="8">
        <f>IFERROR(__xludf.DUMMYFUNCTION("IFERROR(VLOOKUP(C236,IMPORTRANGE(""https://docs.google.com/spreadsheets/d/10KlTSftfC81rs2H7Cf6EIR7VWS3omC-2kwzaThHv16k/edit#gid=0"",""NSE Input VaR+ELM!D:J""),7,0),100)"),14.25)</f>
        <v>14.25</v>
      </c>
      <c r="E236" s="7">
        <f t="shared" si="1"/>
        <v>85.75</v>
      </c>
      <c r="F236" s="9" t="s">
        <v>10</v>
      </c>
      <c r="G236" s="7"/>
    </row>
    <row r="237">
      <c r="A237" s="7">
        <v>231.0</v>
      </c>
      <c r="B237" s="8" t="s">
        <v>470</v>
      </c>
      <c r="C237" s="8" t="s">
        <v>471</v>
      </c>
      <c r="D237" s="8">
        <f>IFERROR(__xludf.DUMMYFUNCTION("IFERROR(VLOOKUP(C237,IMPORTRANGE(""https://docs.google.com/spreadsheets/d/10KlTSftfC81rs2H7Cf6EIR7VWS3omC-2kwzaThHv16k/edit#gid=0"",""NSE Input VaR+ELM!D:J""),7,0),100)"),20.09)</f>
        <v>20.09</v>
      </c>
      <c r="E237" s="7">
        <f t="shared" si="1"/>
        <v>79.91</v>
      </c>
      <c r="F237" s="9" t="s">
        <v>10</v>
      </c>
      <c r="G237" s="7"/>
    </row>
    <row r="238">
      <c r="A238" s="7">
        <v>232.0</v>
      </c>
      <c r="B238" s="8" t="s">
        <v>472</v>
      </c>
      <c r="C238" s="8" t="s">
        <v>473</v>
      </c>
      <c r="D238" s="8">
        <f>IFERROR(__xludf.DUMMYFUNCTION("IFERROR(VLOOKUP(C238,IMPORTRANGE(""https://docs.google.com/spreadsheets/d/10KlTSftfC81rs2H7Cf6EIR7VWS3omC-2kwzaThHv16k/edit#gid=0"",""NSE Input VaR+ELM!D:J""),7,0),100)"),25.57)</f>
        <v>25.57</v>
      </c>
      <c r="E238" s="7">
        <f t="shared" si="1"/>
        <v>74.43</v>
      </c>
      <c r="F238" s="9" t="s">
        <v>10</v>
      </c>
      <c r="G238" s="7"/>
    </row>
    <row r="239">
      <c r="A239" s="7">
        <v>233.0</v>
      </c>
      <c r="B239" s="8" t="s">
        <v>474</v>
      </c>
      <c r="C239" s="8" t="s">
        <v>475</v>
      </c>
      <c r="D239" s="8">
        <f>IFERROR(__xludf.DUMMYFUNCTION("IFERROR(VLOOKUP(C239,IMPORTRANGE(""https://docs.google.com/spreadsheets/d/10KlTSftfC81rs2H7Cf6EIR7VWS3omC-2kwzaThHv16k/edit#gid=0"",""NSE Input VaR+ELM!D:J""),7,0),100)"),18.22)</f>
        <v>18.22</v>
      </c>
      <c r="E239" s="7">
        <f t="shared" si="1"/>
        <v>81.78</v>
      </c>
      <c r="F239" s="9" t="s">
        <v>10</v>
      </c>
      <c r="G239" s="7"/>
    </row>
    <row r="240">
      <c r="A240" s="7">
        <v>234.0</v>
      </c>
      <c r="B240" s="8" t="s">
        <v>476</v>
      </c>
      <c r="C240" s="8" t="s">
        <v>477</v>
      </c>
      <c r="D240" s="8">
        <f>IFERROR(__xludf.DUMMYFUNCTION("IFERROR(VLOOKUP(C240,IMPORTRANGE(""https://docs.google.com/spreadsheets/d/10KlTSftfC81rs2H7Cf6EIR7VWS3omC-2kwzaThHv16k/edit#gid=0"",""NSE Input VaR+ELM!D:J""),7,0),100)"),24.42)</f>
        <v>24.42</v>
      </c>
      <c r="E240" s="7">
        <f t="shared" si="1"/>
        <v>75.58</v>
      </c>
      <c r="F240" s="9" t="s">
        <v>10</v>
      </c>
      <c r="G240" s="7"/>
    </row>
    <row r="241">
      <c r="A241" s="7">
        <v>235.0</v>
      </c>
      <c r="B241" s="8" t="s">
        <v>478</v>
      </c>
      <c r="C241" s="8" t="s">
        <v>479</v>
      </c>
      <c r="D241" s="8">
        <f>IFERROR(__xludf.DUMMYFUNCTION("IFERROR(VLOOKUP(C241,IMPORTRANGE(""https://docs.google.com/spreadsheets/d/10KlTSftfC81rs2H7Cf6EIR7VWS3omC-2kwzaThHv16k/edit#gid=0"",""NSE Input VaR+ELM!D:J""),7,0),100)"),23.42)</f>
        <v>23.42</v>
      </c>
      <c r="E241" s="7">
        <f t="shared" si="1"/>
        <v>76.58</v>
      </c>
      <c r="F241" s="9" t="s">
        <v>10</v>
      </c>
      <c r="G241" s="7"/>
    </row>
    <row r="242">
      <c r="A242" s="7">
        <v>236.0</v>
      </c>
      <c r="B242" s="8" t="s">
        <v>480</v>
      </c>
      <c r="C242" s="8" t="s">
        <v>481</v>
      </c>
      <c r="D242" s="8">
        <f>IFERROR(__xludf.DUMMYFUNCTION("IFERROR(VLOOKUP(C242,IMPORTRANGE(""https://docs.google.com/spreadsheets/d/10KlTSftfC81rs2H7Cf6EIR7VWS3omC-2kwzaThHv16k/edit#gid=0"",""NSE Input VaR+ELM!D:J""),7,0),100)"),17.39)</f>
        <v>17.39</v>
      </c>
      <c r="E242" s="7">
        <f t="shared" si="1"/>
        <v>82.61</v>
      </c>
      <c r="F242" s="9" t="s">
        <v>10</v>
      </c>
      <c r="G242" s="7"/>
    </row>
    <row r="243">
      <c r="A243" s="7">
        <v>237.0</v>
      </c>
      <c r="B243" s="8" t="s">
        <v>482</v>
      </c>
      <c r="C243" s="8" t="s">
        <v>483</v>
      </c>
      <c r="D243" s="8">
        <f>IFERROR(__xludf.DUMMYFUNCTION("IFERROR(VLOOKUP(C243,IMPORTRANGE(""https://docs.google.com/spreadsheets/d/10KlTSftfC81rs2H7Cf6EIR7VWS3omC-2kwzaThHv16k/edit#gid=0"",""NSE Input VaR+ELM!D:J""),7,0),100)"),17.68)</f>
        <v>17.68</v>
      </c>
      <c r="E243" s="7">
        <f t="shared" si="1"/>
        <v>82.32</v>
      </c>
      <c r="F243" s="9" t="s">
        <v>10</v>
      </c>
      <c r="G243" s="7"/>
    </row>
    <row r="244">
      <c r="A244" s="7">
        <v>238.0</v>
      </c>
      <c r="B244" s="8" t="s">
        <v>484</v>
      </c>
      <c r="C244" s="8" t="s">
        <v>485</v>
      </c>
      <c r="D244" s="8">
        <f>IFERROR(__xludf.DUMMYFUNCTION("IFERROR(VLOOKUP(C244,IMPORTRANGE(""https://docs.google.com/spreadsheets/d/10KlTSftfC81rs2H7Cf6EIR7VWS3omC-2kwzaThHv16k/edit#gid=0"",""NSE Input VaR+ELM!D:J""),7,0),100)"),100.0)</f>
        <v>100</v>
      </c>
      <c r="E244" s="7">
        <f t="shared" si="1"/>
        <v>0</v>
      </c>
      <c r="F244" s="9" t="s">
        <v>10</v>
      </c>
      <c r="G244" s="7"/>
    </row>
    <row r="245">
      <c r="A245" s="7">
        <v>239.0</v>
      </c>
      <c r="B245" s="8" t="s">
        <v>486</v>
      </c>
      <c r="C245" s="8" t="s">
        <v>487</v>
      </c>
      <c r="D245" s="8">
        <f>IFERROR(__xludf.DUMMYFUNCTION("IFERROR(VLOOKUP(C245,IMPORTRANGE(""https://docs.google.com/spreadsheets/d/10KlTSftfC81rs2H7Cf6EIR7VWS3omC-2kwzaThHv16k/edit#gid=0"",""NSE Input VaR+ELM!D:J""),7,0),100)"),22.27)</f>
        <v>22.27</v>
      </c>
      <c r="E245" s="7">
        <f t="shared" si="1"/>
        <v>77.73</v>
      </c>
      <c r="F245" s="9" t="s">
        <v>217</v>
      </c>
      <c r="G245" s="7"/>
    </row>
    <row r="246">
      <c r="A246" s="7">
        <v>240.0</v>
      </c>
      <c r="B246" s="8" t="s">
        <v>488</v>
      </c>
      <c r="C246" s="8" t="s">
        <v>489</v>
      </c>
      <c r="D246" s="8">
        <f>IFERROR(__xludf.DUMMYFUNCTION("IFERROR(VLOOKUP(C246,IMPORTRANGE(""https://docs.google.com/spreadsheets/d/10KlTSftfC81rs2H7Cf6EIR7VWS3omC-2kwzaThHv16k/edit#gid=0"",""NSE Input VaR+ELM!D:J""),7,0),100)"),50.0)</f>
        <v>50</v>
      </c>
      <c r="E246" s="7">
        <f t="shared" si="1"/>
        <v>50</v>
      </c>
      <c r="F246" s="9" t="s">
        <v>10</v>
      </c>
      <c r="G246" s="7"/>
    </row>
    <row r="247">
      <c r="A247" s="7">
        <v>241.0</v>
      </c>
      <c r="B247" s="8" t="s">
        <v>490</v>
      </c>
      <c r="C247" s="8" t="s">
        <v>491</v>
      </c>
      <c r="D247" s="8">
        <f>IFERROR(__xludf.DUMMYFUNCTION("IFERROR(VLOOKUP(C247,IMPORTRANGE(""https://docs.google.com/spreadsheets/d/10KlTSftfC81rs2H7Cf6EIR7VWS3omC-2kwzaThHv16k/edit#gid=0"",""NSE Input VaR+ELM!D:J""),7,0),100)"),21.63)</f>
        <v>21.63</v>
      </c>
      <c r="E247" s="7">
        <f t="shared" si="1"/>
        <v>78.37</v>
      </c>
      <c r="F247" s="9" t="s">
        <v>10</v>
      </c>
      <c r="G247" s="7"/>
    </row>
    <row r="248">
      <c r="A248" s="7">
        <v>242.0</v>
      </c>
      <c r="B248" s="8" t="s">
        <v>492</v>
      </c>
      <c r="C248" s="8" t="s">
        <v>493</v>
      </c>
      <c r="D248" s="8">
        <f>IFERROR(__xludf.DUMMYFUNCTION("IFERROR(VLOOKUP(C248,IMPORTRANGE(""https://docs.google.com/spreadsheets/d/10KlTSftfC81rs2H7Cf6EIR7VWS3omC-2kwzaThHv16k/edit#gid=0"",""NSE Input VaR+ELM!D:J""),7,0),100)"),25.61)</f>
        <v>25.61</v>
      </c>
      <c r="E248" s="7">
        <f t="shared" si="1"/>
        <v>74.39</v>
      </c>
      <c r="F248" s="9" t="s">
        <v>10</v>
      </c>
      <c r="G248" s="7"/>
    </row>
    <row r="249">
      <c r="A249" s="7">
        <v>243.0</v>
      </c>
      <c r="B249" s="8" t="s">
        <v>494</v>
      </c>
      <c r="C249" s="8" t="s">
        <v>495</v>
      </c>
      <c r="D249" s="8">
        <f>IFERROR(__xludf.DUMMYFUNCTION("IFERROR(VLOOKUP(C249,IMPORTRANGE(""https://docs.google.com/spreadsheets/d/10KlTSftfC81rs2H7Cf6EIR7VWS3omC-2kwzaThHv16k/edit#gid=0"",""NSE Input VaR+ELM!D:J""),7,0),100)"),30.34)</f>
        <v>30.34</v>
      </c>
      <c r="E249" s="7">
        <f t="shared" si="1"/>
        <v>69.66</v>
      </c>
      <c r="F249" s="9" t="s">
        <v>10</v>
      </c>
      <c r="G249" s="7"/>
    </row>
    <row r="250">
      <c r="A250" s="7">
        <v>244.0</v>
      </c>
      <c r="B250" s="8" t="s">
        <v>496</v>
      </c>
      <c r="C250" s="8" t="s">
        <v>497</v>
      </c>
      <c r="D250" s="8">
        <f>IFERROR(__xludf.DUMMYFUNCTION("IFERROR(VLOOKUP(C250,IMPORTRANGE(""https://docs.google.com/spreadsheets/d/10KlTSftfC81rs2H7Cf6EIR7VWS3omC-2kwzaThHv16k/edit#gid=0"",""NSE Input VaR+ELM!D:J""),7,0),100)"),16.79)</f>
        <v>16.79</v>
      </c>
      <c r="E250" s="7">
        <f t="shared" si="1"/>
        <v>83.21</v>
      </c>
      <c r="F250" s="9" t="s">
        <v>217</v>
      </c>
      <c r="G250" s="7"/>
    </row>
    <row r="251">
      <c r="A251" s="7">
        <v>245.0</v>
      </c>
      <c r="B251" s="8" t="s">
        <v>498</v>
      </c>
      <c r="C251" s="8" t="s">
        <v>499</v>
      </c>
      <c r="D251" s="8">
        <f>IFERROR(__xludf.DUMMYFUNCTION("IFERROR(VLOOKUP(C251,IMPORTRANGE(""https://docs.google.com/spreadsheets/d/10KlTSftfC81rs2H7Cf6EIR7VWS3omC-2kwzaThHv16k/edit#gid=0"",""NSE Input VaR+ELM!D:J""),7,0),100)"),20.34)</f>
        <v>20.34</v>
      </c>
      <c r="E251" s="7">
        <f t="shared" si="1"/>
        <v>79.66</v>
      </c>
      <c r="F251" s="9" t="s">
        <v>217</v>
      </c>
      <c r="G251" s="7"/>
    </row>
    <row r="252">
      <c r="A252" s="7">
        <v>246.0</v>
      </c>
      <c r="B252" s="8" t="s">
        <v>500</v>
      </c>
      <c r="C252" s="8" t="s">
        <v>501</v>
      </c>
      <c r="D252" s="8">
        <f>IFERROR(__xludf.DUMMYFUNCTION("IFERROR(VLOOKUP(C252,IMPORTRANGE(""https://docs.google.com/spreadsheets/d/10KlTSftfC81rs2H7Cf6EIR7VWS3omC-2kwzaThHv16k/edit#gid=0"",""NSE Input VaR+ELM!D:J""),7,0),100)"),17.96)</f>
        <v>17.96</v>
      </c>
      <c r="E252" s="7">
        <f t="shared" si="1"/>
        <v>82.04</v>
      </c>
      <c r="F252" s="9" t="s">
        <v>10</v>
      </c>
      <c r="G252" s="7"/>
    </row>
    <row r="253">
      <c r="A253" s="7">
        <v>247.0</v>
      </c>
      <c r="B253" s="8" t="s">
        <v>502</v>
      </c>
      <c r="C253" s="8" t="s">
        <v>503</v>
      </c>
      <c r="D253" s="8">
        <f>IFERROR(__xludf.DUMMYFUNCTION("IFERROR(VLOOKUP(C253,IMPORTRANGE(""https://docs.google.com/spreadsheets/d/10KlTSftfC81rs2H7Cf6EIR7VWS3omC-2kwzaThHv16k/edit#gid=0"",""NSE Input VaR+ELM!D:J""),7,0),100)"),27.55)</f>
        <v>27.55</v>
      </c>
      <c r="E253" s="7">
        <f t="shared" si="1"/>
        <v>72.45</v>
      </c>
      <c r="F253" s="9" t="s">
        <v>10</v>
      </c>
      <c r="G253" s="7"/>
    </row>
    <row r="254">
      <c r="A254" s="7">
        <v>248.0</v>
      </c>
      <c r="B254" s="8" t="s">
        <v>504</v>
      </c>
      <c r="C254" s="8" t="s">
        <v>505</v>
      </c>
      <c r="D254" s="8">
        <f>IFERROR(__xludf.DUMMYFUNCTION("IFERROR(VLOOKUP(C254,IMPORTRANGE(""https://docs.google.com/spreadsheets/d/10KlTSftfC81rs2H7Cf6EIR7VWS3omC-2kwzaThHv16k/edit#gid=0"",""NSE Input VaR+ELM!D:J""),7,0),100)"),20.97)</f>
        <v>20.97</v>
      </c>
      <c r="E254" s="7">
        <f t="shared" si="1"/>
        <v>79.03</v>
      </c>
      <c r="F254" s="9" t="s">
        <v>217</v>
      </c>
      <c r="G254" s="7"/>
    </row>
    <row r="255">
      <c r="A255" s="7">
        <v>249.0</v>
      </c>
      <c r="B255" s="8" t="s">
        <v>506</v>
      </c>
      <c r="C255" s="8" t="s">
        <v>507</v>
      </c>
      <c r="D255" s="8">
        <f>IFERROR(__xludf.DUMMYFUNCTION("IFERROR(VLOOKUP(C255,IMPORTRANGE(""https://docs.google.com/spreadsheets/d/10KlTSftfC81rs2H7Cf6EIR7VWS3omC-2kwzaThHv16k/edit#gid=0"",""NSE Input VaR+ELM!D:J""),7,0),100)"),30.21)</f>
        <v>30.21</v>
      </c>
      <c r="E255" s="7">
        <f t="shared" si="1"/>
        <v>69.79</v>
      </c>
      <c r="F255" s="9" t="s">
        <v>10</v>
      </c>
      <c r="G255" s="7"/>
    </row>
    <row r="256">
      <c r="A256" s="7">
        <v>250.0</v>
      </c>
      <c r="B256" s="8" t="s">
        <v>508</v>
      </c>
      <c r="C256" s="8" t="s">
        <v>509</v>
      </c>
      <c r="D256" s="8">
        <f>IFERROR(__xludf.DUMMYFUNCTION("IFERROR(VLOOKUP(C256,IMPORTRANGE(""https://docs.google.com/spreadsheets/d/10KlTSftfC81rs2H7Cf6EIR7VWS3omC-2kwzaThHv16k/edit#gid=0"",""NSE Input VaR+ELM!D:J""),7,0),100)"),22.65)</f>
        <v>22.65</v>
      </c>
      <c r="E256" s="7">
        <f t="shared" si="1"/>
        <v>77.35</v>
      </c>
      <c r="F256" s="9" t="s">
        <v>10</v>
      </c>
      <c r="G256" s="7"/>
    </row>
    <row r="257">
      <c r="A257" s="7">
        <v>251.0</v>
      </c>
      <c r="B257" s="8" t="s">
        <v>510</v>
      </c>
      <c r="C257" s="8" t="s">
        <v>511</v>
      </c>
      <c r="D257" s="8">
        <f>IFERROR(__xludf.DUMMYFUNCTION("IFERROR(VLOOKUP(C257,IMPORTRANGE(""https://docs.google.com/spreadsheets/d/10KlTSftfC81rs2H7Cf6EIR7VWS3omC-2kwzaThHv16k/edit#gid=0"",""NSE Input VaR+ELM!D:J""),7,0),100)"),29.12)</f>
        <v>29.12</v>
      </c>
      <c r="E257" s="7">
        <f t="shared" si="1"/>
        <v>70.88</v>
      </c>
      <c r="F257" s="9" t="s">
        <v>10</v>
      </c>
      <c r="G257" s="7"/>
    </row>
    <row r="258">
      <c r="A258" s="7">
        <v>252.0</v>
      </c>
      <c r="B258" s="8" t="s">
        <v>512</v>
      </c>
      <c r="C258" s="8" t="s">
        <v>513</v>
      </c>
      <c r="D258" s="8">
        <f>IFERROR(__xludf.DUMMYFUNCTION("IFERROR(VLOOKUP(C258,IMPORTRANGE(""https://docs.google.com/spreadsheets/d/10KlTSftfC81rs2H7Cf6EIR7VWS3omC-2kwzaThHv16k/edit#gid=0"",""NSE Input VaR+ELM!D:J""),7,0),100)"),29.97)</f>
        <v>29.97</v>
      </c>
      <c r="E258" s="7">
        <f t="shared" si="1"/>
        <v>70.03</v>
      </c>
      <c r="F258" s="9" t="s">
        <v>10</v>
      </c>
      <c r="G258" s="7"/>
    </row>
    <row r="259">
      <c r="A259" s="7">
        <v>253.0</v>
      </c>
      <c r="B259" s="8" t="s">
        <v>514</v>
      </c>
      <c r="C259" s="8" t="s">
        <v>515</v>
      </c>
      <c r="D259" s="8">
        <f>IFERROR(__xludf.DUMMYFUNCTION("IFERROR(VLOOKUP(C259,IMPORTRANGE(""https://docs.google.com/spreadsheets/d/10KlTSftfC81rs2H7Cf6EIR7VWS3omC-2kwzaThHv16k/edit#gid=0"",""NSE Input VaR+ELM!D:J""),7,0),100)"),20.45)</f>
        <v>20.45</v>
      </c>
      <c r="E259" s="7">
        <f t="shared" si="1"/>
        <v>79.55</v>
      </c>
      <c r="F259" s="9" t="s">
        <v>10</v>
      </c>
      <c r="G259" s="7"/>
    </row>
    <row r="260">
      <c r="A260" s="7">
        <v>254.0</v>
      </c>
      <c r="B260" s="8" t="s">
        <v>516</v>
      </c>
      <c r="C260" s="8" t="s">
        <v>517</v>
      </c>
      <c r="D260" s="8">
        <f>IFERROR(__xludf.DUMMYFUNCTION("IFERROR(VLOOKUP(C260,IMPORTRANGE(""https://docs.google.com/spreadsheets/d/10KlTSftfC81rs2H7Cf6EIR7VWS3omC-2kwzaThHv16k/edit#gid=0"",""NSE Input VaR+ELM!D:J""),7,0),100)"),22.81)</f>
        <v>22.81</v>
      </c>
      <c r="E260" s="7">
        <f t="shared" si="1"/>
        <v>77.19</v>
      </c>
      <c r="F260" s="9" t="s">
        <v>217</v>
      </c>
      <c r="G260" s="7"/>
    </row>
    <row r="261">
      <c r="A261" s="7">
        <v>255.0</v>
      </c>
      <c r="B261" s="8" t="s">
        <v>518</v>
      </c>
      <c r="C261" s="8" t="s">
        <v>519</v>
      </c>
      <c r="D261" s="8">
        <f>IFERROR(__xludf.DUMMYFUNCTION("IFERROR(VLOOKUP(C261,IMPORTRANGE(""https://docs.google.com/spreadsheets/d/10KlTSftfC81rs2H7Cf6EIR7VWS3omC-2kwzaThHv16k/edit#gid=0"",""NSE Input VaR+ELM!D:J""),7,0),100)"),21.65)</f>
        <v>21.65</v>
      </c>
      <c r="E261" s="7">
        <f t="shared" si="1"/>
        <v>78.35</v>
      </c>
      <c r="F261" s="9" t="s">
        <v>217</v>
      </c>
      <c r="G261" s="7"/>
    </row>
    <row r="262">
      <c r="A262" s="7">
        <v>256.0</v>
      </c>
      <c r="B262" s="8" t="s">
        <v>520</v>
      </c>
      <c r="C262" s="8" t="s">
        <v>521</v>
      </c>
      <c r="D262" s="8">
        <f>IFERROR(__xludf.DUMMYFUNCTION("IFERROR(VLOOKUP(C262,IMPORTRANGE(""https://docs.google.com/spreadsheets/d/10KlTSftfC81rs2H7Cf6EIR7VWS3omC-2kwzaThHv16k/edit#gid=0"",""NSE Input VaR+ELM!D:J""),7,0),100)"),27.84)</f>
        <v>27.84</v>
      </c>
      <c r="E262" s="7">
        <f t="shared" si="1"/>
        <v>72.16</v>
      </c>
      <c r="F262" s="9" t="s">
        <v>10</v>
      </c>
      <c r="G262" s="7"/>
    </row>
    <row r="263">
      <c r="A263" s="7">
        <v>257.0</v>
      </c>
      <c r="B263" s="8" t="s">
        <v>522</v>
      </c>
      <c r="C263" s="8" t="s">
        <v>523</v>
      </c>
      <c r="D263" s="8">
        <f>IFERROR(__xludf.DUMMYFUNCTION("IFERROR(VLOOKUP(C263,IMPORTRANGE(""https://docs.google.com/spreadsheets/d/10KlTSftfC81rs2H7Cf6EIR7VWS3omC-2kwzaThHv16k/edit#gid=0"",""NSE Input VaR+ELM!D:J""),7,0),100)"),15.95)</f>
        <v>15.95</v>
      </c>
      <c r="E263" s="7">
        <f t="shared" si="1"/>
        <v>84.05</v>
      </c>
      <c r="F263" s="9" t="s">
        <v>10</v>
      </c>
      <c r="G263" s="7"/>
    </row>
    <row r="264">
      <c r="A264" s="7">
        <v>258.0</v>
      </c>
      <c r="B264" s="8" t="s">
        <v>524</v>
      </c>
      <c r="C264" s="8" t="s">
        <v>525</v>
      </c>
      <c r="D264" s="8">
        <f>IFERROR(__xludf.DUMMYFUNCTION("IFERROR(VLOOKUP(C264,IMPORTRANGE(""https://docs.google.com/spreadsheets/d/10KlTSftfC81rs2H7Cf6EIR7VWS3omC-2kwzaThHv16k/edit#gid=0"",""NSE Input VaR+ELM!D:J""),7,0),100)"),16.36)</f>
        <v>16.36</v>
      </c>
      <c r="E264" s="7">
        <f t="shared" si="1"/>
        <v>83.64</v>
      </c>
      <c r="F264" s="9" t="s">
        <v>10</v>
      </c>
      <c r="G264" s="7"/>
    </row>
    <row r="265">
      <c r="A265" s="7">
        <v>259.0</v>
      </c>
      <c r="B265" s="8" t="s">
        <v>526</v>
      </c>
      <c r="C265" s="8" t="s">
        <v>527</v>
      </c>
      <c r="D265" s="8">
        <f>IFERROR(__xludf.DUMMYFUNCTION("IFERROR(VLOOKUP(C265,IMPORTRANGE(""https://docs.google.com/spreadsheets/d/10KlTSftfC81rs2H7Cf6EIR7VWS3omC-2kwzaThHv16k/edit#gid=0"",""NSE Input VaR+ELM!D:J""),7,0),100)"),21.85)</f>
        <v>21.85</v>
      </c>
      <c r="E265" s="7">
        <f t="shared" si="1"/>
        <v>78.15</v>
      </c>
      <c r="F265" s="9" t="s">
        <v>10</v>
      </c>
      <c r="G265" s="7"/>
    </row>
    <row r="266">
      <c r="A266" s="7">
        <v>260.0</v>
      </c>
      <c r="B266" s="8" t="s">
        <v>528</v>
      </c>
      <c r="C266" s="8" t="s">
        <v>529</v>
      </c>
      <c r="D266" s="8">
        <f>IFERROR(__xludf.DUMMYFUNCTION("IFERROR(VLOOKUP(C266,IMPORTRANGE(""https://docs.google.com/spreadsheets/d/10KlTSftfC81rs2H7Cf6EIR7VWS3omC-2kwzaThHv16k/edit#gid=0"",""NSE Input VaR+ELM!D:J""),7,0),100)"),26.22)</f>
        <v>26.22</v>
      </c>
      <c r="E266" s="7">
        <f t="shared" si="1"/>
        <v>73.78</v>
      </c>
      <c r="F266" s="9" t="s">
        <v>10</v>
      </c>
      <c r="G266" s="7"/>
    </row>
    <row r="267">
      <c r="A267" s="7">
        <v>261.0</v>
      </c>
      <c r="B267" s="8" t="s">
        <v>530</v>
      </c>
      <c r="C267" s="8" t="s">
        <v>531</v>
      </c>
      <c r="D267" s="8">
        <f>IFERROR(__xludf.DUMMYFUNCTION("IFERROR(VLOOKUP(C267,IMPORTRANGE(""https://docs.google.com/spreadsheets/d/10KlTSftfC81rs2H7Cf6EIR7VWS3omC-2kwzaThHv16k/edit#gid=0"",""NSE Input VaR+ELM!D:J""),7,0),100)"),23.93)</f>
        <v>23.93</v>
      </c>
      <c r="E267" s="7">
        <f t="shared" si="1"/>
        <v>76.07</v>
      </c>
      <c r="F267" s="9" t="s">
        <v>217</v>
      </c>
      <c r="G267" s="7"/>
    </row>
    <row r="268">
      <c r="A268" s="7">
        <v>262.0</v>
      </c>
      <c r="B268" s="8" t="s">
        <v>532</v>
      </c>
      <c r="C268" s="8" t="s">
        <v>533</v>
      </c>
      <c r="D268" s="8">
        <f>IFERROR(__xludf.DUMMYFUNCTION("IFERROR(VLOOKUP(C268,IMPORTRANGE(""https://docs.google.com/spreadsheets/d/10KlTSftfC81rs2H7Cf6EIR7VWS3omC-2kwzaThHv16k/edit#gid=0"",""NSE Input VaR+ELM!D:J""),7,0),100)"),25.28)</f>
        <v>25.28</v>
      </c>
      <c r="E268" s="7">
        <f t="shared" si="1"/>
        <v>74.72</v>
      </c>
      <c r="F268" s="9" t="s">
        <v>10</v>
      </c>
      <c r="G268" s="7"/>
    </row>
    <row r="269">
      <c r="A269" s="7">
        <v>263.0</v>
      </c>
      <c r="B269" s="8" t="s">
        <v>534</v>
      </c>
      <c r="C269" s="8" t="s">
        <v>535</v>
      </c>
      <c r="D269" s="8">
        <f>IFERROR(__xludf.DUMMYFUNCTION("IFERROR(VLOOKUP(C269,IMPORTRANGE(""https://docs.google.com/spreadsheets/d/10KlTSftfC81rs2H7Cf6EIR7VWS3omC-2kwzaThHv16k/edit#gid=0"",""NSE Input VaR+ELM!D:J""),7,0),100)"),20.41)</f>
        <v>20.41</v>
      </c>
      <c r="E269" s="7">
        <f t="shared" si="1"/>
        <v>79.59</v>
      </c>
      <c r="F269" s="9" t="s">
        <v>10</v>
      </c>
      <c r="G269" s="7"/>
    </row>
    <row r="270">
      <c r="A270" s="7">
        <v>264.0</v>
      </c>
      <c r="B270" s="8" t="s">
        <v>536</v>
      </c>
      <c r="C270" s="8" t="s">
        <v>537</v>
      </c>
      <c r="D270" s="8">
        <f>IFERROR(__xludf.DUMMYFUNCTION("IFERROR(VLOOKUP(C270,IMPORTRANGE(""https://docs.google.com/spreadsheets/d/10KlTSftfC81rs2H7Cf6EIR7VWS3omC-2kwzaThHv16k/edit#gid=0"",""NSE Input VaR+ELM!D:J""),7,0),100)"),23.93)</f>
        <v>23.93</v>
      </c>
      <c r="E270" s="7">
        <f t="shared" si="1"/>
        <v>76.07</v>
      </c>
      <c r="F270" s="9" t="s">
        <v>10</v>
      </c>
      <c r="G270" s="7"/>
    </row>
    <row r="271">
      <c r="A271" s="7">
        <v>265.0</v>
      </c>
      <c r="B271" s="8" t="s">
        <v>538</v>
      </c>
      <c r="C271" s="8" t="s">
        <v>539</v>
      </c>
      <c r="D271" s="8">
        <f>IFERROR(__xludf.DUMMYFUNCTION("IFERROR(VLOOKUP(C271,IMPORTRANGE(""https://docs.google.com/spreadsheets/d/10KlTSftfC81rs2H7Cf6EIR7VWS3omC-2kwzaThHv16k/edit#gid=0"",""NSE Input VaR+ELM!D:J""),7,0),100)"),21.7)</f>
        <v>21.7</v>
      </c>
      <c r="E271" s="7">
        <f t="shared" si="1"/>
        <v>78.3</v>
      </c>
      <c r="F271" s="9" t="s">
        <v>10</v>
      </c>
      <c r="G271" s="7"/>
    </row>
    <row r="272">
      <c r="A272" s="7">
        <v>266.0</v>
      </c>
      <c r="B272" s="8" t="s">
        <v>540</v>
      </c>
      <c r="C272" s="8" t="s">
        <v>541</v>
      </c>
      <c r="D272" s="8">
        <f>IFERROR(__xludf.DUMMYFUNCTION("IFERROR(VLOOKUP(C272,IMPORTRANGE(""https://docs.google.com/spreadsheets/d/10KlTSftfC81rs2H7Cf6EIR7VWS3omC-2kwzaThHv16k/edit#gid=0"",""NSE Input VaR+ELM!D:J""),7,0),100)"),25.37)</f>
        <v>25.37</v>
      </c>
      <c r="E272" s="7">
        <f t="shared" si="1"/>
        <v>74.63</v>
      </c>
      <c r="F272" s="9" t="s">
        <v>10</v>
      </c>
      <c r="G272" s="7"/>
    </row>
    <row r="273">
      <c r="A273" s="7">
        <v>267.0</v>
      </c>
      <c r="B273" s="8" t="s">
        <v>542</v>
      </c>
      <c r="C273" s="8" t="s">
        <v>543</v>
      </c>
      <c r="D273" s="8">
        <f>IFERROR(__xludf.DUMMYFUNCTION("IFERROR(VLOOKUP(C273,IMPORTRANGE(""https://docs.google.com/spreadsheets/d/10KlTSftfC81rs2H7Cf6EIR7VWS3omC-2kwzaThHv16k/edit#gid=0"",""NSE Input VaR+ELM!D:J""),7,0),100)"),23.27)</f>
        <v>23.27</v>
      </c>
      <c r="E273" s="7">
        <f t="shared" si="1"/>
        <v>76.73</v>
      </c>
      <c r="F273" s="9" t="s">
        <v>10</v>
      </c>
      <c r="G273" s="7"/>
    </row>
    <row r="274">
      <c r="A274" s="7">
        <v>268.0</v>
      </c>
      <c r="B274" s="8" t="s">
        <v>544</v>
      </c>
      <c r="C274" s="8" t="s">
        <v>545</v>
      </c>
      <c r="D274" s="8">
        <f>IFERROR(__xludf.DUMMYFUNCTION("IFERROR(VLOOKUP(C274,IMPORTRANGE(""https://docs.google.com/spreadsheets/d/10KlTSftfC81rs2H7Cf6EIR7VWS3omC-2kwzaThHv16k/edit#gid=0"",""NSE Input VaR+ELM!D:J""),7,0),100)"),13.13)</f>
        <v>13.13</v>
      </c>
      <c r="E274" s="7">
        <f t="shared" si="1"/>
        <v>86.87</v>
      </c>
      <c r="F274" s="9" t="s">
        <v>10</v>
      </c>
      <c r="G274" s="7"/>
    </row>
    <row r="275">
      <c r="A275" s="7">
        <v>269.0</v>
      </c>
      <c r="B275" s="8" t="s">
        <v>546</v>
      </c>
      <c r="C275" s="8" t="s">
        <v>547</v>
      </c>
      <c r="D275" s="8">
        <f>IFERROR(__xludf.DUMMYFUNCTION("IFERROR(VLOOKUP(C275,IMPORTRANGE(""https://docs.google.com/spreadsheets/d/10KlTSftfC81rs2H7Cf6EIR7VWS3omC-2kwzaThHv16k/edit#gid=0"",""NSE Input VaR+ELM!D:J""),7,0),100)"),17.27)</f>
        <v>17.27</v>
      </c>
      <c r="E275" s="7">
        <f t="shared" si="1"/>
        <v>82.73</v>
      </c>
      <c r="F275" s="9" t="s">
        <v>10</v>
      </c>
      <c r="G275" s="7"/>
    </row>
    <row r="276">
      <c r="A276" s="7">
        <v>270.0</v>
      </c>
      <c r="B276" s="8" t="s">
        <v>548</v>
      </c>
      <c r="C276" s="8" t="s">
        <v>549</v>
      </c>
      <c r="D276" s="8">
        <f>IFERROR(__xludf.DUMMYFUNCTION("IFERROR(VLOOKUP(C276,IMPORTRANGE(""https://docs.google.com/spreadsheets/d/10KlTSftfC81rs2H7Cf6EIR7VWS3omC-2kwzaThHv16k/edit#gid=0"",""NSE Input VaR+ELM!D:J""),7,0),100)"),21.25)</f>
        <v>21.25</v>
      </c>
      <c r="E276" s="7">
        <f t="shared" si="1"/>
        <v>78.75</v>
      </c>
      <c r="F276" s="9" t="s">
        <v>10</v>
      </c>
      <c r="G276" s="7"/>
    </row>
    <row r="277">
      <c r="A277" s="7">
        <v>271.0</v>
      </c>
      <c r="B277" s="8" t="s">
        <v>550</v>
      </c>
      <c r="C277" s="8" t="s">
        <v>551</v>
      </c>
      <c r="D277" s="8">
        <f>IFERROR(__xludf.DUMMYFUNCTION("IFERROR(VLOOKUP(C277,IMPORTRANGE(""https://docs.google.com/spreadsheets/d/10KlTSftfC81rs2H7Cf6EIR7VWS3omC-2kwzaThHv16k/edit#gid=0"",""NSE Input VaR+ELM!D:J""),7,0),100)"),19.79)</f>
        <v>19.79</v>
      </c>
      <c r="E277" s="7">
        <f t="shared" si="1"/>
        <v>80.21</v>
      </c>
      <c r="F277" s="9" t="s">
        <v>10</v>
      </c>
      <c r="G277" s="7"/>
    </row>
    <row r="278">
      <c r="A278" s="7">
        <v>272.0</v>
      </c>
      <c r="B278" s="8" t="s">
        <v>552</v>
      </c>
      <c r="C278" s="8" t="s">
        <v>553</v>
      </c>
      <c r="D278" s="8">
        <f>IFERROR(__xludf.DUMMYFUNCTION("IFERROR(VLOOKUP(C278,IMPORTRANGE(""https://docs.google.com/spreadsheets/d/10KlTSftfC81rs2H7Cf6EIR7VWS3omC-2kwzaThHv16k/edit#gid=0"",""NSE Input VaR+ELM!D:J""),7,0),100)"),50.0)</f>
        <v>50</v>
      </c>
      <c r="E278" s="7">
        <f t="shared" si="1"/>
        <v>50</v>
      </c>
      <c r="F278" s="9" t="s">
        <v>10</v>
      </c>
      <c r="G278" s="7"/>
    </row>
    <row r="279">
      <c r="A279" s="7">
        <v>273.0</v>
      </c>
      <c r="B279" s="8" t="s">
        <v>554</v>
      </c>
      <c r="C279" s="8" t="s">
        <v>555</v>
      </c>
      <c r="D279" s="8">
        <f>IFERROR(__xludf.DUMMYFUNCTION("IFERROR(VLOOKUP(C279,IMPORTRANGE(""https://docs.google.com/spreadsheets/d/10KlTSftfC81rs2H7Cf6EIR7VWS3omC-2kwzaThHv16k/edit#gid=0"",""NSE Input VaR+ELM!D:J""),7,0),100)"),21.08)</f>
        <v>21.08</v>
      </c>
      <c r="E279" s="7">
        <f t="shared" si="1"/>
        <v>78.92</v>
      </c>
      <c r="F279" s="9" t="s">
        <v>10</v>
      </c>
      <c r="G279" s="7"/>
    </row>
    <row r="280">
      <c r="A280" s="7">
        <v>274.0</v>
      </c>
      <c r="B280" s="8" t="s">
        <v>556</v>
      </c>
      <c r="C280" s="8" t="s">
        <v>557</v>
      </c>
      <c r="D280" s="8">
        <f>IFERROR(__xludf.DUMMYFUNCTION("IFERROR(VLOOKUP(C280,IMPORTRANGE(""https://docs.google.com/spreadsheets/d/10KlTSftfC81rs2H7Cf6EIR7VWS3omC-2kwzaThHv16k/edit#gid=0"",""NSE Input VaR+ELM!D:J""),7,0),100)"),18.25)</f>
        <v>18.25</v>
      </c>
      <c r="E280" s="7">
        <f t="shared" si="1"/>
        <v>81.75</v>
      </c>
      <c r="F280" s="9" t="s">
        <v>10</v>
      </c>
      <c r="G280" s="7"/>
    </row>
    <row r="281">
      <c r="A281" s="7">
        <v>275.0</v>
      </c>
      <c r="B281" s="8" t="s">
        <v>558</v>
      </c>
      <c r="C281" s="8" t="s">
        <v>559</v>
      </c>
      <c r="D281" s="8">
        <f>IFERROR(__xludf.DUMMYFUNCTION("IFERROR(VLOOKUP(C281,IMPORTRANGE(""https://docs.google.com/spreadsheets/d/10KlTSftfC81rs2H7Cf6EIR7VWS3omC-2kwzaThHv16k/edit#gid=0"",""NSE Input VaR+ELM!D:J""),7,0),100)"),22.75)</f>
        <v>22.75</v>
      </c>
      <c r="E281" s="7">
        <f t="shared" si="1"/>
        <v>77.25</v>
      </c>
      <c r="F281" s="9" t="s">
        <v>10</v>
      </c>
      <c r="G281" s="7"/>
    </row>
    <row r="282">
      <c r="A282" s="7">
        <v>276.0</v>
      </c>
      <c r="B282" s="8" t="s">
        <v>560</v>
      </c>
      <c r="C282" s="8" t="s">
        <v>561</v>
      </c>
      <c r="D282" s="8">
        <f>IFERROR(__xludf.DUMMYFUNCTION("IFERROR(VLOOKUP(C282,IMPORTRANGE(""https://docs.google.com/spreadsheets/d/10KlTSftfC81rs2H7Cf6EIR7VWS3omC-2kwzaThHv16k/edit#gid=0"",""NSE Input VaR+ELM!D:J""),7,0),100)"),19.75)</f>
        <v>19.75</v>
      </c>
      <c r="E282" s="7">
        <f t="shared" si="1"/>
        <v>80.25</v>
      </c>
      <c r="F282" s="9" t="s">
        <v>10</v>
      </c>
      <c r="G282" s="7"/>
    </row>
    <row r="283">
      <c r="A283" s="7">
        <v>277.0</v>
      </c>
      <c r="B283" s="8" t="s">
        <v>562</v>
      </c>
      <c r="C283" s="8" t="s">
        <v>563</v>
      </c>
      <c r="D283" s="8">
        <f>IFERROR(__xludf.DUMMYFUNCTION("IFERROR(VLOOKUP(C283,IMPORTRANGE(""https://docs.google.com/spreadsheets/d/10KlTSftfC81rs2H7Cf6EIR7VWS3omC-2kwzaThHv16k/edit#gid=0"",""NSE Input VaR+ELM!D:J""),7,0),100)"),19.72)</f>
        <v>19.72</v>
      </c>
      <c r="E283" s="7">
        <f t="shared" si="1"/>
        <v>80.28</v>
      </c>
      <c r="F283" s="9" t="s">
        <v>10</v>
      </c>
      <c r="G283" s="7"/>
    </row>
    <row r="284">
      <c r="A284" s="7">
        <v>278.0</v>
      </c>
      <c r="B284" s="8" t="s">
        <v>564</v>
      </c>
      <c r="C284" s="8" t="s">
        <v>565</v>
      </c>
      <c r="D284" s="8">
        <f>IFERROR(__xludf.DUMMYFUNCTION("IFERROR(VLOOKUP(C284,IMPORTRANGE(""https://docs.google.com/spreadsheets/d/10KlTSftfC81rs2H7Cf6EIR7VWS3omC-2kwzaThHv16k/edit#gid=0"",""NSE Input VaR+ELM!D:J""),7,0),100)"),12.77)</f>
        <v>12.77</v>
      </c>
      <c r="E284" s="7">
        <f t="shared" si="1"/>
        <v>87.23</v>
      </c>
      <c r="F284" s="9" t="s">
        <v>10</v>
      </c>
      <c r="G284" s="7"/>
    </row>
    <row r="285">
      <c r="A285" s="7">
        <v>279.0</v>
      </c>
      <c r="B285" s="8" t="s">
        <v>566</v>
      </c>
      <c r="C285" s="8" t="s">
        <v>567</v>
      </c>
      <c r="D285" s="8">
        <f>IFERROR(__xludf.DUMMYFUNCTION("IFERROR(VLOOKUP(C285,IMPORTRANGE(""https://docs.google.com/spreadsheets/d/10KlTSftfC81rs2H7Cf6EIR7VWS3omC-2kwzaThHv16k/edit#gid=0"",""NSE Input VaR+ELM!D:J""),7,0),100)"),19.26)</f>
        <v>19.26</v>
      </c>
      <c r="E285" s="7">
        <f t="shared" si="1"/>
        <v>80.74</v>
      </c>
      <c r="F285" s="9" t="s">
        <v>10</v>
      </c>
      <c r="G285" s="7"/>
    </row>
    <row r="286">
      <c r="A286" s="7">
        <v>280.0</v>
      </c>
      <c r="B286" s="8" t="s">
        <v>568</v>
      </c>
      <c r="C286" s="8" t="s">
        <v>569</v>
      </c>
      <c r="D286" s="8">
        <f>IFERROR(__xludf.DUMMYFUNCTION("IFERROR(VLOOKUP(C286,IMPORTRANGE(""https://docs.google.com/spreadsheets/d/10KlTSftfC81rs2H7Cf6EIR7VWS3omC-2kwzaThHv16k/edit#gid=0"",""NSE Input VaR+ELM!D:J""),7,0),100)"),19.7)</f>
        <v>19.7</v>
      </c>
      <c r="E286" s="7">
        <f t="shared" si="1"/>
        <v>80.3</v>
      </c>
      <c r="F286" s="9" t="s">
        <v>10</v>
      </c>
      <c r="G286" s="7"/>
    </row>
    <row r="287">
      <c r="A287" s="7">
        <v>281.0</v>
      </c>
      <c r="B287" s="8" t="s">
        <v>570</v>
      </c>
      <c r="C287" s="8" t="s">
        <v>571</v>
      </c>
      <c r="D287" s="8">
        <f>IFERROR(__xludf.DUMMYFUNCTION("IFERROR(VLOOKUP(C287,IMPORTRANGE(""https://docs.google.com/spreadsheets/d/10KlTSftfC81rs2H7Cf6EIR7VWS3omC-2kwzaThHv16k/edit#gid=0"",""NSE Input VaR+ELM!D:J""),7,0),100)"),17.33)</f>
        <v>17.33</v>
      </c>
      <c r="E287" s="7">
        <f t="shared" si="1"/>
        <v>82.67</v>
      </c>
      <c r="F287" s="9" t="s">
        <v>10</v>
      </c>
      <c r="G287" s="7"/>
    </row>
    <row r="288">
      <c r="A288" s="7">
        <v>282.0</v>
      </c>
      <c r="B288" s="8" t="s">
        <v>572</v>
      </c>
      <c r="C288" s="8" t="s">
        <v>573</v>
      </c>
      <c r="D288" s="8">
        <f>IFERROR(__xludf.DUMMYFUNCTION("IFERROR(VLOOKUP(C288,IMPORTRANGE(""https://docs.google.com/spreadsheets/d/10KlTSftfC81rs2H7Cf6EIR7VWS3omC-2kwzaThHv16k/edit#gid=0"",""NSE Input VaR+ELM!D:J""),7,0),100)"),21.76)</f>
        <v>21.76</v>
      </c>
      <c r="E288" s="7">
        <f t="shared" si="1"/>
        <v>78.24</v>
      </c>
      <c r="F288" s="9" t="s">
        <v>10</v>
      </c>
      <c r="G288" s="7"/>
    </row>
    <row r="289">
      <c r="A289" s="7">
        <v>283.0</v>
      </c>
      <c r="B289" s="8" t="s">
        <v>574</v>
      </c>
      <c r="C289" s="8" t="s">
        <v>575</v>
      </c>
      <c r="D289" s="8">
        <f>IFERROR(__xludf.DUMMYFUNCTION("IFERROR(VLOOKUP(C289,IMPORTRANGE(""https://docs.google.com/spreadsheets/d/10KlTSftfC81rs2H7Cf6EIR7VWS3omC-2kwzaThHv16k/edit#gid=0"",""NSE Input VaR+ELM!D:J""),7,0),100)"),21.33)</f>
        <v>21.33</v>
      </c>
      <c r="E289" s="7">
        <f t="shared" si="1"/>
        <v>78.67</v>
      </c>
      <c r="F289" s="9" t="s">
        <v>10</v>
      </c>
      <c r="G289" s="7"/>
    </row>
    <row r="290">
      <c r="A290" s="7">
        <v>284.0</v>
      </c>
      <c r="B290" s="8" t="s">
        <v>576</v>
      </c>
      <c r="C290" s="8" t="s">
        <v>577</v>
      </c>
      <c r="D290" s="8">
        <f>IFERROR(__xludf.DUMMYFUNCTION("IFERROR(VLOOKUP(C290,IMPORTRANGE(""https://docs.google.com/spreadsheets/d/10KlTSftfC81rs2H7Cf6EIR7VWS3omC-2kwzaThHv16k/edit#gid=0"",""NSE Input VaR+ELM!D:J""),7,0),100)"),26.36)</f>
        <v>26.36</v>
      </c>
      <c r="E290" s="7">
        <f t="shared" si="1"/>
        <v>73.64</v>
      </c>
      <c r="F290" s="9" t="s">
        <v>217</v>
      </c>
      <c r="G290" s="7"/>
    </row>
    <row r="291">
      <c r="A291" s="7">
        <v>285.0</v>
      </c>
      <c r="B291" s="8" t="s">
        <v>578</v>
      </c>
      <c r="C291" s="8" t="s">
        <v>579</v>
      </c>
      <c r="D291" s="8">
        <f>IFERROR(__xludf.DUMMYFUNCTION("IFERROR(VLOOKUP(C291,IMPORTRANGE(""https://docs.google.com/spreadsheets/d/10KlTSftfC81rs2H7Cf6EIR7VWS3omC-2kwzaThHv16k/edit#gid=0"",""NSE Input VaR+ELM!D:J""),7,0),100)"),22.94)</f>
        <v>22.94</v>
      </c>
      <c r="E291" s="7">
        <f t="shared" si="1"/>
        <v>77.06</v>
      </c>
      <c r="F291" s="9" t="s">
        <v>10</v>
      </c>
      <c r="G291" s="7"/>
    </row>
    <row r="292">
      <c r="A292" s="7">
        <v>286.0</v>
      </c>
      <c r="B292" s="8" t="s">
        <v>580</v>
      </c>
      <c r="C292" s="8" t="s">
        <v>581</v>
      </c>
      <c r="D292" s="8">
        <f>IFERROR(__xludf.DUMMYFUNCTION("IFERROR(VLOOKUP(C292,IMPORTRANGE(""https://docs.google.com/spreadsheets/d/10KlTSftfC81rs2H7Cf6EIR7VWS3omC-2kwzaThHv16k/edit#gid=0"",""NSE Input VaR+ELM!D:J""),7,0),100)"),19.32)</f>
        <v>19.32</v>
      </c>
      <c r="E292" s="7">
        <f t="shared" si="1"/>
        <v>80.68</v>
      </c>
      <c r="F292" s="9" t="s">
        <v>10</v>
      </c>
      <c r="G292" s="7"/>
    </row>
    <row r="293">
      <c r="A293" s="7">
        <v>287.0</v>
      </c>
      <c r="B293" s="8" t="s">
        <v>582</v>
      </c>
      <c r="C293" s="8" t="s">
        <v>583</v>
      </c>
      <c r="D293" s="8">
        <f>IFERROR(__xludf.DUMMYFUNCTION("IFERROR(VLOOKUP(C293,IMPORTRANGE(""https://docs.google.com/spreadsheets/d/10KlTSftfC81rs2H7Cf6EIR7VWS3omC-2kwzaThHv16k/edit#gid=0"",""NSE Input VaR+ELM!D:J""),7,0),100)"),20.81)</f>
        <v>20.81</v>
      </c>
      <c r="E293" s="7">
        <f t="shared" si="1"/>
        <v>79.19</v>
      </c>
      <c r="F293" s="9" t="s">
        <v>10</v>
      </c>
      <c r="G293" s="7"/>
    </row>
    <row r="294">
      <c r="A294" s="7">
        <v>288.0</v>
      </c>
      <c r="B294" s="8" t="s">
        <v>584</v>
      </c>
      <c r="C294" s="8" t="s">
        <v>585</v>
      </c>
      <c r="D294" s="8">
        <f>IFERROR(__xludf.DUMMYFUNCTION("IFERROR(VLOOKUP(C294,IMPORTRANGE(""https://docs.google.com/spreadsheets/d/10KlTSftfC81rs2H7Cf6EIR7VWS3omC-2kwzaThHv16k/edit#gid=0"",""NSE Input VaR+ELM!D:J""),7,0),100)"),17.22)</f>
        <v>17.22</v>
      </c>
      <c r="E294" s="7">
        <f t="shared" si="1"/>
        <v>82.78</v>
      </c>
      <c r="F294" s="9" t="s">
        <v>10</v>
      </c>
      <c r="G294" s="7"/>
    </row>
    <row r="295">
      <c r="A295" s="7">
        <v>289.0</v>
      </c>
      <c r="B295" s="8" t="s">
        <v>586</v>
      </c>
      <c r="C295" s="8" t="s">
        <v>587</v>
      </c>
      <c r="D295" s="8">
        <f>IFERROR(__xludf.DUMMYFUNCTION("IFERROR(VLOOKUP(C295,IMPORTRANGE(""https://docs.google.com/spreadsheets/d/10KlTSftfC81rs2H7Cf6EIR7VWS3omC-2kwzaThHv16k/edit#gid=0"",""NSE Input VaR+ELM!D:J""),7,0),100)"),24.46)</f>
        <v>24.46</v>
      </c>
      <c r="E295" s="7">
        <f t="shared" si="1"/>
        <v>75.54</v>
      </c>
      <c r="F295" s="9" t="s">
        <v>217</v>
      </c>
      <c r="G295" s="7"/>
    </row>
    <row r="296">
      <c r="A296" s="7">
        <v>290.0</v>
      </c>
      <c r="B296" s="8" t="s">
        <v>588</v>
      </c>
      <c r="C296" s="8" t="s">
        <v>589</v>
      </c>
      <c r="D296" s="8">
        <f>IFERROR(__xludf.DUMMYFUNCTION("IFERROR(VLOOKUP(C296,IMPORTRANGE(""https://docs.google.com/spreadsheets/d/10KlTSftfC81rs2H7Cf6EIR7VWS3omC-2kwzaThHv16k/edit#gid=0"",""NSE Input VaR+ELM!D:J""),7,0),100)"),15.5)</f>
        <v>15.5</v>
      </c>
      <c r="E296" s="7">
        <f t="shared" si="1"/>
        <v>84.5</v>
      </c>
      <c r="F296" s="9" t="s">
        <v>10</v>
      </c>
      <c r="G296" s="7"/>
    </row>
    <row r="297">
      <c r="A297" s="7">
        <v>291.0</v>
      </c>
      <c r="B297" s="8" t="s">
        <v>590</v>
      </c>
      <c r="C297" s="8" t="s">
        <v>591</v>
      </c>
      <c r="D297" s="8">
        <f>IFERROR(__xludf.DUMMYFUNCTION("IFERROR(VLOOKUP(C297,IMPORTRANGE(""https://docs.google.com/spreadsheets/d/10KlTSftfC81rs2H7Cf6EIR7VWS3omC-2kwzaThHv16k/edit#gid=0"",""NSE Input VaR+ELM!D:J""),7,0),100)"),18.86)</f>
        <v>18.86</v>
      </c>
      <c r="E297" s="7">
        <f t="shared" si="1"/>
        <v>81.14</v>
      </c>
      <c r="F297" s="9" t="s">
        <v>10</v>
      </c>
      <c r="G297" s="7"/>
    </row>
    <row r="298">
      <c r="A298" s="7">
        <v>292.0</v>
      </c>
      <c r="B298" s="8" t="s">
        <v>592</v>
      </c>
      <c r="C298" s="8" t="s">
        <v>593</v>
      </c>
      <c r="D298" s="8">
        <f>IFERROR(__xludf.DUMMYFUNCTION("IFERROR(VLOOKUP(C298,IMPORTRANGE(""https://docs.google.com/spreadsheets/d/10KlTSftfC81rs2H7Cf6EIR7VWS3omC-2kwzaThHv16k/edit#gid=0"",""NSE Input VaR+ELM!D:J""),7,0),100)"),35.0)</f>
        <v>35</v>
      </c>
      <c r="E298" s="7">
        <f t="shared" si="1"/>
        <v>65</v>
      </c>
      <c r="F298" s="9" t="s">
        <v>10</v>
      </c>
      <c r="G298" s="7"/>
    </row>
    <row r="299">
      <c r="A299" s="7">
        <v>293.0</v>
      </c>
      <c r="B299" s="8" t="s">
        <v>594</v>
      </c>
      <c r="C299" s="8" t="s">
        <v>595</v>
      </c>
      <c r="D299" s="8">
        <f>IFERROR(__xludf.DUMMYFUNCTION("IFERROR(VLOOKUP(C299,IMPORTRANGE(""https://docs.google.com/spreadsheets/d/10KlTSftfC81rs2H7Cf6EIR7VWS3omC-2kwzaThHv16k/edit#gid=0"",""NSE Input VaR+ELM!D:J""),7,0),100)"),22.03)</f>
        <v>22.03</v>
      </c>
      <c r="E299" s="7">
        <f t="shared" si="1"/>
        <v>77.97</v>
      </c>
      <c r="F299" s="9" t="s">
        <v>10</v>
      </c>
      <c r="G299" s="7"/>
    </row>
    <row r="300">
      <c r="A300" s="7">
        <v>294.0</v>
      </c>
      <c r="B300" s="8" t="s">
        <v>596</v>
      </c>
      <c r="C300" s="8" t="s">
        <v>597</v>
      </c>
      <c r="D300" s="8">
        <f>IFERROR(__xludf.DUMMYFUNCTION("IFERROR(VLOOKUP(C300,IMPORTRANGE(""https://docs.google.com/spreadsheets/d/10KlTSftfC81rs2H7Cf6EIR7VWS3omC-2kwzaThHv16k/edit#gid=0"",""NSE Input VaR+ELM!D:J""),7,0),100)"),22.44)</f>
        <v>22.44</v>
      </c>
      <c r="E300" s="7">
        <f t="shared" si="1"/>
        <v>77.56</v>
      </c>
      <c r="F300" s="9" t="s">
        <v>10</v>
      </c>
      <c r="G300" s="7"/>
    </row>
    <row r="301">
      <c r="A301" s="7">
        <v>295.0</v>
      </c>
      <c r="B301" s="8" t="s">
        <v>598</v>
      </c>
      <c r="C301" s="8" t="s">
        <v>599</v>
      </c>
      <c r="D301" s="8">
        <f>IFERROR(__xludf.DUMMYFUNCTION("IFERROR(VLOOKUP(C301,IMPORTRANGE(""https://docs.google.com/spreadsheets/d/10KlTSftfC81rs2H7Cf6EIR7VWS3omC-2kwzaThHv16k/edit#gid=0"",""NSE Input VaR+ELM!D:J""),7,0),100)"),19.79)</f>
        <v>19.79</v>
      </c>
      <c r="E301" s="7">
        <f t="shared" si="1"/>
        <v>80.21</v>
      </c>
      <c r="F301" s="9" t="s">
        <v>217</v>
      </c>
      <c r="G301" s="7"/>
    </row>
    <row r="302">
      <c r="A302" s="7">
        <v>296.0</v>
      </c>
      <c r="B302" s="8" t="s">
        <v>600</v>
      </c>
      <c r="C302" s="8" t="s">
        <v>601</v>
      </c>
      <c r="D302" s="8">
        <f>IFERROR(__xludf.DUMMYFUNCTION("IFERROR(VLOOKUP(C302,IMPORTRANGE(""https://docs.google.com/spreadsheets/d/10KlTSftfC81rs2H7Cf6EIR7VWS3omC-2kwzaThHv16k/edit#gid=0"",""NSE Input VaR+ELM!D:J""),7,0),100)"),21.7)</f>
        <v>21.7</v>
      </c>
      <c r="E302" s="7">
        <f t="shared" si="1"/>
        <v>78.3</v>
      </c>
      <c r="F302" s="9" t="s">
        <v>10</v>
      </c>
      <c r="G302" s="7"/>
    </row>
    <row r="303">
      <c r="A303" s="7">
        <v>297.0</v>
      </c>
      <c r="B303" s="8" t="s">
        <v>602</v>
      </c>
      <c r="C303" s="8" t="s">
        <v>603</v>
      </c>
      <c r="D303" s="8">
        <f>IFERROR(__xludf.DUMMYFUNCTION("IFERROR(VLOOKUP(C303,IMPORTRANGE(""https://docs.google.com/spreadsheets/d/10KlTSftfC81rs2H7Cf6EIR7VWS3omC-2kwzaThHv16k/edit#gid=0"",""NSE Input VaR+ELM!D:J""),7,0),100)"),19.79)</f>
        <v>19.79</v>
      </c>
      <c r="E303" s="7">
        <f t="shared" si="1"/>
        <v>80.21</v>
      </c>
      <c r="F303" s="9" t="s">
        <v>10</v>
      </c>
      <c r="G303" s="7"/>
    </row>
    <row r="304">
      <c r="A304" s="7">
        <v>298.0</v>
      </c>
      <c r="B304" s="8" t="s">
        <v>604</v>
      </c>
      <c r="C304" s="8" t="s">
        <v>605</v>
      </c>
      <c r="D304" s="8">
        <f>IFERROR(__xludf.DUMMYFUNCTION("IFERROR(VLOOKUP(C304,IMPORTRANGE(""https://docs.google.com/spreadsheets/d/10KlTSftfC81rs2H7Cf6EIR7VWS3omC-2kwzaThHv16k/edit#gid=0"",""NSE Input VaR+ELM!D:J""),7,0),100)"),29.77)</f>
        <v>29.77</v>
      </c>
      <c r="E304" s="7">
        <f t="shared" si="1"/>
        <v>70.23</v>
      </c>
      <c r="F304" s="9" t="s">
        <v>10</v>
      </c>
      <c r="G304" s="7"/>
    </row>
    <row r="305">
      <c r="A305" s="7">
        <v>299.0</v>
      </c>
      <c r="B305" s="8" t="s">
        <v>606</v>
      </c>
      <c r="C305" s="8" t="s">
        <v>607</v>
      </c>
      <c r="D305" s="8">
        <f>IFERROR(__xludf.DUMMYFUNCTION("IFERROR(VLOOKUP(C305,IMPORTRANGE(""https://docs.google.com/spreadsheets/d/10KlTSftfC81rs2H7Cf6EIR7VWS3omC-2kwzaThHv16k/edit#gid=0"",""NSE Input VaR+ELM!D:J""),7,0),100)"),12.5)</f>
        <v>12.5</v>
      </c>
      <c r="E305" s="7">
        <f t="shared" si="1"/>
        <v>87.5</v>
      </c>
      <c r="F305" s="9" t="s">
        <v>217</v>
      </c>
      <c r="G305" s="7"/>
    </row>
    <row r="306">
      <c r="A306" s="7">
        <v>300.0</v>
      </c>
      <c r="B306" s="8" t="s">
        <v>608</v>
      </c>
      <c r="C306" s="8" t="s">
        <v>609</v>
      </c>
      <c r="D306" s="8">
        <f>IFERROR(__xludf.DUMMYFUNCTION("IFERROR(VLOOKUP(C306,IMPORTRANGE(""https://docs.google.com/spreadsheets/d/10KlTSftfC81rs2H7Cf6EIR7VWS3omC-2kwzaThHv16k/edit#gid=0"",""NSE Input VaR+ELM!D:J""),7,0),100)"),12.5)</f>
        <v>12.5</v>
      </c>
      <c r="E306" s="7">
        <f t="shared" si="1"/>
        <v>87.5</v>
      </c>
      <c r="F306" s="9" t="s">
        <v>10</v>
      </c>
      <c r="G306" s="7"/>
    </row>
    <row r="307">
      <c r="A307" s="7">
        <v>301.0</v>
      </c>
      <c r="B307" s="8" t="s">
        <v>610</v>
      </c>
      <c r="C307" s="8" t="s">
        <v>611</v>
      </c>
      <c r="D307" s="8">
        <f>IFERROR(__xludf.DUMMYFUNCTION("IFERROR(VLOOKUP(C307,IMPORTRANGE(""https://docs.google.com/spreadsheets/d/10KlTSftfC81rs2H7Cf6EIR7VWS3omC-2kwzaThHv16k/edit#gid=0"",""NSE Input VaR+ELM!D:J""),7,0),100)"),14.44)</f>
        <v>14.44</v>
      </c>
      <c r="E307" s="7">
        <f t="shared" si="1"/>
        <v>85.56</v>
      </c>
      <c r="F307" s="9" t="s">
        <v>10</v>
      </c>
      <c r="G307" s="7"/>
    </row>
    <row r="308">
      <c r="A308" s="7">
        <v>302.0</v>
      </c>
      <c r="B308" s="8" t="s">
        <v>612</v>
      </c>
      <c r="C308" s="8" t="s">
        <v>613</v>
      </c>
      <c r="D308" s="8">
        <f>IFERROR(__xludf.DUMMYFUNCTION("IFERROR(VLOOKUP(C308,IMPORTRANGE(""https://docs.google.com/spreadsheets/d/10KlTSftfC81rs2H7Cf6EIR7VWS3omC-2kwzaThHv16k/edit#gid=0"",""NSE Input VaR+ELM!D:J""),7,0),100)"),20.34)</f>
        <v>20.34</v>
      </c>
      <c r="E308" s="7">
        <f t="shared" si="1"/>
        <v>79.66</v>
      </c>
      <c r="F308" s="9" t="s">
        <v>10</v>
      </c>
      <c r="G308" s="7"/>
    </row>
    <row r="309">
      <c r="A309" s="7">
        <v>303.0</v>
      </c>
      <c r="B309" s="8" t="s">
        <v>614</v>
      </c>
      <c r="C309" s="8" t="s">
        <v>615</v>
      </c>
      <c r="D309" s="8">
        <f>IFERROR(__xludf.DUMMYFUNCTION("IFERROR(VLOOKUP(C309,IMPORTRANGE(""https://docs.google.com/spreadsheets/d/10KlTSftfC81rs2H7Cf6EIR7VWS3omC-2kwzaThHv16k/edit#gid=0"",""NSE Input VaR+ELM!D:J""),7,0),100)"),17.13)</f>
        <v>17.13</v>
      </c>
      <c r="E309" s="7">
        <f t="shared" si="1"/>
        <v>82.87</v>
      </c>
      <c r="F309" s="9" t="s">
        <v>10</v>
      </c>
      <c r="G309" s="7"/>
    </row>
    <row r="310">
      <c r="A310" s="7">
        <v>304.0</v>
      </c>
      <c r="B310" s="8" t="s">
        <v>616</v>
      </c>
      <c r="C310" s="8" t="s">
        <v>617</v>
      </c>
      <c r="D310" s="8">
        <f>IFERROR(__xludf.DUMMYFUNCTION("IFERROR(VLOOKUP(C310,IMPORTRANGE(""https://docs.google.com/spreadsheets/d/10KlTSftfC81rs2H7Cf6EIR7VWS3omC-2kwzaThHv16k/edit#gid=0"",""NSE Input VaR+ELM!D:J""),7,0),100)"),50.0)</f>
        <v>50</v>
      </c>
      <c r="E310" s="7">
        <f t="shared" si="1"/>
        <v>50</v>
      </c>
      <c r="F310" s="9" t="s">
        <v>217</v>
      </c>
      <c r="G310" s="7"/>
    </row>
    <row r="311">
      <c r="A311" s="7">
        <v>305.0</v>
      </c>
      <c r="B311" s="8" t="s">
        <v>618</v>
      </c>
      <c r="C311" s="8" t="s">
        <v>619</v>
      </c>
      <c r="D311" s="8">
        <f>IFERROR(__xludf.DUMMYFUNCTION("IFERROR(VLOOKUP(C311,IMPORTRANGE(""https://docs.google.com/spreadsheets/d/10KlTSftfC81rs2H7Cf6EIR7VWS3omC-2kwzaThHv16k/edit#gid=0"",""NSE Input VaR+ELM!D:J""),7,0),100)"),16.32)</f>
        <v>16.32</v>
      </c>
      <c r="E311" s="7">
        <f t="shared" si="1"/>
        <v>83.68</v>
      </c>
      <c r="F311" s="9" t="s">
        <v>10</v>
      </c>
      <c r="G311" s="7"/>
    </row>
    <row r="312">
      <c r="A312" s="7">
        <v>306.0</v>
      </c>
      <c r="B312" s="8" t="s">
        <v>620</v>
      </c>
      <c r="C312" s="8" t="s">
        <v>621</v>
      </c>
      <c r="D312" s="8">
        <f>IFERROR(__xludf.DUMMYFUNCTION("IFERROR(VLOOKUP(C312,IMPORTRANGE(""https://docs.google.com/spreadsheets/d/10KlTSftfC81rs2H7Cf6EIR7VWS3omC-2kwzaThHv16k/edit#gid=0"",""NSE Input VaR+ELM!D:J""),7,0),100)"),20.24)</f>
        <v>20.24</v>
      </c>
      <c r="E312" s="7">
        <f t="shared" si="1"/>
        <v>79.76</v>
      </c>
      <c r="F312" s="9" t="s">
        <v>217</v>
      </c>
      <c r="G312" s="7"/>
    </row>
    <row r="313">
      <c r="A313" s="7">
        <v>307.0</v>
      </c>
      <c r="B313" s="8" t="s">
        <v>622</v>
      </c>
      <c r="C313" s="8" t="s">
        <v>623</v>
      </c>
      <c r="D313" s="8">
        <f>IFERROR(__xludf.DUMMYFUNCTION("IFERROR(VLOOKUP(C313,IMPORTRANGE(""https://docs.google.com/spreadsheets/d/10KlTSftfC81rs2H7Cf6EIR7VWS3omC-2kwzaThHv16k/edit#gid=0"",""NSE Input VaR+ELM!D:J""),7,0),100)"),13.93)</f>
        <v>13.93</v>
      </c>
      <c r="E313" s="7">
        <f t="shared" si="1"/>
        <v>86.07</v>
      </c>
      <c r="F313" s="9" t="s">
        <v>10</v>
      </c>
      <c r="G313" s="7"/>
    </row>
    <row r="314">
      <c r="A314" s="7">
        <v>308.0</v>
      </c>
      <c r="B314" s="8" t="s">
        <v>624</v>
      </c>
      <c r="C314" s="8" t="s">
        <v>625</v>
      </c>
      <c r="D314" s="8">
        <f>IFERROR(__xludf.DUMMYFUNCTION("IFERROR(VLOOKUP(C314,IMPORTRANGE(""https://docs.google.com/spreadsheets/d/10KlTSftfC81rs2H7Cf6EIR7VWS3omC-2kwzaThHv16k/edit#gid=0"",""NSE Input VaR+ELM!D:J""),7,0),100)"),27.74)</f>
        <v>27.74</v>
      </c>
      <c r="E314" s="7">
        <f t="shared" si="1"/>
        <v>72.26</v>
      </c>
      <c r="F314" s="9" t="s">
        <v>10</v>
      </c>
      <c r="G314" s="7"/>
    </row>
    <row r="315">
      <c r="A315" s="7">
        <v>309.0</v>
      </c>
      <c r="B315" s="8" t="s">
        <v>626</v>
      </c>
      <c r="C315" s="8" t="s">
        <v>627</v>
      </c>
      <c r="D315" s="8">
        <f>IFERROR(__xludf.DUMMYFUNCTION("IFERROR(VLOOKUP(C315,IMPORTRANGE(""https://docs.google.com/spreadsheets/d/10KlTSftfC81rs2H7Cf6EIR7VWS3omC-2kwzaThHv16k/edit#gid=0"",""NSE Input VaR+ELM!D:J""),7,0),100)"),14.61)</f>
        <v>14.61</v>
      </c>
      <c r="E315" s="7">
        <f t="shared" si="1"/>
        <v>85.39</v>
      </c>
      <c r="F315" s="9" t="s">
        <v>10</v>
      </c>
      <c r="G315" s="7"/>
    </row>
    <row r="316">
      <c r="A316" s="7">
        <v>310.0</v>
      </c>
      <c r="B316" s="8" t="s">
        <v>628</v>
      </c>
      <c r="C316" s="8" t="s">
        <v>629</v>
      </c>
      <c r="D316" s="8">
        <f>IFERROR(__xludf.DUMMYFUNCTION("IFERROR(VLOOKUP(C316,IMPORTRANGE(""https://docs.google.com/spreadsheets/d/10KlTSftfC81rs2H7Cf6EIR7VWS3omC-2kwzaThHv16k/edit#gid=0"",""NSE Input VaR+ELM!D:J""),7,0),100)"),32.67)</f>
        <v>32.67</v>
      </c>
      <c r="E316" s="7">
        <f t="shared" si="1"/>
        <v>67.33</v>
      </c>
      <c r="F316" s="9" t="s">
        <v>10</v>
      </c>
      <c r="G316" s="7"/>
    </row>
    <row r="317">
      <c r="A317" s="7">
        <v>311.0</v>
      </c>
      <c r="B317" s="8" t="s">
        <v>630</v>
      </c>
      <c r="C317" s="8" t="s">
        <v>631</v>
      </c>
      <c r="D317" s="8">
        <f>IFERROR(__xludf.DUMMYFUNCTION("IFERROR(VLOOKUP(C317,IMPORTRANGE(""https://docs.google.com/spreadsheets/d/10KlTSftfC81rs2H7Cf6EIR7VWS3omC-2kwzaThHv16k/edit#gid=0"",""NSE Input VaR+ELM!D:J""),7,0),100)"),21.36)</f>
        <v>21.36</v>
      </c>
      <c r="E317" s="7">
        <f t="shared" si="1"/>
        <v>78.64</v>
      </c>
      <c r="F317" s="9" t="s">
        <v>10</v>
      </c>
      <c r="G317" s="7"/>
    </row>
    <row r="318">
      <c r="A318" s="7">
        <v>312.0</v>
      </c>
      <c r="B318" s="8" t="s">
        <v>632</v>
      </c>
      <c r="C318" s="8" t="s">
        <v>633</v>
      </c>
      <c r="D318" s="8">
        <f>IFERROR(__xludf.DUMMYFUNCTION("IFERROR(VLOOKUP(C318,IMPORTRANGE(""https://docs.google.com/spreadsheets/d/10KlTSftfC81rs2H7Cf6EIR7VWS3omC-2kwzaThHv16k/edit#gid=0"",""NSE Input VaR+ELM!D:J""),7,0),100)"),30.69)</f>
        <v>30.69</v>
      </c>
      <c r="E318" s="7">
        <f t="shared" si="1"/>
        <v>69.31</v>
      </c>
      <c r="F318" s="9" t="s">
        <v>10</v>
      </c>
      <c r="G318" s="7"/>
    </row>
    <row r="319">
      <c r="A319" s="7">
        <v>313.0</v>
      </c>
      <c r="B319" s="8" t="s">
        <v>634</v>
      </c>
      <c r="C319" s="8" t="s">
        <v>635</v>
      </c>
      <c r="D319" s="8">
        <f>IFERROR(__xludf.DUMMYFUNCTION("IFERROR(VLOOKUP(C319,IMPORTRANGE(""https://docs.google.com/spreadsheets/d/10KlTSftfC81rs2H7Cf6EIR7VWS3omC-2kwzaThHv16k/edit#gid=0"",""NSE Input VaR+ELM!D:J""),7,0),100)"),17.94)</f>
        <v>17.94</v>
      </c>
      <c r="E319" s="7">
        <f t="shared" si="1"/>
        <v>82.06</v>
      </c>
      <c r="F319" s="9" t="s">
        <v>10</v>
      </c>
      <c r="G319" s="7"/>
    </row>
    <row r="320">
      <c r="A320" s="7">
        <v>314.0</v>
      </c>
      <c r="B320" s="8" t="s">
        <v>636</v>
      </c>
      <c r="C320" s="8" t="s">
        <v>637</v>
      </c>
      <c r="D320" s="8">
        <f>IFERROR(__xludf.DUMMYFUNCTION("IFERROR(VLOOKUP(C320,IMPORTRANGE(""https://docs.google.com/spreadsheets/d/10KlTSftfC81rs2H7Cf6EIR7VWS3omC-2kwzaThHv16k/edit#gid=0"",""NSE Input VaR+ELM!D:J""),7,0),100)"),25.53)</f>
        <v>25.53</v>
      </c>
      <c r="E320" s="7">
        <f t="shared" si="1"/>
        <v>74.47</v>
      </c>
      <c r="F320" s="9" t="s">
        <v>10</v>
      </c>
      <c r="G320" s="7"/>
    </row>
    <row r="321">
      <c r="A321" s="7">
        <v>315.0</v>
      </c>
      <c r="B321" s="8" t="s">
        <v>638</v>
      </c>
      <c r="C321" s="8" t="s">
        <v>639</v>
      </c>
      <c r="D321" s="8">
        <f>IFERROR(__xludf.DUMMYFUNCTION("IFERROR(VLOOKUP(C321,IMPORTRANGE(""https://docs.google.com/spreadsheets/d/10KlTSftfC81rs2H7Cf6EIR7VWS3omC-2kwzaThHv16k/edit#gid=0"",""NSE Input VaR+ELM!D:J""),7,0),100)"),25.42)</f>
        <v>25.42</v>
      </c>
      <c r="E321" s="7">
        <f t="shared" si="1"/>
        <v>74.58</v>
      </c>
      <c r="F321" s="9" t="s">
        <v>217</v>
      </c>
      <c r="G321" s="7"/>
    </row>
    <row r="322">
      <c r="A322" s="7">
        <v>316.0</v>
      </c>
      <c r="B322" s="8" t="s">
        <v>640</v>
      </c>
      <c r="C322" s="8" t="s">
        <v>641</v>
      </c>
      <c r="D322" s="8">
        <f>IFERROR(__xludf.DUMMYFUNCTION("IFERROR(VLOOKUP(C322,IMPORTRANGE(""https://docs.google.com/spreadsheets/d/10KlTSftfC81rs2H7Cf6EIR7VWS3omC-2kwzaThHv16k/edit#gid=0"",""NSE Input VaR+ELM!D:J""),7,0),100)"),24.33)</f>
        <v>24.33</v>
      </c>
      <c r="E322" s="7">
        <f t="shared" si="1"/>
        <v>75.67</v>
      </c>
      <c r="F322" s="9" t="s">
        <v>10</v>
      </c>
      <c r="G322" s="7"/>
    </row>
    <row r="323">
      <c r="A323" s="7">
        <v>317.0</v>
      </c>
      <c r="B323" s="8" t="s">
        <v>642</v>
      </c>
      <c r="C323" s="8" t="s">
        <v>643</v>
      </c>
      <c r="D323" s="8">
        <f>IFERROR(__xludf.DUMMYFUNCTION("IFERROR(VLOOKUP(C323,IMPORTRANGE(""https://docs.google.com/spreadsheets/d/10KlTSftfC81rs2H7Cf6EIR7VWS3omC-2kwzaThHv16k/edit#gid=0"",""NSE Input VaR+ELM!D:J""),7,0),100)"),16.31)</f>
        <v>16.31</v>
      </c>
      <c r="E323" s="7">
        <f t="shared" si="1"/>
        <v>83.69</v>
      </c>
      <c r="F323" s="9" t="s">
        <v>10</v>
      </c>
      <c r="G323" s="7"/>
    </row>
    <row r="324">
      <c r="A324" s="7">
        <v>318.0</v>
      </c>
      <c r="B324" s="8" t="s">
        <v>644</v>
      </c>
      <c r="C324" s="8" t="s">
        <v>645</v>
      </c>
      <c r="D324" s="8">
        <f>IFERROR(__xludf.DUMMYFUNCTION("IFERROR(VLOOKUP(C324,IMPORTRANGE(""https://docs.google.com/spreadsheets/d/10KlTSftfC81rs2H7Cf6EIR7VWS3omC-2kwzaThHv16k/edit#gid=0"",""NSE Input VaR+ELM!D:J""),7,0),100)"),24.02)</f>
        <v>24.02</v>
      </c>
      <c r="E324" s="7">
        <f t="shared" si="1"/>
        <v>75.98</v>
      </c>
      <c r="F324" s="9" t="s">
        <v>10</v>
      </c>
      <c r="G324" s="7"/>
    </row>
    <row r="325">
      <c r="A325" s="7">
        <v>319.0</v>
      </c>
      <c r="B325" s="8" t="s">
        <v>646</v>
      </c>
      <c r="C325" s="8" t="s">
        <v>647</v>
      </c>
      <c r="D325" s="8">
        <f>IFERROR(__xludf.DUMMYFUNCTION("IFERROR(VLOOKUP(C325,IMPORTRANGE(""https://docs.google.com/spreadsheets/d/10KlTSftfC81rs2H7Cf6EIR7VWS3omC-2kwzaThHv16k/edit#gid=0"",""NSE Input VaR+ELM!D:J""),7,0),100)"),16.54)</f>
        <v>16.54</v>
      </c>
      <c r="E325" s="7">
        <f t="shared" si="1"/>
        <v>83.46</v>
      </c>
      <c r="F325" s="9" t="s">
        <v>10</v>
      </c>
      <c r="G325" s="7"/>
    </row>
    <row r="326">
      <c r="A326" s="7">
        <v>320.0</v>
      </c>
      <c r="B326" s="8" t="s">
        <v>648</v>
      </c>
      <c r="C326" s="8" t="s">
        <v>649</v>
      </c>
      <c r="D326" s="8">
        <f>IFERROR(__xludf.DUMMYFUNCTION("IFERROR(VLOOKUP(C326,IMPORTRANGE(""https://docs.google.com/spreadsheets/d/10KlTSftfC81rs2H7Cf6EIR7VWS3omC-2kwzaThHv16k/edit#gid=0"",""NSE Input VaR+ELM!D:J""),7,0),100)"),24.11)</f>
        <v>24.11</v>
      </c>
      <c r="E326" s="7">
        <f t="shared" si="1"/>
        <v>75.89</v>
      </c>
      <c r="F326" s="9" t="s">
        <v>10</v>
      </c>
      <c r="G326" s="7"/>
    </row>
    <row r="327">
      <c r="A327" s="7">
        <v>321.0</v>
      </c>
      <c r="B327" s="8" t="s">
        <v>650</v>
      </c>
      <c r="C327" s="8" t="s">
        <v>651</v>
      </c>
      <c r="D327" s="8">
        <f>IFERROR(__xludf.DUMMYFUNCTION("IFERROR(VLOOKUP(C327,IMPORTRANGE(""https://docs.google.com/spreadsheets/d/10KlTSftfC81rs2H7Cf6EIR7VWS3omC-2kwzaThHv16k/edit#gid=0"",""NSE Input VaR+ELM!D:J""),7,0),100)"),23.82)</f>
        <v>23.82</v>
      </c>
      <c r="E327" s="7">
        <f t="shared" si="1"/>
        <v>76.18</v>
      </c>
      <c r="F327" s="9" t="s">
        <v>10</v>
      </c>
      <c r="G327" s="7"/>
    </row>
    <row r="328">
      <c r="A328" s="7">
        <v>322.0</v>
      </c>
      <c r="B328" s="8" t="s">
        <v>652</v>
      </c>
      <c r="C328" s="8" t="s">
        <v>653</v>
      </c>
      <c r="D328" s="8">
        <f>IFERROR(__xludf.DUMMYFUNCTION("IFERROR(VLOOKUP(C328,IMPORTRANGE(""https://docs.google.com/spreadsheets/d/10KlTSftfC81rs2H7Cf6EIR7VWS3omC-2kwzaThHv16k/edit#gid=0"",""NSE Input VaR+ELM!D:J""),7,0),100)"),18.41)</f>
        <v>18.41</v>
      </c>
      <c r="E328" s="7">
        <f t="shared" si="1"/>
        <v>81.59</v>
      </c>
      <c r="F328" s="9" t="s">
        <v>10</v>
      </c>
      <c r="G328" s="7"/>
    </row>
    <row r="329">
      <c r="A329" s="7">
        <v>323.0</v>
      </c>
      <c r="B329" s="8" t="s">
        <v>654</v>
      </c>
      <c r="C329" s="8" t="s">
        <v>655</v>
      </c>
      <c r="D329" s="8">
        <f>IFERROR(__xludf.DUMMYFUNCTION("IFERROR(VLOOKUP(C329,IMPORTRANGE(""https://docs.google.com/spreadsheets/d/10KlTSftfC81rs2H7Cf6EIR7VWS3omC-2kwzaThHv16k/edit#gid=0"",""NSE Input VaR+ELM!D:J""),7,0),100)"),16.46)</f>
        <v>16.46</v>
      </c>
      <c r="E329" s="7">
        <f t="shared" si="1"/>
        <v>83.54</v>
      </c>
      <c r="F329" s="9" t="s">
        <v>10</v>
      </c>
      <c r="G329" s="7"/>
    </row>
    <row r="330">
      <c r="A330" s="7">
        <v>324.0</v>
      </c>
      <c r="B330" s="8" t="s">
        <v>656</v>
      </c>
      <c r="C330" s="8" t="s">
        <v>657</v>
      </c>
      <c r="D330" s="8">
        <f>IFERROR(__xludf.DUMMYFUNCTION("IFERROR(VLOOKUP(C330,IMPORTRANGE(""https://docs.google.com/spreadsheets/d/10KlTSftfC81rs2H7Cf6EIR7VWS3omC-2kwzaThHv16k/edit#gid=0"",""NSE Input VaR+ELM!D:J""),7,0),100)"),17.77)</f>
        <v>17.77</v>
      </c>
      <c r="E330" s="7">
        <f t="shared" si="1"/>
        <v>82.23</v>
      </c>
      <c r="F330" s="9" t="s">
        <v>10</v>
      </c>
      <c r="G330" s="7"/>
    </row>
    <row r="331">
      <c r="A331" s="7">
        <v>325.0</v>
      </c>
      <c r="B331" s="8" t="s">
        <v>658</v>
      </c>
      <c r="C331" s="8" t="s">
        <v>659</v>
      </c>
      <c r="D331" s="8">
        <f>IFERROR(__xludf.DUMMYFUNCTION("IFERROR(VLOOKUP(C331,IMPORTRANGE(""https://docs.google.com/spreadsheets/d/10KlTSftfC81rs2H7Cf6EIR7VWS3omC-2kwzaThHv16k/edit#gid=0"",""NSE Input VaR+ELM!D:J""),7,0),100)"),13.14)</f>
        <v>13.14</v>
      </c>
      <c r="E331" s="7">
        <f t="shared" si="1"/>
        <v>86.86</v>
      </c>
      <c r="F331" s="9" t="s">
        <v>10</v>
      </c>
      <c r="G331" s="7"/>
    </row>
    <row r="332">
      <c r="A332" s="7">
        <v>326.0</v>
      </c>
      <c r="B332" s="8" t="s">
        <v>660</v>
      </c>
      <c r="C332" s="8" t="s">
        <v>661</v>
      </c>
      <c r="D332" s="8">
        <f>IFERROR(__xludf.DUMMYFUNCTION("IFERROR(VLOOKUP(C332,IMPORTRANGE(""https://docs.google.com/spreadsheets/d/10KlTSftfC81rs2H7Cf6EIR7VWS3omC-2kwzaThHv16k/edit#gid=0"",""NSE Input VaR+ELM!D:J""),7,0),100)"),17.72)</f>
        <v>17.72</v>
      </c>
      <c r="E332" s="7">
        <f t="shared" si="1"/>
        <v>82.28</v>
      </c>
      <c r="F332" s="9" t="s">
        <v>10</v>
      </c>
      <c r="G332" s="7"/>
    </row>
    <row r="333">
      <c r="A333" s="7">
        <v>327.0</v>
      </c>
      <c r="B333" s="8" t="s">
        <v>662</v>
      </c>
      <c r="C333" s="8" t="s">
        <v>663</v>
      </c>
      <c r="D333" s="8">
        <f>IFERROR(__xludf.DUMMYFUNCTION("IFERROR(VLOOKUP(C333,IMPORTRANGE(""https://docs.google.com/spreadsheets/d/10KlTSftfC81rs2H7Cf6EIR7VWS3omC-2kwzaThHv16k/edit#gid=0"",""NSE Input VaR+ELM!D:J""),7,0),100)"),15.32)</f>
        <v>15.32</v>
      </c>
      <c r="E333" s="7">
        <f t="shared" si="1"/>
        <v>84.68</v>
      </c>
      <c r="F333" s="9" t="s">
        <v>10</v>
      </c>
      <c r="G333" s="7"/>
    </row>
    <row r="334">
      <c r="A334" s="7">
        <v>328.0</v>
      </c>
      <c r="B334" s="8" t="s">
        <v>664</v>
      </c>
      <c r="C334" s="8" t="s">
        <v>665</v>
      </c>
      <c r="D334" s="8">
        <f>IFERROR(__xludf.DUMMYFUNCTION("IFERROR(VLOOKUP(C334,IMPORTRANGE(""https://docs.google.com/spreadsheets/d/10KlTSftfC81rs2H7Cf6EIR7VWS3omC-2kwzaThHv16k/edit#gid=0"",""NSE Input VaR+ELM!D:J""),7,0),100)"),22.39)</f>
        <v>22.39</v>
      </c>
      <c r="E334" s="7">
        <f t="shared" si="1"/>
        <v>77.61</v>
      </c>
      <c r="F334" s="9" t="s">
        <v>10</v>
      </c>
      <c r="G334" s="7"/>
    </row>
    <row r="335">
      <c r="A335" s="7">
        <v>329.0</v>
      </c>
      <c r="B335" s="8" t="s">
        <v>666</v>
      </c>
      <c r="C335" s="8" t="s">
        <v>667</v>
      </c>
      <c r="D335" s="8">
        <f>IFERROR(__xludf.DUMMYFUNCTION("IFERROR(VLOOKUP(C335,IMPORTRANGE(""https://docs.google.com/spreadsheets/d/10KlTSftfC81rs2H7Cf6EIR7VWS3omC-2kwzaThHv16k/edit#gid=0"",""NSE Input VaR+ELM!D:J""),7,0),100)"),27.93)</f>
        <v>27.93</v>
      </c>
      <c r="E335" s="7">
        <f t="shared" si="1"/>
        <v>72.07</v>
      </c>
      <c r="F335" s="9" t="s">
        <v>10</v>
      </c>
      <c r="G335" s="7"/>
    </row>
    <row r="336">
      <c r="A336" s="7">
        <v>330.0</v>
      </c>
      <c r="B336" s="8" t="s">
        <v>668</v>
      </c>
      <c r="C336" s="8" t="s">
        <v>669</v>
      </c>
      <c r="D336" s="8">
        <f>IFERROR(__xludf.DUMMYFUNCTION("IFERROR(VLOOKUP(C336,IMPORTRANGE(""https://docs.google.com/spreadsheets/d/10KlTSftfC81rs2H7Cf6EIR7VWS3omC-2kwzaThHv16k/edit#gid=0"",""NSE Input VaR+ELM!D:J""),7,0),100)"),17.99)</f>
        <v>17.99</v>
      </c>
      <c r="E336" s="7">
        <f t="shared" si="1"/>
        <v>82.01</v>
      </c>
      <c r="F336" s="9" t="s">
        <v>10</v>
      </c>
      <c r="G336" s="7"/>
    </row>
    <row r="337">
      <c r="A337" s="7">
        <v>331.0</v>
      </c>
      <c r="B337" s="8" t="s">
        <v>670</v>
      </c>
      <c r="C337" s="8" t="s">
        <v>671</v>
      </c>
      <c r="D337" s="8">
        <f>IFERROR(__xludf.DUMMYFUNCTION("IFERROR(VLOOKUP(C337,IMPORTRANGE(""https://docs.google.com/spreadsheets/d/10KlTSftfC81rs2H7Cf6EIR7VWS3omC-2kwzaThHv16k/edit#gid=0"",""NSE Input VaR+ELM!D:J""),7,0),100)"),22.6)</f>
        <v>22.6</v>
      </c>
      <c r="E337" s="7">
        <f t="shared" si="1"/>
        <v>77.4</v>
      </c>
      <c r="F337" s="9" t="s">
        <v>10</v>
      </c>
      <c r="G337" s="7"/>
    </row>
    <row r="338">
      <c r="A338" s="7">
        <v>332.0</v>
      </c>
      <c r="B338" s="8" t="s">
        <v>672</v>
      </c>
      <c r="C338" s="8" t="s">
        <v>673</v>
      </c>
      <c r="D338" s="8">
        <f>IFERROR(__xludf.DUMMYFUNCTION("IFERROR(VLOOKUP(C338,IMPORTRANGE(""https://docs.google.com/spreadsheets/d/10KlTSftfC81rs2H7Cf6EIR7VWS3omC-2kwzaThHv16k/edit#gid=0"",""NSE Input VaR+ELM!D:J""),7,0),100)"),18.86)</f>
        <v>18.86</v>
      </c>
      <c r="E338" s="7">
        <f t="shared" si="1"/>
        <v>81.14</v>
      </c>
      <c r="F338" s="9" t="s">
        <v>10</v>
      </c>
      <c r="G338" s="7"/>
    </row>
    <row r="339">
      <c r="A339" s="7">
        <v>333.0</v>
      </c>
      <c r="B339" s="8" t="s">
        <v>674</v>
      </c>
      <c r="C339" s="8" t="s">
        <v>675</v>
      </c>
      <c r="D339" s="8">
        <f>IFERROR(__xludf.DUMMYFUNCTION("IFERROR(VLOOKUP(C339,IMPORTRANGE(""https://docs.google.com/spreadsheets/d/10KlTSftfC81rs2H7Cf6EIR7VWS3omC-2kwzaThHv16k/edit#gid=0"",""NSE Input VaR+ELM!D:J""),7,0),100)"),26.54)</f>
        <v>26.54</v>
      </c>
      <c r="E339" s="7">
        <f t="shared" si="1"/>
        <v>73.46</v>
      </c>
      <c r="F339" s="9" t="s">
        <v>10</v>
      </c>
      <c r="G339" s="7"/>
    </row>
    <row r="340">
      <c r="A340" s="7">
        <v>334.0</v>
      </c>
      <c r="B340" s="8" t="s">
        <v>676</v>
      </c>
      <c r="C340" s="8" t="s">
        <v>677</v>
      </c>
      <c r="D340" s="8">
        <f>IFERROR(__xludf.DUMMYFUNCTION("IFERROR(VLOOKUP(C340,IMPORTRANGE(""https://docs.google.com/spreadsheets/d/10KlTSftfC81rs2H7Cf6EIR7VWS3omC-2kwzaThHv16k/edit#gid=0"",""NSE Input VaR+ELM!D:J""),7,0),100)"),100.0)</f>
        <v>100</v>
      </c>
      <c r="E340" s="7">
        <f t="shared" si="1"/>
        <v>0</v>
      </c>
      <c r="F340" s="9" t="s">
        <v>10</v>
      </c>
      <c r="G340" s="7"/>
    </row>
    <row r="341">
      <c r="A341" s="7">
        <v>335.0</v>
      </c>
      <c r="B341" s="8" t="s">
        <v>678</v>
      </c>
      <c r="C341" s="8" t="s">
        <v>679</v>
      </c>
      <c r="D341" s="8">
        <f>IFERROR(__xludf.DUMMYFUNCTION("IFERROR(VLOOKUP(C341,IMPORTRANGE(""https://docs.google.com/spreadsheets/d/10KlTSftfC81rs2H7Cf6EIR7VWS3omC-2kwzaThHv16k/edit#gid=0"",""NSE Input VaR+ELM!D:J""),7,0),100)"),27.73)</f>
        <v>27.73</v>
      </c>
      <c r="E341" s="7">
        <f t="shared" si="1"/>
        <v>72.27</v>
      </c>
      <c r="F341" s="9" t="s">
        <v>10</v>
      </c>
      <c r="G341" s="7"/>
    </row>
    <row r="342">
      <c r="A342" s="7">
        <v>336.0</v>
      </c>
      <c r="B342" s="8" t="s">
        <v>680</v>
      </c>
      <c r="C342" s="8" t="s">
        <v>681</v>
      </c>
      <c r="D342" s="8">
        <f>IFERROR(__xludf.DUMMYFUNCTION("IFERROR(VLOOKUP(C342,IMPORTRANGE(""https://docs.google.com/spreadsheets/d/10KlTSftfC81rs2H7Cf6EIR7VWS3omC-2kwzaThHv16k/edit#gid=0"",""NSE Input VaR+ELM!D:J""),7,0),100)"),50.0)</f>
        <v>50</v>
      </c>
      <c r="E342" s="7">
        <f t="shared" si="1"/>
        <v>50</v>
      </c>
      <c r="F342" s="9" t="s">
        <v>10</v>
      </c>
      <c r="G342" s="7"/>
    </row>
    <row r="343">
      <c r="A343" s="7">
        <v>337.0</v>
      </c>
      <c r="B343" s="8" t="s">
        <v>682</v>
      </c>
      <c r="C343" s="8" t="s">
        <v>683</v>
      </c>
      <c r="D343" s="8">
        <f>IFERROR(__xludf.DUMMYFUNCTION("IFERROR(VLOOKUP(C343,IMPORTRANGE(""https://docs.google.com/spreadsheets/d/10KlTSftfC81rs2H7Cf6EIR7VWS3omC-2kwzaThHv16k/edit#gid=0"",""NSE Input VaR+ELM!D:J""),7,0),100)"),20.14)</f>
        <v>20.14</v>
      </c>
      <c r="E343" s="7">
        <f t="shared" si="1"/>
        <v>79.86</v>
      </c>
      <c r="F343" s="9" t="s">
        <v>10</v>
      </c>
      <c r="G343" s="7"/>
    </row>
    <row r="344">
      <c r="A344" s="7">
        <v>338.0</v>
      </c>
      <c r="B344" s="8" t="s">
        <v>684</v>
      </c>
      <c r="C344" s="8" t="s">
        <v>685</v>
      </c>
      <c r="D344" s="8">
        <f>IFERROR(__xludf.DUMMYFUNCTION("IFERROR(VLOOKUP(C344,IMPORTRANGE(""https://docs.google.com/spreadsheets/d/10KlTSftfC81rs2H7Cf6EIR7VWS3omC-2kwzaThHv16k/edit#gid=0"",""NSE Input VaR+ELM!D:J""),7,0),100)"),23.95)</f>
        <v>23.95</v>
      </c>
      <c r="E344" s="7">
        <f t="shared" si="1"/>
        <v>76.05</v>
      </c>
      <c r="F344" s="9" t="s">
        <v>10</v>
      </c>
      <c r="G344" s="7"/>
    </row>
    <row r="345">
      <c r="A345" s="7">
        <v>339.0</v>
      </c>
      <c r="B345" s="8" t="s">
        <v>686</v>
      </c>
      <c r="C345" s="8" t="s">
        <v>687</v>
      </c>
      <c r="D345" s="8">
        <f>IFERROR(__xludf.DUMMYFUNCTION("IFERROR(VLOOKUP(C345,IMPORTRANGE(""https://docs.google.com/spreadsheets/d/10KlTSftfC81rs2H7Cf6EIR7VWS3omC-2kwzaThHv16k/edit#gid=0"",""NSE Input VaR+ELM!D:J""),7,0),100)"),26.63)</f>
        <v>26.63</v>
      </c>
      <c r="E345" s="7">
        <f t="shared" si="1"/>
        <v>73.37</v>
      </c>
      <c r="F345" s="9" t="s">
        <v>10</v>
      </c>
      <c r="G345" s="7"/>
    </row>
    <row r="346">
      <c r="A346" s="7">
        <v>340.0</v>
      </c>
      <c r="B346" s="8" t="s">
        <v>688</v>
      </c>
      <c r="C346" s="8" t="s">
        <v>689</v>
      </c>
      <c r="D346" s="8">
        <f>IFERROR(__xludf.DUMMYFUNCTION("IFERROR(VLOOKUP(C346,IMPORTRANGE(""https://docs.google.com/spreadsheets/d/10KlTSftfC81rs2H7Cf6EIR7VWS3omC-2kwzaThHv16k/edit#gid=0"",""NSE Input VaR+ELM!D:J""),7,0),100)"),18.83)</f>
        <v>18.83</v>
      </c>
      <c r="E346" s="7">
        <f t="shared" si="1"/>
        <v>81.17</v>
      </c>
      <c r="F346" s="9" t="s">
        <v>10</v>
      </c>
      <c r="G346" s="7"/>
    </row>
    <row r="347">
      <c r="A347" s="7">
        <v>341.0</v>
      </c>
      <c r="B347" s="8" t="s">
        <v>690</v>
      </c>
      <c r="C347" s="8" t="s">
        <v>691</v>
      </c>
      <c r="D347" s="8">
        <f>IFERROR(__xludf.DUMMYFUNCTION("IFERROR(VLOOKUP(C347,IMPORTRANGE(""https://docs.google.com/spreadsheets/d/10KlTSftfC81rs2H7Cf6EIR7VWS3omC-2kwzaThHv16k/edit#gid=0"",""NSE Input VaR+ELM!D:J""),7,0),100)"),26.54)</f>
        <v>26.54</v>
      </c>
      <c r="E347" s="7">
        <f t="shared" si="1"/>
        <v>73.46</v>
      </c>
      <c r="F347" s="9" t="s">
        <v>10</v>
      </c>
      <c r="G347" s="7"/>
    </row>
    <row r="348">
      <c r="A348" s="7">
        <v>342.0</v>
      </c>
      <c r="B348" s="8" t="s">
        <v>692</v>
      </c>
      <c r="C348" s="8" t="s">
        <v>693</v>
      </c>
      <c r="D348" s="8">
        <f>IFERROR(__xludf.DUMMYFUNCTION("IFERROR(VLOOKUP(C348,IMPORTRANGE(""https://docs.google.com/spreadsheets/d/10KlTSftfC81rs2H7Cf6EIR7VWS3omC-2kwzaThHv16k/edit#gid=0"",""NSE Input VaR+ELM!D:J""),7,0),100)"),22.8)</f>
        <v>22.8</v>
      </c>
      <c r="E348" s="7">
        <f t="shared" si="1"/>
        <v>77.2</v>
      </c>
      <c r="F348" s="9" t="s">
        <v>10</v>
      </c>
      <c r="G348" s="7"/>
    </row>
    <row r="349">
      <c r="A349" s="7">
        <v>343.0</v>
      </c>
      <c r="B349" s="8" t="s">
        <v>694</v>
      </c>
      <c r="C349" s="8" t="s">
        <v>695</v>
      </c>
      <c r="D349" s="8">
        <f>IFERROR(__xludf.DUMMYFUNCTION("IFERROR(VLOOKUP(C349,IMPORTRANGE(""https://docs.google.com/spreadsheets/d/10KlTSftfC81rs2H7Cf6EIR7VWS3omC-2kwzaThHv16k/edit#gid=0"",""NSE Input VaR+ELM!D:J""),7,0),100)"),20.08)</f>
        <v>20.08</v>
      </c>
      <c r="E349" s="7">
        <f t="shared" si="1"/>
        <v>79.92</v>
      </c>
      <c r="F349" s="9" t="s">
        <v>10</v>
      </c>
      <c r="G349" s="7"/>
    </row>
    <row r="350">
      <c r="A350" s="7">
        <v>344.0</v>
      </c>
      <c r="B350" s="8" t="s">
        <v>696</v>
      </c>
      <c r="C350" s="8" t="s">
        <v>697</v>
      </c>
      <c r="D350" s="8">
        <f>IFERROR(__xludf.DUMMYFUNCTION("IFERROR(VLOOKUP(C350,IMPORTRANGE(""https://docs.google.com/spreadsheets/d/10KlTSftfC81rs2H7Cf6EIR7VWS3omC-2kwzaThHv16k/edit#gid=0"",""NSE Input VaR+ELM!D:J""),7,0),100)"),26.77)</f>
        <v>26.77</v>
      </c>
      <c r="E350" s="7">
        <f t="shared" si="1"/>
        <v>73.23</v>
      </c>
      <c r="F350" s="9" t="s">
        <v>10</v>
      </c>
      <c r="G350" s="7"/>
    </row>
    <row r="351">
      <c r="A351" s="7">
        <v>345.0</v>
      </c>
      <c r="B351" s="8" t="s">
        <v>698</v>
      </c>
      <c r="C351" s="8" t="s">
        <v>699</v>
      </c>
      <c r="D351" s="8">
        <f>IFERROR(__xludf.DUMMYFUNCTION("IFERROR(VLOOKUP(C351,IMPORTRANGE(""https://docs.google.com/spreadsheets/d/10KlTSftfC81rs2H7Cf6EIR7VWS3omC-2kwzaThHv16k/edit#gid=0"",""NSE Input VaR+ELM!D:J""),7,0),100)"),18.15)</f>
        <v>18.15</v>
      </c>
      <c r="E351" s="7">
        <f t="shared" si="1"/>
        <v>81.85</v>
      </c>
      <c r="F351" s="9" t="s">
        <v>217</v>
      </c>
      <c r="G351" s="7"/>
    </row>
    <row r="352">
      <c r="A352" s="7">
        <v>346.0</v>
      </c>
      <c r="B352" s="8" t="s">
        <v>700</v>
      </c>
      <c r="C352" s="8" t="s">
        <v>701</v>
      </c>
      <c r="D352" s="8">
        <f>IFERROR(__xludf.DUMMYFUNCTION("IFERROR(VLOOKUP(C352,IMPORTRANGE(""https://docs.google.com/spreadsheets/d/10KlTSftfC81rs2H7Cf6EIR7VWS3omC-2kwzaThHv16k/edit#gid=0"",""NSE Input VaR+ELM!D:J""),7,0),100)"),24.87)</f>
        <v>24.87</v>
      </c>
      <c r="E352" s="7">
        <f t="shared" si="1"/>
        <v>75.13</v>
      </c>
      <c r="F352" s="9" t="s">
        <v>10</v>
      </c>
      <c r="G352" s="7"/>
    </row>
    <row r="353">
      <c r="A353" s="7">
        <v>347.0</v>
      </c>
      <c r="B353" s="8" t="s">
        <v>702</v>
      </c>
      <c r="C353" s="8" t="s">
        <v>703</v>
      </c>
      <c r="D353" s="8">
        <f>IFERROR(__xludf.DUMMYFUNCTION("IFERROR(VLOOKUP(C353,IMPORTRANGE(""https://docs.google.com/spreadsheets/d/10KlTSftfC81rs2H7Cf6EIR7VWS3omC-2kwzaThHv16k/edit#gid=0"",""NSE Input VaR+ELM!D:J""),7,0),100)"),20.47)</f>
        <v>20.47</v>
      </c>
      <c r="E353" s="7">
        <f t="shared" si="1"/>
        <v>79.53</v>
      </c>
      <c r="F353" s="9" t="s">
        <v>10</v>
      </c>
      <c r="G353" s="7"/>
    </row>
    <row r="354">
      <c r="A354" s="7">
        <v>348.0</v>
      </c>
      <c r="B354" s="8" t="s">
        <v>704</v>
      </c>
      <c r="C354" s="8" t="s">
        <v>705</v>
      </c>
      <c r="D354" s="8">
        <f>IFERROR(__xludf.DUMMYFUNCTION("IFERROR(VLOOKUP(C354,IMPORTRANGE(""https://docs.google.com/spreadsheets/d/10KlTSftfC81rs2H7Cf6EIR7VWS3omC-2kwzaThHv16k/edit#gid=0"",""NSE Input VaR+ELM!D:J""),7,0),100)"),26.4)</f>
        <v>26.4</v>
      </c>
      <c r="E354" s="7">
        <f t="shared" si="1"/>
        <v>73.6</v>
      </c>
      <c r="F354" s="9" t="s">
        <v>10</v>
      </c>
      <c r="G354" s="7"/>
    </row>
    <row r="355">
      <c r="A355" s="7">
        <v>349.0</v>
      </c>
      <c r="B355" s="8" t="s">
        <v>706</v>
      </c>
      <c r="C355" s="8" t="s">
        <v>707</v>
      </c>
      <c r="D355" s="8">
        <f>IFERROR(__xludf.DUMMYFUNCTION("IFERROR(VLOOKUP(C355,IMPORTRANGE(""https://docs.google.com/spreadsheets/d/10KlTSftfC81rs2H7Cf6EIR7VWS3omC-2kwzaThHv16k/edit#gid=0"",""NSE Input VaR+ELM!D:J""),7,0),100)"),15.26)</f>
        <v>15.26</v>
      </c>
      <c r="E355" s="7">
        <f t="shared" si="1"/>
        <v>84.74</v>
      </c>
      <c r="F355" s="9" t="s">
        <v>10</v>
      </c>
      <c r="G355" s="7"/>
    </row>
    <row r="356">
      <c r="A356" s="7">
        <v>350.0</v>
      </c>
      <c r="B356" s="8" t="s">
        <v>708</v>
      </c>
      <c r="C356" s="8" t="s">
        <v>709</v>
      </c>
      <c r="D356" s="8">
        <f>IFERROR(__xludf.DUMMYFUNCTION("IFERROR(VLOOKUP(C356,IMPORTRANGE(""https://docs.google.com/spreadsheets/d/10KlTSftfC81rs2H7Cf6EIR7VWS3omC-2kwzaThHv16k/edit#gid=0"",""NSE Input VaR+ELM!D:J""),7,0),100)"),38.61)</f>
        <v>38.61</v>
      </c>
      <c r="E356" s="7">
        <f t="shared" si="1"/>
        <v>61.39</v>
      </c>
      <c r="F356" s="9" t="s">
        <v>10</v>
      </c>
      <c r="G356" s="7"/>
    </row>
    <row r="357">
      <c r="A357" s="7">
        <v>351.0</v>
      </c>
      <c r="B357" s="8" t="s">
        <v>710</v>
      </c>
      <c r="C357" s="8" t="s">
        <v>711</v>
      </c>
      <c r="D357" s="8">
        <f>IFERROR(__xludf.DUMMYFUNCTION("IFERROR(VLOOKUP(C357,IMPORTRANGE(""https://docs.google.com/spreadsheets/d/10KlTSftfC81rs2H7Cf6EIR7VWS3omC-2kwzaThHv16k/edit#gid=0"",""NSE Input VaR+ELM!D:J""),7,0),100)"),21.21)</f>
        <v>21.21</v>
      </c>
      <c r="E357" s="7">
        <f t="shared" si="1"/>
        <v>78.79</v>
      </c>
      <c r="F357" s="9" t="s">
        <v>10</v>
      </c>
      <c r="G357" s="7"/>
    </row>
    <row r="358">
      <c r="A358" s="7">
        <v>352.0</v>
      </c>
      <c r="B358" s="8" t="s">
        <v>712</v>
      </c>
      <c r="C358" s="8" t="s">
        <v>713</v>
      </c>
      <c r="D358" s="8">
        <f>IFERROR(__xludf.DUMMYFUNCTION("IFERROR(VLOOKUP(C358,IMPORTRANGE(""https://docs.google.com/spreadsheets/d/10KlTSftfC81rs2H7Cf6EIR7VWS3omC-2kwzaThHv16k/edit#gid=0"",""NSE Input VaR+ELM!D:J""),7,0),100)"),19.41)</f>
        <v>19.41</v>
      </c>
      <c r="E358" s="7">
        <f t="shared" si="1"/>
        <v>80.59</v>
      </c>
      <c r="F358" s="9" t="s">
        <v>10</v>
      </c>
      <c r="G358" s="7"/>
    </row>
    <row r="359">
      <c r="A359" s="7">
        <v>353.0</v>
      </c>
      <c r="B359" s="8" t="s">
        <v>714</v>
      </c>
      <c r="C359" s="8" t="s">
        <v>715</v>
      </c>
      <c r="D359" s="8">
        <f>IFERROR(__xludf.DUMMYFUNCTION("IFERROR(VLOOKUP(C359,IMPORTRANGE(""https://docs.google.com/spreadsheets/d/10KlTSftfC81rs2H7Cf6EIR7VWS3omC-2kwzaThHv16k/edit#gid=0"",""NSE Input VaR+ELM!D:J""),7,0),100)"),25.35)</f>
        <v>25.35</v>
      </c>
      <c r="E359" s="7">
        <f t="shared" si="1"/>
        <v>74.65</v>
      </c>
      <c r="F359" s="9" t="s">
        <v>10</v>
      </c>
      <c r="G359" s="7"/>
    </row>
    <row r="360">
      <c r="A360" s="7">
        <v>354.0</v>
      </c>
      <c r="B360" s="8" t="s">
        <v>716</v>
      </c>
      <c r="C360" s="8" t="s">
        <v>717</v>
      </c>
      <c r="D360" s="8">
        <f>IFERROR(__xludf.DUMMYFUNCTION("IFERROR(VLOOKUP(C360,IMPORTRANGE(""https://docs.google.com/spreadsheets/d/10KlTSftfC81rs2H7Cf6EIR7VWS3omC-2kwzaThHv16k/edit#gid=0"",""NSE Input VaR+ELM!D:J""),7,0),100)"),19.09)</f>
        <v>19.09</v>
      </c>
      <c r="E360" s="7">
        <f t="shared" si="1"/>
        <v>80.91</v>
      </c>
      <c r="F360" s="9" t="s">
        <v>217</v>
      </c>
      <c r="G360" s="7"/>
    </row>
    <row r="361">
      <c r="A361" s="7">
        <v>355.0</v>
      </c>
      <c r="B361" s="8" t="s">
        <v>718</v>
      </c>
      <c r="C361" s="8" t="s">
        <v>719</v>
      </c>
      <c r="D361" s="8">
        <f>IFERROR(__xludf.DUMMYFUNCTION("IFERROR(VLOOKUP(C361,IMPORTRANGE(""https://docs.google.com/spreadsheets/d/10KlTSftfC81rs2H7Cf6EIR7VWS3omC-2kwzaThHv16k/edit#gid=0"",""NSE Input VaR+ELM!D:J""),7,0),100)"),15.47)</f>
        <v>15.47</v>
      </c>
      <c r="E361" s="7">
        <f t="shared" si="1"/>
        <v>84.53</v>
      </c>
      <c r="F361" s="9" t="s">
        <v>10</v>
      </c>
      <c r="G361" s="7"/>
    </row>
    <row r="362">
      <c r="A362" s="7">
        <v>356.0</v>
      </c>
      <c r="B362" s="8" t="s">
        <v>720</v>
      </c>
      <c r="C362" s="8" t="s">
        <v>721</v>
      </c>
      <c r="D362" s="8">
        <f>IFERROR(__xludf.DUMMYFUNCTION("IFERROR(VLOOKUP(C362,IMPORTRANGE(""https://docs.google.com/spreadsheets/d/10KlTSftfC81rs2H7Cf6EIR7VWS3omC-2kwzaThHv16k/edit#gid=0"",""NSE Input VaR+ELM!D:J""),7,0),100)"),50.0)</f>
        <v>50</v>
      </c>
      <c r="E362" s="7">
        <f t="shared" si="1"/>
        <v>50</v>
      </c>
      <c r="F362" s="9" t="s">
        <v>10</v>
      </c>
      <c r="G362" s="7"/>
    </row>
    <row r="363">
      <c r="A363" s="7">
        <v>357.0</v>
      </c>
      <c r="B363" s="8" t="s">
        <v>722</v>
      </c>
      <c r="C363" s="8" t="s">
        <v>723</v>
      </c>
      <c r="D363" s="8">
        <f>IFERROR(__xludf.DUMMYFUNCTION("IFERROR(VLOOKUP(C363,IMPORTRANGE(""https://docs.google.com/spreadsheets/d/10KlTSftfC81rs2H7Cf6EIR7VWS3omC-2kwzaThHv16k/edit#gid=0"",""NSE Input VaR+ELM!D:J""),7,0),100)"),21.34)</f>
        <v>21.34</v>
      </c>
      <c r="E363" s="7">
        <f t="shared" si="1"/>
        <v>78.66</v>
      </c>
      <c r="F363" s="9" t="s">
        <v>217</v>
      </c>
      <c r="G363" s="7"/>
    </row>
    <row r="364">
      <c r="A364" s="7">
        <v>358.0</v>
      </c>
      <c r="B364" s="8" t="s">
        <v>724</v>
      </c>
      <c r="C364" s="8" t="s">
        <v>725</v>
      </c>
      <c r="D364" s="8">
        <f>IFERROR(__xludf.DUMMYFUNCTION("IFERROR(VLOOKUP(C364,IMPORTRANGE(""https://docs.google.com/spreadsheets/d/10KlTSftfC81rs2H7Cf6EIR7VWS3omC-2kwzaThHv16k/edit#gid=0"",""NSE Input VaR+ELM!D:J""),7,0),100)"),16.85)</f>
        <v>16.85</v>
      </c>
      <c r="E364" s="7">
        <f t="shared" si="1"/>
        <v>83.15</v>
      </c>
      <c r="F364" s="9" t="s">
        <v>217</v>
      </c>
      <c r="G364" s="7"/>
    </row>
    <row r="365">
      <c r="A365" s="7">
        <v>359.0</v>
      </c>
      <c r="B365" s="8" t="s">
        <v>726</v>
      </c>
      <c r="C365" s="8" t="s">
        <v>727</v>
      </c>
      <c r="D365" s="8">
        <f>IFERROR(__xludf.DUMMYFUNCTION("IFERROR(VLOOKUP(C365,IMPORTRANGE(""https://docs.google.com/spreadsheets/d/10KlTSftfC81rs2H7Cf6EIR7VWS3omC-2kwzaThHv16k/edit#gid=0"",""NSE Input VaR+ELM!D:J""),7,0),100)"),18.09)</f>
        <v>18.09</v>
      </c>
      <c r="E365" s="7">
        <f t="shared" si="1"/>
        <v>81.91</v>
      </c>
      <c r="F365" s="9" t="s">
        <v>217</v>
      </c>
      <c r="G365" s="7"/>
    </row>
    <row r="366">
      <c r="A366" s="7">
        <v>360.0</v>
      </c>
      <c r="B366" s="8" t="s">
        <v>728</v>
      </c>
      <c r="C366" s="8" t="s">
        <v>729</v>
      </c>
      <c r="D366" s="8">
        <f>IFERROR(__xludf.DUMMYFUNCTION("IFERROR(VLOOKUP(C366,IMPORTRANGE(""https://docs.google.com/spreadsheets/d/10KlTSftfC81rs2H7Cf6EIR7VWS3omC-2kwzaThHv16k/edit#gid=0"",""NSE Input VaR+ELM!D:J""),7,0),100)"),27.66)</f>
        <v>27.66</v>
      </c>
      <c r="E366" s="7">
        <f t="shared" si="1"/>
        <v>72.34</v>
      </c>
      <c r="F366" s="9" t="s">
        <v>217</v>
      </c>
      <c r="G366" s="7"/>
    </row>
    <row r="367">
      <c r="A367" s="7">
        <v>361.0</v>
      </c>
      <c r="B367" s="8" t="s">
        <v>730</v>
      </c>
      <c r="C367" s="8" t="s">
        <v>731</v>
      </c>
      <c r="D367" s="8">
        <f>IFERROR(__xludf.DUMMYFUNCTION("IFERROR(VLOOKUP(C367,IMPORTRANGE(""https://docs.google.com/spreadsheets/d/10KlTSftfC81rs2H7Cf6EIR7VWS3omC-2kwzaThHv16k/edit#gid=0"",""NSE Input VaR+ELM!D:J""),7,0),100)"),31.08)</f>
        <v>31.08</v>
      </c>
      <c r="E367" s="7">
        <f t="shared" si="1"/>
        <v>68.92</v>
      </c>
      <c r="F367" s="9" t="s">
        <v>10</v>
      </c>
      <c r="G367" s="7"/>
    </row>
    <row r="368">
      <c r="A368" s="7">
        <v>362.0</v>
      </c>
      <c r="B368" s="8" t="s">
        <v>732</v>
      </c>
      <c r="C368" s="8" t="s">
        <v>733</v>
      </c>
      <c r="D368" s="8">
        <f>IFERROR(__xludf.DUMMYFUNCTION("IFERROR(VLOOKUP(C368,IMPORTRANGE(""https://docs.google.com/spreadsheets/d/10KlTSftfC81rs2H7Cf6EIR7VWS3omC-2kwzaThHv16k/edit#gid=0"",""NSE Input VaR+ELM!D:J""),7,0),100)"),20.18)</f>
        <v>20.18</v>
      </c>
      <c r="E368" s="7">
        <f t="shared" si="1"/>
        <v>79.82</v>
      </c>
      <c r="F368" s="9" t="s">
        <v>10</v>
      </c>
      <c r="G368" s="7"/>
    </row>
    <row r="369">
      <c r="A369" s="7">
        <v>363.0</v>
      </c>
      <c r="B369" s="8" t="s">
        <v>734</v>
      </c>
      <c r="C369" s="8" t="s">
        <v>735</v>
      </c>
      <c r="D369" s="8">
        <f>IFERROR(__xludf.DUMMYFUNCTION("IFERROR(VLOOKUP(C369,IMPORTRANGE(""https://docs.google.com/spreadsheets/d/10KlTSftfC81rs2H7Cf6EIR7VWS3omC-2kwzaThHv16k/edit#gid=0"",""NSE Input VaR+ELM!D:J""),7,0),100)"),25.12)</f>
        <v>25.12</v>
      </c>
      <c r="E369" s="7">
        <f t="shared" si="1"/>
        <v>74.88</v>
      </c>
      <c r="F369" s="9" t="s">
        <v>10</v>
      </c>
      <c r="G369" s="7"/>
    </row>
    <row r="370">
      <c r="A370" s="7">
        <v>364.0</v>
      </c>
      <c r="B370" s="8" t="s">
        <v>736</v>
      </c>
      <c r="C370" s="8" t="s">
        <v>737</v>
      </c>
      <c r="D370" s="8">
        <f>IFERROR(__xludf.DUMMYFUNCTION("IFERROR(VLOOKUP(C370,IMPORTRANGE(""https://docs.google.com/spreadsheets/d/10KlTSftfC81rs2H7Cf6EIR7VWS3omC-2kwzaThHv16k/edit#gid=0"",""NSE Input VaR+ELM!D:J""),7,0),100)"),15.6)</f>
        <v>15.6</v>
      </c>
      <c r="E370" s="7">
        <f t="shared" si="1"/>
        <v>84.4</v>
      </c>
      <c r="F370" s="9" t="s">
        <v>10</v>
      </c>
      <c r="G370" s="7"/>
    </row>
    <row r="371">
      <c r="A371" s="7">
        <v>365.0</v>
      </c>
      <c r="B371" s="8" t="s">
        <v>738</v>
      </c>
      <c r="C371" s="8" t="s">
        <v>739</v>
      </c>
      <c r="D371" s="8">
        <f>IFERROR(__xludf.DUMMYFUNCTION("IFERROR(VLOOKUP(C371,IMPORTRANGE(""https://docs.google.com/spreadsheets/d/10KlTSftfC81rs2H7Cf6EIR7VWS3omC-2kwzaThHv16k/edit#gid=0"",""NSE Input VaR+ELM!D:J""),7,0),100)"),23.27)</f>
        <v>23.27</v>
      </c>
      <c r="E371" s="7">
        <f t="shared" si="1"/>
        <v>76.73</v>
      </c>
      <c r="F371" s="9" t="s">
        <v>10</v>
      </c>
      <c r="G371" s="7"/>
    </row>
    <row r="372">
      <c r="A372" s="7">
        <v>366.0</v>
      </c>
      <c r="B372" s="8" t="s">
        <v>740</v>
      </c>
      <c r="C372" s="8" t="s">
        <v>741</v>
      </c>
      <c r="D372" s="8">
        <f>IFERROR(__xludf.DUMMYFUNCTION("IFERROR(VLOOKUP(C372,IMPORTRANGE(""https://docs.google.com/spreadsheets/d/10KlTSftfC81rs2H7Cf6EIR7VWS3omC-2kwzaThHv16k/edit#gid=0"",""NSE Input VaR+ELM!D:J""),7,0),100)"),23.63)</f>
        <v>23.63</v>
      </c>
      <c r="E372" s="7">
        <f t="shared" si="1"/>
        <v>76.37</v>
      </c>
      <c r="F372" s="9" t="s">
        <v>10</v>
      </c>
      <c r="G372" s="7"/>
    </row>
    <row r="373">
      <c r="A373" s="7">
        <v>367.0</v>
      </c>
      <c r="B373" s="8" t="s">
        <v>742</v>
      </c>
      <c r="C373" s="8" t="s">
        <v>743</v>
      </c>
      <c r="D373" s="8">
        <f>IFERROR(__xludf.DUMMYFUNCTION("IFERROR(VLOOKUP(C373,IMPORTRANGE(""https://docs.google.com/spreadsheets/d/10KlTSftfC81rs2H7Cf6EIR7VWS3omC-2kwzaThHv16k/edit#gid=0"",""NSE Input VaR+ELM!D:J""),7,0),100)"),22.62)</f>
        <v>22.62</v>
      </c>
      <c r="E373" s="7">
        <f t="shared" si="1"/>
        <v>77.38</v>
      </c>
      <c r="F373" s="9" t="s">
        <v>217</v>
      </c>
      <c r="G373" s="7"/>
    </row>
    <row r="374">
      <c r="A374" s="7">
        <v>368.0</v>
      </c>
      <c r="B374" s="8" t="s">
        <v>744</v>
      </c>
      <c r="C374" s="8" t="s">
        <v>745</v>
      </c>
      <c r="D374" s="8">
        <f>IFERROR(__xludf.DUMMYFUNCTION("IFERROR(VLOOKUP(C374,IMPORTRANGE(""https://docs.google.com/spreadsheets/d/10KlTSftfC81rs2H7Cf6EIR7VWS3omC-2kwzaThHv16k/edit#gid=0"",""NSE Input VaR+ELM!D:J""),7,0),100)"),50.0)</f>
        <v>50</v>
      </c>
      <c r="E374" s="7">
        <f t="shared" si="1"/>
        <v>50</v>
      </c>
      <c r="F374" s="9" t="s">
        <v>217</v>
      </c>
      <c r="G374" s="7"/>
    </row>
    <row r="375">
      <c r="A375" s="7">
        <v>369.0</v>
      </c>
      <c r="B375" s="8" t="s">
        <v>746</v>
      </c>
      <c r="C375" s="8" t="s">
        <v>747</v>
      </c>
      <c r="D375" s="8">
        <f>IFERROR(__xludf.DUMMYFUNCTION("IFERROR(VLOOKUP(C375,IMPORTRANGE(""https://docs.google.com/spreadsheets/d/10KlTSftfC81rs2H7Cf6EIR7VWS3omC-2kwzaThHv16k/edit#gid=0"",""NSE Input VaR+ELM!D:J""),7,0),100)"),19.89)</f>
        <v>19.89</v>
      </c>
      <c r="E375" s="7">
        <f t="shared" si="1"/>
        <v>80.11</v>
      </c>
      <c r="F375" s="9" t="s">
        <v>10</v>
      </c>
      <c r="G375" s="7"/>
    </row>
    <row r="376">
      <c r="A376" s="7">
        <v>370.0</v>
      </c>
      <c r="B376" s="8" t="s">
        <v>748</v>
      </c>
      <c r="C376" s="8" t="s">
        <v>749</v>
      </c>
      <c r="D376" s="8">
        <f>IFERROR(__xludf.DUMMYFUNCTION("IFERROR(VLOOKUP(C376,IMPORTRANGE(""https://docs.google.com/spreadsheets/d/10KlTSftfC81rs2H7Cf6EIR7VWS3omC-2kwzaThHv16k/edit#gid=0"",""NSE Input VaR+ELM!D:J""),7,0),100)"),23.1)</f>
        <v>23.1</v>
      </c>
      <c r="E376" s="7">
        <f t="shared" si="1"/>
        <v>76.9</v>
      </c>
      <c r="F376" s="9" t="s">
        <v>217</v>
      </c>
      <c r="G376" s="7"/>
    </row>
    <row r="377">
      <c r="A377" s="7">
        <v>371.0</v>
      </c>
      <c r="B377" s="8" t="s">
        <v>750</v>
      </c>
      <c r="C377" s="8" t="s">
        <v>751</v>
      </c>
      <c r="D377" s="8">
        <f>IFERROR(__xludf.DUMMYFUNCTION("IFERROR(VLOOKUP(C377,IMPORTRANGE(""https://docs.google.com/spreadsheets/d/10KlTSftfC81rs2H7Cf6EIR7VWS3omC-2kwzaThHv16k/edit#gid=0"",""NSE Input VaR+ELM!D:J""),7,0),100)"),23.35)</f>
        <v>23.35</v>
      </c>
      <c r="E377" s="7">
        <f t="shared" si="1"/>
        <v>76.65</v>
      </c>
      <c r="F377" s="9" t="s">
        <v>217</v>
      </c>
      <c r="G377" s="7"/>
    </row>
    <row r="378">
      <c r="A378" s="7">
        <v>372.0</v>
      </c>
      <c r="B378" s="8" t="s">
        <v>752</v>
      </c>
      <c r="C378" s="8" t="s">
        <v>753</v>
      </c>
      <c r="D378" s="8">
        <f>IFERROR(__xludf.DUMMYFUNCTION("IFERROR(VLOOKUP(C378,IMPORTRANGE(""https://docs.google.com/spreadsheets/d/10KlTSftfC81rs2H7Cf6EIR7VWS3omC-2kwzaThHv16k/edit#gid=0"",""NSE Input VaR+ELM!D:J""),7,0),100)"),26.9)</f>
        <v>26.9</v>
      </c>
      <c r="E378" s="7">
        <f t="shared" si="1"/>
        <v>73.1</v>
      </c>
      <c r="F378" s="9" t="s">
        <v>10</v>
      </c>
      <c r="G378" s="7"/>
    </row>
    <row r="379">
      <c r="A379" s="7">
        <v>373.0</v>
      </c>
      <c r="B379" s="8" t="s">
        <v>754</v>
      </c>
      <c r="C379" s="8" t="s">
        <v>755</v>
      </c>
      <c r="D379" s="8">
        <f>IFERROR(__xludf.DUMMYFUNCTION("IFERROR(VLOOKUP(C379,IMPORTRANGE(""https://docs.google.com/spreadsheets/d/10KlTSftfC81rs2H7Cf6EIR7VWS3omC-2kwzaThHv16k/edit#gid=0"",""NSE Input VaR+ELM!D:J""),7,0),100)"),25.75)</f>
        <v>25.75</v>
      </c>
      <c r="E379" s="7">
        <f t="shared" si="1"/>
        <v>74.25</v>
      </c>
      <c r="F379" s="9" t="s">
        <v>217</v>
      </c>
      <c r="G379" s="7"/>
    </row>
    <row r="380">
      <c r="A380" s="7">
        <v>374.0</v>
      </c>
      <c r="B380" s="8" t="s">
        <v>756</v>
      </c>
      <c r="C380" s="8" t="s">
        <v>757</v>
      </c>
      <c r="D380" s="8">
        <f>IFERROR(__xludf.DUMMYFUNCTION("IFERROR(VLOOKUP(C380,IMPORTRANGE(""https://docs.google.com/spreadsheets/d/10KlTSftfC81rs2H7Cf6EIR7VWS3omC-2kwzaThHv16k/edit#gid=0"",""NSE Input VaR+ELM!D:J""),7,0),100)"),27.37)</f>
        <v>27.37</v>
      </c>
      <c r="E380" s="7">
        <f t="shared" si="1"/>
        <v>72.63</v>
      </c>
      <c r="F380" s="9" t="s">
        <v>217</v>
      </c>
      <c r="G380" s="7"/>
    </row>
    <row r="381">
      <c r="A381" s="7">
        <v>375.0</v>
      </c>
      <c r="B381" s="8" t="s">
        <v>758</v>
      </c>
      <c r="C381" s="8" t="s">
        <v>759</v>
      </c>
      <c r="D381" s="8">
        <f>IFERROR(__xludf.DUMMYFUNCTION("IFERROR(VLOOKUP(C381,IMPORTRANGE(""https://docs.google.com/spreadsheets/d/10KlTSftfC81rs2H7Cf6EIR7VWS3omC-2kwzaThHv16k/edit#gid=0"",""NSE Input VaR+ELM!D:J""),7,0),100)"),24.2)</f>
        <v>24.2</v>
      </c>
      <c r="E381" s="7">
        <f t="shared" si="1"/>
        <v>75.8</v>
      </c>
      <c r="F381" s="9" t="s">
        <v>10</v>
      </c>
      <c r="G381" s="7"/>
    </row>
    <row r="382">
      <c r="A382" s="7">
        <v>376.0</v>
      </c>
      <c r="B382" s="8" t="s">
        <v>760</v>
      </c>
      <c r="C382" s="8" t="s">
        <v>761</v>
      </c>
      <c r="D382" s="8">
        <f>IFERROR(__xludf.DUMMYFUNCTION("IFERROR(VLOOKUP(C382,IMPORTRANGE(""https://docs.google.com/spreadsheets/d/10KlTSftfC81rs2H7Cf6EIR7VWS3omC-2kwzaThHv16k/edit#gid=0"",""NSE Input VaR+ELM!D:J""),7,0),100)"),20.3)</f>
        <v>20.3</v>
      </c>
      <c r="E382" s="7">
        <f t="shared" si="1"/>
        <v>79.7</v>
      </c>
      <c r="F382" s="9" t="s">
        <v>10</v>
      </c>
      <c r="G382" s="7"/>
    </row>
    <row r="383">
      <c r="A383" s="7">
        <v>377.0</v>
      </c>
      <c r="B383" s="8" t="s">
        <v>762</v>
      </c>
      <c r="C383" s="8" t="s">
        <v>763</v>
      </c>
      <c r="D383" s="8">
        <f>IFERROR(__xludf.DUMMYFUNCTION("IFERROR(VLOOKUP(C383,IMPORTRANGE(""https://docs.google.com/spreadsheets/d/10KlTSftfC81rs2H7Cf6EIR7VWS3omC-2kwzaThHv16k/edit#gid=0"",""NSE Input VaR+ELM!D:J""),7,0),100)"),22.59)</f>
        <v>22.59</v>
      </c>
      <c r="E383" s="7">
        <f t="shared" si="1"/>
        <v>77.41</v>
      </c>
      <c r="F383" s="9" t="s">
        <v>10</v>
      </c>
      <c r="G383" s="7"/>
    </row>
    <row r="384">
      <c r="A384" s="7">
        <v>378.0</v>
      </c>
      <c r="B384" s="8" t="s">
        <v>764</v>
      </c>
      <c r="C384" s="8" t="s">
        <v>765</v>
      </c>
      <c r="D384" s="8">
        <f>IFERROR(__xludf.DUMMYFUNCTION("IFERROR(VLOOKUP(C384,IMPORTRANGE(""https://docs.google.com/spreadsheets/d/10KlTSftfC81rs2H7Cf6EIR7VWS3omC-2kwzaThHv16k/edit#gid=0"",""NSE Input VaR+ELM!D:J""),7,0),100)"),21.7)</f>
        <v>21.7</v>
      </c>
      <c r="E384" s="7">
        <f t="shared" si="1"/>
        <v>78.3</v>
      </c>
      <c r="F384" s="9" t="s">
        <v>10</v>
      </c>
      <c r="G384" s="7"/>
    </row>
    <row r="385">
      <c r="A385" s="7">
        <v>379.0</v>
      </c>
      <c r="B385" s="8" t="s">
        <v>766</v>
      </c>
      <c r="C385" s="8" t="s">
        <v>767</v>
      </c>
      <c r="D385" s="8">
        <f>IFERROR(__xludf.DUMMYFUNCTION("IFERROR(VLOOKUP(C385,IMPORTRANGE(""https://docs.google.com/spreadsheets/d/10KlTSftfC81rs2H7Cf6EIR7VWS3omC-2kwzaThHv16k/edit#gid=0"",""NSE Input VaR+ELM!D:J""),7,0),100)"),23.01)</f>
        <v>23.01</v>
      </c>
      <c r="E385" s="7">
        <f t="shared" si="1"/>
        <v>76.99</v>
      </c>
      <c r="F385" s="9" t="s">
        <v>10</v>
      </c>
      <c r="G385" s="7"/>
    </row>
    <row r="386">
      <c r="A386" s="7">
        <v>380.0</v>
      </c>
      <c r="B386" s="8" t="s">
        <v>768</v>
      </c>
      <c r="C386" s="8" t="s">
        <v>769</v>
      </c>
      <c r="D386" s="8">
        <f>IFERROR(__xludf.DUMMYFUNCTION("IFERROR(VLOOKUP(C386,IMPORTRANGE(""https://docs.google.com/spreadsheets/d/10KlTSftfC81rs2H7Cf6EIR7VWS3omC-2kwzaThHv16k/edit#gid=0"",""NSE Input VaR+ELM!D:J""),7,0),100)"),22.28)</f>
        <v>22.28</v>
      </c>
      <c r="E386" s="7">
        <f t="shared" si="1"/>
        <v>77.72</v>
      </c>
      <c r="F386" s="9" t="s">
        <v>10</v>
      </c>
      <c r="G386" s="7"/>
    </row>
    <row r="387">
      <c r="A387" s="7">
        <v>381.0</v>
      </c>
      <c r="B387" s="8" t="s">
        <v>770</v>
      </c>
      <c r="C387" s="8" t="s">
        <v>771</v>
      </c>
      <c r="D387" s="8">
        <f>IFERROR(__xludf.DUMMYFUNCTION("IFERROR(VLOOKUP(C387,IMPORTRANGE(""https://docs.google.com/spreadsheets/d/10KlTSftfC81rs2H7Cf6EIR7VWS3omC-2kwzaThHv16k/edit#gid=0"",""NSE Input VaR+ELM!D:J""),7,0),100)"),20.7)</f>
        <v>20.7</v>
      </c>
      <c r="E387" s="7">
        <f t="shared" si="1"/>
        <v>79.3</v>
      </c>
      <c r="F387" s="9" t="s">
        <v>217</v>
      </c>
      <c r="G387" s="7"/>
    </row>
    <row r="388">
      <c r="A388" s="7">
        <v>382.0</v>
      </c>
      <c r="B388" s="8" t="s">
        <v>772</v>
      </c>
      <c r="C388" s="8" t="s">
        <v>773</v>
      </c>
      <c r="D388" s="8">
        <f>IFERROR(__xludf.DUMMYFUNCTION("IFERROR(VLOOKUP(C388,IMPORTRANGE(""https://docs.google.com/spreadsheets/d/10KlTSftfC81rs2H7Cf6EIR7VWS3omC-2kwzaThHv16k/edit#gid=0"",""NSE Input VaR+ELM!D:J""),7,0),100)"),23.6)</f>
        <v>23.6</v>
      </c>
      <c r="E388" s="7">
        <f t="shared" si="1"/>
        <v>76.4</v>
      </c>
      <c r="F388" s="9" t="s">
        <v>10</v>
      </c>
      <c r="G388" s="7"/>
    </row>
    <row r="389">
      <c r="A389" s="7">
        <v>383.0</v>
      </c>
      <c r="B389" s="8" t="s">
        <v>774</v>
      </c>
      <c r="C389" s="8" t="s">
        <v>775</v>
      </c>
      <c r="D389" s="8">
        <f>IFERROR(__xludf.DUMMYFUNCTION("IFERROR(VLOOKUP(C389,IMPORTRANGE(""https://docs.google.com/spreadsheets/d/10KlTSftfC81rs2H7Cf6EIR7VWS3omC-2kwzaThHv16k/edit#gid=0"",""NSE Input VaR+ELM!D:J""),7,0),100)"),27.99)</f>
        <v>27.99</v>
      </c>
      <c r="E389" s="7">
        <f t="shared" si="1"/>
        <v>72.01</v>
      </c>
      <c r="F389" s="9" t="s">
        <v>10</v>
      </c>
      <c r="G389" s="7"/>
    </row>
    <row r="390">
      <c r="A390" s="7">
        <v>384.0</v>
      </c>
      <c r="B390" s="8" t="s">
        <v>776</v>
      </c>
      <c r="C390" s="8" t="s">
        <v>777</v>
      </c>
      <c r="D390" s="8">
        <f>IFERROR(__xludf.DUMMYFUNCTION("IFERROR(VLOOKUP(C390,IMPORTRANGE(""https://docs.google.com/spreadsheets/d/10KlTSftfC81rs2H7Cf6EIR7VWS3omC-2kwzaThHv16k/edit#gid=0"",""NSE Input VaR+ELM!D:J""),7,0),100)"),26.48)</f>
        <v>26.48</v>
      </c>
      <c r="E390" s="7">
        <f t="shared" si="1"/>
        <v>73.52</v>
      </c>
      <c r="F390" s="9" t="s">
        <v>10</v>
      </c>
      <c r="G390" s="7"/>
    </row>
    <row r="391">
      <c r="A391" s="7">
        <v>385.0</v>
      </c>
      <c r="B391" s="8" t="s">
        <v>778</v>
      </c>
      <c r="C391" s="8" t="s">
        <v>779</v>
      </c>
      <c r="D391" s="8">
        <f>IFERROR(__xludf.DUMMYFUNCTION("IFERROR(VLOOKUP(C391,IMPORTRANGE(""https://docs.google.com/spreadsheets/d/10KlTSftfC81rs2H7Cf6EIR7VWS3omC-2kwzaThHv16k/edit#gid=0"",""NSE Input VaR+ELM!D:J""),7,0),100)"),15.56)</f>
        <v>15.56</v>
      </c>
      <c r="E391" s="7">
        <f t="shared" si="1"/>
        <v>84.44</v>
      </c>
      <c r="F391" s="9" t="s">
        <v>10</v>
      </c>
      <c r="G391" s="7"/>
    </row>
    <row r="392">
      <c r="A392" s="7">
        <v>386.0</v>
      </c>
      <c r="B392" s="8" t="s">
        <v>780</v>
      </c>
      <c r="C392" s="8" t="s">
        <v>781</v>
      </c>
      <c r="D392" s="8">
        <f>IFERROR(__xludf.DUMMYFUNCTION("IFERROR(VLOOKUP(C392,IMPORTRANGE(""https://docs.google.com/spreadsheets/d/10KlTSftfC81rs2H7Cf6EIR7VWS3omC-2kwzaThHv16k/edit#gid=0"",""NSE Input VaR+ELM!D:J""),7,0),100)"),26.29)</f>
        <v>26.29</v>
      </c>
      <c r="E392" s="7">
        <f t="shared" si="1"/>
        <v>73.71</v>
      </c>
      <c r="F392" s="9" t="s">
        <v>10</v>
      </c>
      <c r="G392" s="7"/>
    </row>
    <row r="393">
      <c r="A393" s="7">
        <v>387.0</v>
      </c>
      <c r="B393" s="8" t="s">
        <v>782</v>
      </c>
      <c r="C393" s="8" t="s">
        <v>783</v>
      </c>
      <c r="D393" s="8">
        <f>IFERROR(__xludf.DUMMYFUNCTION("IFERROR(VLOOKUP(C393,IMPORTRANGE(""https://docs.google.com/spreadsheets/d/10KlTSftfC81rs2H7Cf6EIR7VWS3omC-2kwzaThHv16k/edit#gid=0"",""NSE Input VaR+ELM!D:J""),7,0),100)"),24.71)</f>
        <v>24.71</v>
      </c>
      <c r="E393" s="7">
        <f t="shared" si="1"/>
        <v>75.29</v>
      </c>
      <c r="F393" s="9" t="s">
        <v>10</v>
      </c>
      <c r="G393" s="7"/>
    </row>
    <row r="394">
      <c r="A394" s="7">
        <v>388.0</v>
      </c>
      <c r="B394" s="8" t="s">
        <v>784</v>
      </c>
      <c r="C394" s="8" t="s">
        <v>785</v>
      </c>
      <c r="D394" s="8">
        <f>IFERROR(__xludf.DUMMYFUNCTION("IFERROR(VLOOKUP(C394,IMPORTRANGE(""https://docs.google.com/spreadsheets/d/10KlTSftfC81rs2H7Cf6EIR7VWS3omC-2kwzaThHv16k/edit#gid=0"",""NSE Input VaR+ELM!D:J""),7,0),100)"),29.12)</f>
        <v>29.12</v>
      </c>
      <c r="E394" s="7">
        <f t="shared" si="1"/>
        <v>70.88</v>
      </c>
      <c r="F394" s="9" t="s">
        <v>10</v>
      </c>
      <c r="G394" s="7"/>
    </row>
    <row r="395">
      <c r="A395" s="7">
        <v>389.0</v>
      </c>
      <c r="B395" s="8" t="s">
        <v>786</v>
      </c>
      <c r="C395" s="8" t="s">
        <v>787</v>
      </c>
      <c r="D395" s="8">
        <f>IFERROR(__xludf.DUMMYFUNCTION("IFERROR(VLOOKUP(C395,IMPORTRANGE(""https://docs.google.com/spreadsheets/d/10KlTSftfC81rs2H7Cf6EIR7VWS3omC-2kwzaThHv16k/edit#gid=0"",""NSE Input VaR+ELM!D:J""),7,0),100)"),22.83)</f>
        <v>22.83</v>
      </c>
      <c r="E395" s="7">
        <f t="shared" si="1"/>
        <v>77.17</v>
      </c>
      <c r="F395" s="9" t="s">
        <v>217</v>
      </c>
      <c r="G395" s="7"/>
    </row>
    <row r="396">
      <c r="A396" s="7">
        <v>390.0</v>
      </c>
      <c r="B396" s="8" t="s">
        <v>788</v>
      </c>
      <c r="C396" s="8" t="s">
        <v>789</v>
      </c>
      <c r="D396" s="8">
        <f>IFERROR(__xludf.DUMMYFUNCTION("IFERROR(VLOOKUP(C396,IMPORTRANGE(""https://docs.google.com/spreadsheets/d/10KlTSftfC81rs2H7Cf6EIR7VWS3omC-2kwzaThHv16k/edit#gid=0"",""NSE Input VaR+ELM!D:J""),7,0),100)"),13.63)</f>
        <v>13.63</v>
      </c>
      <c r="E396" s="7">
        <f t="shared" si="1"/>
        <v>86.37</v>
      </c>
      <c r="F396" s="9" t="s">
        <v>10</v>
      </c>
      <c r="G396" s="7"/>
    </row>
    <row r="397">
      <c r="A397" s="7">
        <v>391.0</v>
      </c>
      <c r="B397" s="8" t="s">
        <v>790</v>
      </c>
      <c r="C397" s="8" t="s">
        <v>791</v>
      </c>
      <c r="D397" s="8">
        <f>IFERROR(__xludf.DUMMYFUNCTION("IFERROR(VLOOKUP(C397,IMPORTRANGE(""https://docs.google.com/spreadsheets/d/10KlTSftfC81rs2H7Cf6EIR7VWS3omC-2kwzaThHv16k/edit#gid=0"",""NSE Input VaR+ELM!D:J""),7,0),100)"),17.0)</f>
        <v>17</v>
      </c>
      <c r="E397" s="7">
        <f t="shared" si="1"/>
        <v>83</v>
      </c>
      <c r="F397" s="9" t="s">
        <v>10</v>
      </c>
      <c r="G397" s="7"/>
    </row>
    <row r="398">
      <c r="A398" s="7">
        <v>392.0</v>
      </c>
      <c r="B398" s="8" t="s">
        <v>792</v>
      </c>
      <c r="C398" s="8" t="s">
        <v>793</v>
      </c>
      <c r="D398" s="8">
        <f>IFERROR(__xludf.DUMMYFUNCTION("IFERROR(VLOOKUP(C398,IMPORTRANGE(""https://docs.google.com/spreadsheets/d/10KlTSftfC81rs2H7Cf6EIR7VWS3omC-2kwzaThHv16k/edit#gid=0"",""NSE Input VaR+ELM!D:J""),7,0),100)"),15.14)</f>
        <v>15.14</v>
      </c>
      <c r="E398" s="7">
        <f t="shared" si="1"/>
        <v>84.86</v>
      </c>
      <c r="F398" s="9" t="s">
        <v>10</v>
      </c>
      <c r="G398" s="7"/>
    </row>
    <row r="399">
      <c r="A399" s="7">
        <v>393.0</v>
      </c>
      <c r="B399" s="8" t="s">
        <v>794</v>
      </c>
      <c r="C399" s="8" t="s">
        <v>795</v>
      </c>
      <c r="D399" s="8">
        <f>IFERROR(__xludf.DUMMYFUNCTION("IFERROR(VLOOKUP(C399,IMPORTRANGE(""https://docs.google.com/spreadsheets/d/10KlTSftfC81rs2H7Cf6EIR7VWS3omC-2kwzaThHv16k/edit#gid=0"",""NSE Input VaR+ELM!D:J""),7,0),100)"),20.8)</f>
        <v>20.8</v>
      </c>
      <c r="E399" s="7">
        <f t="shared" si="1"/>
        <v>79.2</v>
      </c>
      <c r="F399" s="9" t="s">
        <v>217</v>
      </c>
      <c r="G399" s="7"/>
    </row>
    <row r="400">
      <c r="A400" s="7">
        <v>394.0</v>
      </c>
      <c r="B400" s="8" t="s">
        <v>796</v>
      </c>
      <c r="C400" s="8" t="s">
        <v>797</v>
      </c>
      <c r="D400" s="8">
        <f>IFERROR(__xludf.DUMMYFUNCTION("IFERROR(VLOOKUP(C400,IMPORTRANGE(""https://docs.google.com/spreadsheets/d/10KlTSftfC81rs2H7Cf6EIR7VWS3omC-2kwzaThHv16k/edit#gid=0"",""NSE Input VaR+ELM!D:J""),7,0),100)"),18.6)</f>
        <v>18.6</v>
      </c>
      <c r="E400" s="7">
        <f t="shared" si="1"/>
        <v>81.4</v>
      </c>
      <c r="F400" s="9" t="s">
        <v>10</v>
      </c>
      <c r="G400" s="7"/>
    </row>
    <row r="401">
      <c r="A401" s="7">
        <v>395.0</v>
      </c>
      <c r="B401" s="8" t="s">
        <v>798</v>
      </c>
      <c r="C401" s="8" t="s">
        <v>799</v>
      </c>
      <c r="D401" s="8">
        <f>IFERROR(__xludf.DUMMYFUNCTION("IFERROR(VLOOKUP(C401,IMPORTRANGE(""https://docs.google.com/spreadsheets/d/10KlTSftfC81rs2H7Cf6EIR7VWS3omC-2kwzaThHv16k/edit#gid=0"",""NSE Input VaR+ELM!D:J""),7,0),100)"),22.02)</f>
        <v>22.02</v>
      </c>
      <c r="E401" s="7">
        <f t="shared" si="1"/>
        <v>77.98</v>
      </c>
      <c r="F401" s="9" t="s">
        <v>10</v>
      </c>
      <c r="G401" s="7"/>
    </row>
    <row r="402">
      <c r="A402" s="7">
        <v>396.0</v>
      </c>
      <c r="B402" s="8" t="s">
        <v>800</v>
      </c>
      <c r="C402" s="8" t="s">
        <v>801</v>
      </c>
      <c r="D402" s="8">
        <f>IFERROR(__xludf.DUMMYFUNCTION("IFERROR(VLOOKUP(C402,IMPORTRANGE(""https://docs.google.com/spreadsheets/d/10KlTSftfC81rs2H7Cf6EIR7VWS3omC-2kwzaThHv16k/edit#gid=0"",""NSE Input VaR+ELM!D:J""),7,0),100)"),18.54)</f>
        <v>18.54</v>
      </c>
      <c r="E402" s="7">
        <f t="shared" si="1"/>
        <v>81.46</v>
      </c>
      <c r="F402" s="9" t="s">
        <v>10</v>
      </c>
      <c r="G402" s="7"/>
    </row>
    <row r="403">
      <c r="A403" s="7">
        <v>397.0</v>
      </c>
      <c r="B403" s="8" t="s">
        <v>802</v>
      </c>
      <c r="C403" s="8" t="s">
        <v>803</v>
      </c>
      <c r="D403" s="8">
        <f>IFERROR(__xludf.DUMMYFUNCTION("IFERROR(VLOOKUP(C403,IMPORTRANGE(""https://docs.google.com/spreadsheets/d/10KlTSftfC81rs2H7Cf6EIR7VWS3omC-2kwzaThHv16k/edit#gid=0"",""NSE Input VaR+ELM!D:J""),7,0),100)"),14.33)</f>
        <v>14.33</v>
      </c>
      <c r="E403" s="7">
        <f t="shared" si="1"/>
        <v>85.67</v>
      </c>
      <c r="F403" s="9" t="s">
        <v>10</v>
      </c>
      <c r="G403" s="7"/>
    </row>
    <row r="404">
      <c r="A404" s="7">
        <v>398.0</v>
      </c>
      <c r="B404" s="8" t="s">
        <v>804</v>
      </c>
      <c r="C404" s="8" t="s">
        <v>805</v>
      </c>
      <c r="D404" s="8">
        <f>IFERROR(__xludf.DUMMYFUNCTION("IFERROR(VLOOKUP(C404,IMPORTRANGE(""https://docs.google.com/spreadsheets/d/10KlTSftfC81rs2H7Cf6EIR7VWS3omC-2kwzaThHv16k/edit#gid=0"",""NSE Input VaR+ELM!D:J""),7,0),100)"),20.64)</f>
        <v>20.64</v>
      </c>
      <c r="E404" s="7">
        <f t="shared" si="1"/>
        <v>79.36</v>
      </c>
      <c r="F404" s="9" t="s">
        <v>10</v>
      </c>
      <c r="G404" s="7"/>
    </row>
    <row r="405">
      <c r="A405" s="7">
        <v>399.0</v>
      </c>
      <c r="B405" s="8" t="s">
        <v>806</v>
      </c>
      <c r="C405" s="8" t="s">
        <v>807</v>
      </c>
      <c r="D405" s="8">
        <f>IFERROR(__xludf.DUMMYFUNCTION("IFERROR(VLOOKUP(C405,IMPORTRANGE(""https://docs.google.com/spreadsheets/d/10KlTSftfC81rs2H7Cf6EIR7VWS3omC-2kwzaThHv16k/edit#gid=0"",""NSE Input VaR+ELM!D:J""),7,0),100)"),18.19)</f>
        <v>18.19</v>
      </c>
      <c r="E405" s="7">
        <f t="shared" si="1"/>
        <v>81.81</v>
      </c>
      <c r="F405" s="9" t="s">
        <v>10</v>
      </c>
      <c r="G405" s="7"/>
    </row>
    <row r="406">
      <c r="A406" s="7">
        <v>400.0</v>
      </c>
      <c r="B406" s="8" t="s">
        <v>808</v>
      </c>
      <c r="C406" s="8" t="s">
        <v>809</v>
      </c>
      <c r="D406" s="8">
        <f>IFERROR(__xludf.DUMMYFUNCTION("IFERROR(VLOOKUP(C406,IMPORTRANGE(""https://docs.google.com/spreadsheets/d/10KlTSftfC81rs2H7Cf6EIR7VWS3omC-2kwzaThHv16k/edit#gid=0"",""NSE Input VaR+ELM!D:J""),7,0),100)"),23.38)</f>
        <v>23.38</v>
      </c>
      <c r="E406" s="7">
        <f t="shared" si="1"/>
        <v>76.62</v>
      </c>
      <c r="F406" s="9" t="s">
        <v>10</v>
      </c>
      <c r="G406" s="7"/>
    </row>
    <row r="407">
      <c r="A407" s="7">
        <v>401.0</v>
      </c>
      <c r="B407" s="8" t="s">
        <v>810</v>
      </c>
      <c r="C407" s="8" t="s">
        <v>811</v>
      </c>
      <c r="D407" s="8">
        <f>IFERROR(__xludf.DUMMYFUNCTION("IFERROR(VLOOKUP(C407,IMPORTRANGE(""https://docs.google.com/spreadsheets/d/10KlTSftfC81rs2H7Cf6EIR7VWS3omC-2kwzaThHv16k/edit#gid=0"",""NSE Input VaR+ELM!D:J""),7,0),100)"),12.5)</f>
        <v>12.5</v>
      </c>
      <c r="E407" s="7">
        <f t="shared" si="1"/>
        <v>87.5</v>
      </c>
      <c r="F407" s="9" t="s">
        <v>10</v>
      </c>
      <c r="G407" s="7"/>
    </row>
    <row r="408">
      <c r="A408" s="7">
        <v>402.0</v>
      </c>
      <c r="B408" s="8" t="s">
        <v>812</v>
      </c>
      <c r="C408" s="8" t="s">
        <v>813</v>
      </c>
      <c r="D408" s="8">
        <f>IFERROR(__xludf.DUMMYFUNCTION("IFERROR(VLOOKUP(C408,IMPORTRANGE(""https://docs.google.com/spreadsheets/d/10KlTSftfC81rs2H7Cf6EIR7VWS3omC-2kwzaThHv16k/edit#gid=0"",""NSE Input VaR+ELM!D:J""),7,0),100)"),22.19)</f>
        <v>22.19</v>
      </c>
      <c r="E408" s="7">
        <f t="shared" si="1"/>
        <v>77.81</v>
      </c>
      <c r="F408" s="9" t="s">
        <v>10</v>
      </c>
      <c r="G408" s="7"/>
    </row>
    <row r="409">
      <c r="A409" s="7">
        <v>403.0</v>
      </c>
      <c r="B409" s="8" t="s">
        <v>814</v>
      </c>
      <c r="C409" s="8" t="s">
        <v>815</v>
      </c>
      <c r="D409" s="8">
        <f>IFERROR(__xludf.DUMMYFUNCTION("IFERROR(VLOOKUP(C409,IMPORTRANGE(""https://docs.google.com/spreadsheets/d/10KlTSftfC81rs2H7Cf6EIR7VWS3omC-2kwzaThHv16k/edit#gid=0"",""NSE Input VaR+ELM!D:J""),7,0),100)"),25.06)</f>
        <v>25.06</v>
      </c>
      <c r="E409" s="7">
        <f t="shared" si="1"/>
        <v>74.94</v>
      </c>
      <c r="F409" s="9" t="s">
        <v>10</v>
      </c>
      <c r="G409" s="7"/>
    </row>
    <row r="410">
      <c r="A410" s="7">
        <v>404.0</v>
      </c>
      <c r="B410" s="8" t="s">
        <v>816</v>
      </c>
      <c r="C410" s="8" t="s">
        <v>817</v>
      </c>
      <c r="D410" s="8">
        <f>IFERROR(__xludf.DUMMYFUNCTION("IFERROR(VLOOKUP(C410,IMPORTRANGE(""https://docs.google.com/spreadsheets/d/10KlTSftfC81rs2H7Cf6EIR7VWS3omC-2kwzaThHv16k/edit#gid=0"",""NSE Input VaR+ELM!D:J""),7,0),100)"),25.3)</f>
        <v>25.3</v>
      </c>
      <c r="E410" s="7">
        <f t="shared" si="1"/>
        <v>74.7</v>
      </c>
      <c r="F410" s="9" t="s">
        <v>10</v>
      </c>
      <c r="G410" s="7"/>
    </row>
    <row r="411">
      <c r="A411" s="7">
        <v>405.0</v>
      </c>
      <c r="B411" s="8" t="s">
        <v>818</v>
      </c>
      <c r="C411" s="8" t="s">
        <v>819</v>
      </c>
      <c r="D411" s="8">
        <f>IFERROR(__xludf.DUMMYFUNCTION("IFERROR(VLOOKUP(C411,IMPORTRANGE(""https://docs.google.com/spreadsheets/d/10KlTSftfC81rs2H7Cf6EIR7VWS3omC-2kwzaThHv16k/edit#gid=0"",""NSE Input VaR+ELM!D:J""),7,0),100)"),14.6)</f>
        <v>14.6</v>
      </c>
      <c r="E411" s="7">
        <f t="shared" si="1"/>
        <v>85.4</v>
      </c>
      <c r="F411" s="9" t="s">
        <v>10</v>
      </c>
      <c r="G411" s="7"/>
    </row>
    <row r="412">
      <c r="A412" s="7">
        <v>406.0</v>
      </c>
      <c r="B412" s="8" t="s">
        <v>820</v>
      </c>
      <c r="C412" s="8" t="s">
        <v>821</v>
      </c>
      <c r="D412" s="8">
        <f>IFERROR(__xludf.DUMMYFUNCTION("IFERROR(VLOOKUP(C412,IMPORTRANGE(""https://docs.google.com/spreadsheets/d/10KlTSftfC81rs2H7Cf6EIR7VWS3omC-2kwzaThHv16k/edit#gid=0"",""NSE Input VaR+ELM!D:J""),7,0),100)"),24.28)</f>
        <v>24.28</v>
      </c>
      <c r="E412" s="7">
        <f t="shared" si="1"/>
        <v>75.72</v>
      </c>
      <c r="F412" s="9" t="s">
        <v>10</v>
      </c>
      <c r="G412" s="7"/>
    </row>
    <row r="413">
      <c r="A413" s="7">
        <v>407.0</v>
      </c>
      <c r="B413" s="8" t="s">
        <v>822</v>
      </c>
      <c r="C413" s="8" t="s">
        <v>823</v>
      </c>
      <c r="D413" s="8">
        <f>IFERROR(__xludf.DUMMYFUNCTION("IFERROR(VLOOKUP(C413,IMPORTRANGE(""https://docs.google.com/spreadsheets/d/10KlTSftfC81rs2H7Cf6EIR7VWS3omC-2kwzaThHv16k/edit#gid=0"",""NSE Input VaR+ELM!D:J""),7,0),100)"),16.44)</f>
        <v>16.44</v>
      </c>
      <c r="E413" s="7">
        <f t="shared" si="1"/>
        <v>83.56</v>
      </c>
      <c r="F413" s="9" t="s">
        <v>10</v>
      </c>
      <c r="G413" s="7"/>
    </row>
    <row r="414">
      <c r="A414" s="7">
        <v>408.0</v>
      </c>
      <c r="B414" s="8" t="s">
        <v>824</v>
      </c>
      <c r="C414" s="8" t="s">
        <v>825</v>
      </c>
      <c r="D414" s="8">
        <f>IFERROR(__xludf.DUMMYFUNCTION("IFERROR(VLOOKUP(C414,IMPORTRANGE(""https://docs.google.com/spreadsheets/d/10KlTSftfC81rs2H7Cf6EIR7VWS3omC-2kwzaThHv16k/edit#gid=0"",""NSE Input VaR+ELM!D:J""),7,0),100)"),26.89)</f>
        <v>26.89</v>
      </c>
      <c r="E414" s="7">
        <f t="shared" si="1"/>
        <v>73.11</v>
      </c>
      <c r="F414" s="9" t="s">
        <v>10</v>
      </c>
      <c r="G414" s="7"/>
    </row>
    <row r="415">
      <c r="A415" s="7">
        <v>409.0</v>
      </c>
      <c r="B415" s="8" t="s">
        <v>826</v>
      </c>
      <c r="C415" s="8" t="s">
        <v>827</v>
      </c>
      <c r="D415" s="8">
        <f>IFERROR(__xludf.DUMMYFUNCTION("IFERROR(VLOOKUP(C415,IMPORTRANGE(""https://docs.google.com/spreadsheets/d/10KlTSftfC81rs2H7Cf6EIR7VWS3omC-2kwzaThHv16k/edit#gid=0"",""NSE Input VaR+ELM!D:J""),7,0),100)"),23.18)</f>
        <v>23.18</v>
      </c>
      <c r="E415" s="7">
        <f t="shared" si="1"/>
        <v>76.82</v>
      </c>
      <c r="F415" s="9" t="s">
        <v>10</v>
      </c>
      <c r="G415" s="7"/>
    </row>
    <row r="416">
      <c r="A416" s="7">
        <v>410.0</v>
      </c>
      <c r="B416" s="8" t="s">
        <v>828</v>
      </c>
      <c r="C416" s="8" t="s">
        <v>829</v>
      </c>
      <c r="D416" s="8">
        <f>IFERROR(__xludf.DUMMYFUNCTION("IFERROR(VLOOKUP(C416,IMPORTRANGE(""https://docs.google.com/spreadsheets/d/10KlTSftfC81rs2H7Cf6EIR7VWS3omC-2kwzaThHv16k/edit#gid=0"",""NSE Input VaR+ELM!D:J""),7,0),100)"),50.0)</f>
        <v>50</v>
      </c>
      <c r="E416" s="7">
        <f t="shared" si="1"/>
        <v>50</v>
      </c>
      <c r="F416" s="9" t="s">
        <v>10</v>
      </c>
      <c r="G416" s="7"/>
    </row>
    <row r="417">
      <c r="A417" s="7">
        <v>411.0</v>
      </c>
      <c r="B417" s="8" t="s">
        <v>830</v>
      </c>
      <c r="C417" s="8" t="s">
        <v>831</v>
      </c>
      <c r="D417" s="8">
        <f>IFERROR(__xludf.DUMMYFUNCTION("IFERROR(VLOOKUP(C417,IMPORTRANGE(""https://docs.google.com/spreadsheets/d/10KlTSftfC81rs2H7Cf6EIR7VWS3omC-2kwzaThHv16k/edit#gid=0"",""NSE Input VaR+ELM!D:J""),7,0),100)"),16.13)</f>
        <v>16.13</v>
      </c>
      <c r="E417" s="7">
        <f t="shared" si="1"/>
        <v>83.87</v>
      </c>
      <c r="F417" s="9" t="s">
        <v>10</v>
      </c>
      <c r="G417" s="7"/>
    </row>
    <row r="418">
      <c r="A418" s="7">
        <v>412.0</v>
      </c>
      <c r="B418" s="8" t="s">
        <v>832</v>
      </c>
      <c r="C418" s="8" t="s">
        <v>833</v>
      </c>
      <c r="D418" s="8">
        <f>IFERROR(__xludf.DUMMYFUNCTION("IFERROR(VLOOKUP(C418,IMPORTRANGE(""https://docs.google.com/spreadsheets/d/10KlTSftfC81rs2H7Cf6EIR7VWS3omC-2kwzaThHv16k/edit#gid=0"",""NSE Input VaR+ELM!D:J""),7,0),100)"),18.3)</f>
        <v>18.3</v>
      </c>
      <c r="E418" s="7">
        <f t="shared" si="1"/>
        <v>81.7</v>
      </c>
      <c r="F418" s="9" t="s">
        <v>10</v>
      </c>
      <c r="G418" s="7"/>
    </row>
    <row r="419">
      <c r="A419" s="7">
        <v>413.0</v>
      </c>
      <c r="B419" s="8" t="s">
        <v>834</v>
      </c>
      <c r="C419" s="8" t="s">
        <v>835</v>
      </c>
      <c r="D419" s="8">
        <f>IFERROR(__xludf.DUMMYFUNCTION("IFERROR(VLOOKUP(C419,IMPORTRANGE(""https://docs.google.com/spreadsheets/d/10KlTSftfC81rs2H7Cf6EIR7VWS3omC-2kwzaThHv16k/edit#gid=0"",""NSE Input VaR+ELM!D:J""),7,0),100)"),24.77)</f>
        <v>24.77</v>
      </c>
      <c r="E419" s="7">
        <f t="shared" si="1"/>
        <v>75.23</v>
      </c>
      <c r="F419" s="9" t="s">
        <v>10</v>
      </c>
      <c r="G419" s="7"/>
    </row>
    <row r="420">
      <c r="A420" s="7">
        <v>414.0</v>
      </c>
      <c r="B420" s="8" t="s">
        <v>836</v>
      </c>
      <c r="C420" s="8" t="s">
        <v>837</v>
      </c>
      <c r="D420" s="8">
        <f>IFERROR(__xludf.DUMMYFUNCTION("IFERROR(VLOOKUP(C420,IMPORTRANGE(""https://docs.google.com/spreadsheets/d/10KlTSftfC81rs2H7Cf6EIR7VWS3omC-2kwzaThHv16k/edit#gid=0"",""NSE Input VaR+ELM!D:J""),7,0),100)"),24.41)</f>
        <v>24.41</v>
      </c>
      <c r="E420" s="7">
        <f t="shared" si="1"/>
        <v>75.59</v>
      </c>
      <c r="F420" s="9" t="s">
        <v>10</v>
      </c>
      <c r="G420" s="7"/>
    </row>
    <row r="421">
      <c r="A421" s="7">
        <v>415.0</v>
      </c>
      <c r="B421" s="8" t="s">
        <v>838</v>
      </c>
      <c r="C421" s="8" t="s">
        <v>839</v>
      </c>
      <c r="D421" s="8">
        <f>IFERROR(__xludf.DUMMYFUNCTION("IFERROR(VLOOKUP(C421,IMPORTRANGE(""https://docs.google.com/spreadsheets/d/10KlTSftfC81rs2H7Cf6EIR7VWS3omC-2kwzaThHv16k/edit#gid=0"",""NSE Input VaR+ELM!D:J""),7,0),100)"),18.92)</f>
        <v>18.92</v>
      </c>
      <c r="E421" s="7">
        <f t="shared" si="1"/>
        <v>81.08</v>
      </c>
      <c r="F421" s="9" t="s">
        <v>10</v>
      </c>
      <c r="G421" s="7"/>
    </row>
    <row r="422">
      <c r="A422" s="7">
        <v>416.0</v>
      </c>
      <c r="B422" s="8" t="s">
        <v>840</v>
      </c>
      <c r="C422" s="8" t="s">
        <v>841</v>
      </c>
      <c r="D422" s="8">
        <f>IFERROR(__xludf.DUMMYFUNCTION("IFERROR(VLOOKUP(C422,IMPORTRANGE(""https://docs.google.com/spreadsheets/d/10KlTSftfC81rs2H7Cf6EIR7VWS3omC-2kwzaThHv16k/edit#gid=0"",""NSE Input VaR+ELM!D:J""),7,0),100)"),21.9)</f>
        <v>21.9</v>
      </c>
      <c r="E422" s="7">
        <f t="shared" si="1"/>
        <v>78.1</v>
      </c>
      <c r="F422" s="9" t="s">
        <v>10</v>
      </c>
      <c r="G422" s="7"/>
    </row>
    <row r="423">
      <c r="A423" s="7">
        <v>417.0</v>
      </c>
      <c r="B423" s="8" t="s">
        <v>842</v>
      </c>
      <c r="C423" s="8" t="s">
        <v>843</v>
      </c>
      <c r="D423" s="8">
        <f>IFERROR(__xludf.DUMMYFUNCTION("IFERROR(VLOOKUP(C423,IMPORTRANGE(""https://docs.google.com/spreadsheets/d/10KlTSftfC81rs2H7Cf6EIR7VWS3omC-2kwzaThHv16k/edit#gid=0"",""NSE Input VaR+ELM!D:J""),7,0),100)"),18.09)</f>
        <v>18.09</v>
      </c>
      <c r="E423" s="7">
        <f t="shared" si="1"/>
        <v>81.91</v>
      </c>
      <c r="F423" s="9" t="s">
        <v>10</v>
      </c>
      <c r="G423" s="7"/>
    </row>
    <row r="424">
      <c r="A424" s="7">
        <v>418.0</v>
      </c>
      <c r="B424" s="8" t="s">
        <v>844</v>
      </c>
      <c r="C424" s="8" t="s">
        <v>845</v>
      </c>
      <c r="D424" s="8">
        <f>IFERROR(__xludf.DUMMYFUNCTION("IFERROR(VLOOKUP(C424,IMPORTRANGE(""https://docs.google.com/spreadsheets/d/10KlTSftfC81rs2H7Cf6EIR7VWS3omC-2kwzaThHv16k/edit#gid=0"",""NSE Input VaR+ELM!D:J""),7,0),100)"),17.9)</f>
        <v>17.9</v>
      </c>
      <c r="E424" s="7">
        <f t="shared" si="1"/>
        <v>82.1</v>
      </c>
      <c r="F424" s="9" t="s">
        <v>10</v>
      </c>
      <c r="G424" s="7"/>
    </row>
    <row r="425">
      <c r="A425" s="7">
        <v>419.0</v>
      </c>
      <c r="B425" s="8" t="s">
        <v>846</v>
      </c>
      <c r="C425" s="8" t="s">
        <v>847</v>
      </c>
      <c r="D425" s="8">
        <f>IFERROR(__xludf.DUMMYFUNCTION("IFERROR(VLOOKUP(C425,IMPORTRANGE(""https://docs.google.com/spreadsheets/d/10KlTSftfC81rs2H7Cf6EIR7VWS3omC-2kwzaThHv16k/edit#gid=0"",""NSE Input VaR+ELM!D:J""),7,0),100)"),22.15)</f>
        <v>22.15</v>
      </c>
      <c r="E425" s="7">
        <f t="shared" si="1"/>
        <v>77.85</v>
      </c>
      <c r="F425" s="9" t="s">
        <v>10</v>
      </c>
      <c r="G425" s="7"/>
    </row>
    <row r="426">
      <c r="A426" s="7">
        <v>420.0</v>
      </c>
      <c r="B426" s="8" t="s">
        <v>848</v>
      </c>
      <c r="C426" s="8" t="s">
        <v>849</v>
      </c>
      <c r="D426" s="8">
        <f>IFERROR(__xludf.DUMMYFUNCTION("IFERROR(VLOOKUP(C426,IMPORTRANGE(""https://docs.google.com/spreadsheets/d/10KlTSftfC81rs2H7Cf6EIR7VWS3omC-2kwzaThHv16k/edit#gid=0"",""NSE Input VaR+ELM!D:J""),7,0),100)"),15.65)</f>
        <v>15.65</v>
      </c>
      <c r="E426" s="7">
        <f t="shared" si="1"/>
        <v>84.35</v>
      </c>
      <c r="F426" s="9" t="s">
        <v>10</v>
      </c>
      <c r="G426" s="7"/>
    </row>
    <row r="427">
      <c r="A427" s="7">
        <v>421.0</v>
      </c>
      <c r="B427" s="8" t="s">
        <v>850</v>
      </c>
      <c r="C427" s="8" t="s">
        <v>851</v>
      </c>
      <c r="D427" s="8">
        <f>IFERROR(__xludf.DUMMYFUNCTION("IFERROR(VLOOKUP(C427,IMPORTRANGE(""https://docs.google.com/spreadsheets/d/10KlTSftfC81rs2H7Cf6EIR7VWS3omC-2kwzaThHv16k/edit#gid=0"",""NSE Input VaR+ELM!D:J""),7,0),100)"),21.74)</f>
        <v>21.74</v>
      </c>
      <c r="E427" s="7">
        <f t="shared" si="1"/>
        <v>78.26</v>
      </c>
      <c r="F427" s="9" t="s">
        <v>10</v>
      </c>
      <c r="G427" s="7"/>
    </row>
    <row r="428">
      <c r="A428" s="7">
        <v>422.0</v>
      </c>
      <c r="B428" s="8" t="s">
        <v>852</v>
      </c>
      <c r="C428" s="8" t="s">
        <v>853</v>
      </c>
      <c r="D428" s="8">
        <f>IFERROR(__xludf.DUMMYFUNCTION("IFERROR(VLOOKUP(C428,IMPORTRANGE(""https://docs.google.com/spreadsheets/d/10KlTSftfC81rs2H7Cf6EIR7VWS3omC-2kwzaThHv16k/edit#gid=0"",""NSE Input VaR+ELM!D:J""),7,0),100)"),21.11)</f>
        <v>21.11</v>
      </c>
      <c r="E428" s="7">
        <f t="shared" si="1"/>
        <v>78.89</v>
      </c>
      <c r="F428" s="9" t="s">
        <v>10</v>
      </c>
      <c r="G428" s="7"/>
    </row>
    <row r="429">
      <c r="A429" s="7">
        <v>423.0</v>
      </c>
      <c r="B429" s="8" t="s">
        <v>854</v>
      </c>
      <c r="C429" s="8" t="s">
        <v>855</v>
      </c>
      <c r="D429" s="8">
        <f>IFERROR(__xludf.DUMMYFUNCTION("IFERROR(VLOOKUP(C429,IMPORTRANGE(""https://docs.google.com/spreadsheets/d/10KlTSftfC81rs2H7Cf6EIR7VWS3omC-2kwzaThHv16k/edit#gid=0"",""NSE Input VaR+ELM!D:J""),7,0),100)"),17.17)</f>
        <v>17.17</v>
      </c>
      <c r="E429" s="7">
        <f t="shared" si="1"/>
        <v>82.83</v>
      </c>
      <c r="F429" s="9" t="s">
        <v>10</v>
      </c>
      <c r="G429" s="7"/>
    </row>
    <row r="430">
      <c r="A430" s="7">
        <v>424.0</v>
      </c>
      <c r="B430" s="8" t="s">
        <v>856</v>
      </c>
      <c r="C430" s="8" t="s">
        <v>857</v>
      </c>
      <c r="D430" s="8">
        <f>IFERROR(__xludf.DUMMYFUNCTION("IFERROR(VLOOKUP(C430,IMPORTRANGE(""https://docs.google.com/spreadsheets/d/10KlTSftfC81rs2H7Cf6EIR7VWS3omC-2kwzaThHv16k/edit#gid=0"",""NSE Input VaR+ELM!D:J""),7,0),100)"),18.15)</f>
        <v>18.15</v>
      </c>
      <c r="E430" s="7">
        <f t="shared" si="1"/>
        <v>81.85</v>
      </c>
      <c r="F430" s="9" t="s">
        <v>217</v>
      </c>
      <c r="G430" s="7"/>
    </row>
    <row r="431">
      <c r="A431" s="7">
        <v>425.0</v>
      </c>
      <c r="B431" s="8" t="s">
        <v>858</v>
      </c>
      <c r="C431" s="8" t="s">
        <v>859</v>
      </c>
      <c r="D431" s="8">
        <f>IFERROR(__xludf.DUMMYFUNCTION("IFERROR(VLOOKUP(C431,IMPORTRANGE(""https://docs.google.com/spreadsheets/d/10KlTSftfC81rs2H7Cf6EIR7VWS3omC-2kwzaThHv16k/edit#gid=0"",""NSE Input VaR+ELM!D:J""),7,0),100)"),21.89)</f>
        <v>21.89</v>
      </c>
      <c r="E431" s="7">
        <f t="shared" si="1"/>
        <v>78.11</v>
      </c>
      <c r="F431" s="9" t="s">
        <v>10</v>
      </c>
      <c r="G431" s="7"/>
    </row>
    <row r="432">
      <c r="A432" s="7">
        <v>426.0</v>
      </c>
      <c r="B432" s="8" t="s">
        <v>860</v>
      </c>
      <c r="C432" s="8" t="s">
        <v>861</v>
      </c>
      <c r="D432" s="8">
        <f>IFERROR(__xludf.DUMMYFUNCTION("IFERROR(VLOOKUP(C432,IMPORTRANGE(""https://docs.google.com/spreadsheets/d/10KlTSftfC81rs2H7Cf6EIR7VWS3omC-2kwzaThHv16k/edit#gid=0"",""NSE Input VaR+ELM!D:J""),7,0),100)"),19.42)</f>
        <v>19.42</v>
      </c>
      <c r="E432" s="7">
        <f t="shared" si="1"/>
        <v>80.58</v>
      </c>
      <c r="F432" s="9" t="s">
        <v>10</v>
      </c>
      <c r="G432" s="7"/>
    </row>
    <row r="433">
      <c r="A433" s="7">
        <v>427.0</v>
      </c>
      <c r="B433" s="8" t="s">
        <v>862</v>
      </c>
      <c r="C433" s="8" t="s">
        <v>863</v>
      </c>
      <c r="D433" s="8">
        <f>IFERROR(__xludf.DUMMYFUNCTION("IFERROR(VLOOKUP(C433,IMPORTRANGE(""https://docs.google.com/spreadsheets/d/10KlTSftfC81rs2H7Cf6EIR7VWS3omC-2kwzaThHv16k/edit#gid=0"",""NSE Input VaR+ELM!D:J""),7,0),100)"),26.85)</f>
        <v>26.85</v>
      </c>
      <c r="E433" s="7">
        <f t="shared" si="1"/>
        <v>73.15</v>
      </c>
      <c r="F433" s="9" t="s">
        <v>10</v>
      </c>
      <c r="G433" s="7"/>
    </row>
    <row r="434">
      <c r="A434" s="7">
        <v>428.0</v>
      </c>
      <c r="B434" s="8" t="s">
        <v>864</v>
      </c>
      <c r="C434" s="8" t="s">
        <v>865</v>
      </c>
      <c r="D434" s="8">
        <f>IFERROR(__xludf.DUMMYFUNCTION("IFERROR(VLOOKUP(C434,IMPORTRANGE(""https://docs.google.com/spreadsheets/d/10KlTSftfC81rs2H7Cf6EIR7VWS3omC-2kwzaThHv16k/edit#gid=0"",""NSE Input VaR+ELM!D:J""),7,0),100)"),15.08)</f>
        <v>15.08</v>
      </c>
      <c r="E434" s="7">
        <f t="shared" si="1"/>
        <v>84.92</v>
      </c>
      <c r="F434" s="9" t="s">
        <v>10</v>
      </c>
      <c r="G434" s="7"/>
    </row>
    <row r="435">
      <c r="A435" s="7">
        <v>429.0</v>
      </c>
      <c r="B435" s="8" t="s">
        <v>866</v>
      </c>
      <c r="C435" s="8" t="s">
        <v>867</v>
      </c>
      <c r="D435" s="8">
        <f>IFERROR(__xludf.DUMMYFUNCTION("IFERROR(VLOOKUP(C435,IMPORTRANGE(""https://docs.google.com/spreadsheets/d/10KlTSftfC81rs2H7Cf6EIR7VWS3omC-2kwzaThHv16k/edit#gid=0"",""NSE Input VaR+ELM!D:J""),7,0),100)"),21.32)</f>
        <v>21.32</v>
      </c>
      <c r="E435" s="7">
        <f t="shared" si="1"/>
        <v>78.68</v>
      </c>
      <c r="F435" s="9" t="s">
        <v>217</v>
      </c>
      <c r="G435" s="7"/>
    </row>
    <row r="436">
      <c r="A436" s="7">
        <v>430.0</v>
      </c>
      <c r="B436" s="8" t="s">
        <v>868</v>
      </c>
      <c r="C436" s="8" t="s">
        <v>869</v>
      </c>
      <c r="D436" s="8">
        <f>IFERROR(__xludf.DUMMYFUNCTION("IFERROR(VLOOKUP(C436,IMPORTRANGE(""https://docs.google.com/spreadsheets/d/10KlTSftfC81rs2H7Cf6EIR7VWS3omC-2kwzaThHv16k/edit#gid=0"",""NSE Input VaR+ELM!D:J""),7,0),100)"),19.85)</f>
        <v>19.85</v>
      </c>
      <c r="E436" s="7">
        <f t="shared" si="1"/>
        <v>80.15</v>
      </c>
      <c r="F436" s="9" t="s">
        <v>10</v>
      </c>
      <c r="G436" s="7"/>
    </row>
    <row r="437">
      <c r="A437" s="7">
        <v>431.0</v>
      </c>
      <c r="B437" s="8" t="s">
        <v>870</v>
      </c>
      <c r="C437" s="8" t="s">
        <v>871</v>
      </c>
      <c r="D437" s="8">
        <f>IFERROR(__xludf.DUMMYFUNCTION("IFERROR(VLOOKUP(C437,IMPORTRANGE(""https://docs.google.com/spreadsheets/d/10KlTSftfC81rs2H7Cf6EIR7VWS3omC-2kwzaThHv16k/edit#gid=0"",""NSE Input VaR+ELM!D:J""),7,0),100)"),19.02)</f>
        <v>19.02</v>
      </c>
      <c r="E437" s="7">
        <f t="shared" si="1"/>
        <v>80.98</v>
      </c>
      <c r="F437" s="9" t="s">
        <v>10</v>
      </c>
      <c r="G437" s="7"/>
    </row>
    <row r="438">
      <c r="A438" s="7">
        <v>432.0</v>
      </c>
      <c r="B438" s="8" t="s">
        <v>872</v>
      </c>
      <c r="C438" s="8" t="s">
        <v>873</v>
      </c>
      <c r="D438" s="8">
        <f>IFERROR(__xludf.DUMMYFUNCTION("IFERROR(VLOOKUP(C438,IMPORTRANGE(""https://docs.google.com/spreadsheets/d/10KlTSftfC81rs2H7Cf6EIR7VWS3omC-2kwzaThHv16k/edit#gid=0"",""NSE Input VaR+ELM!D:J""),7,0),100)"),28.46)</f>
        <v>28.46</v>
      </c>
      <c r="E438" s="7">
        <f t="shared" si="1"/>
        <v>71.54</v>
      </c>
      <c r="F438" s="9" t="s">
        <v>10</v>
      </c>
      <c r="G438" s="7"/>
    </row>
    <row r="439">
      <c r="A439" s="7">
        <v>433.0</v>
      </c>
      <c r="B439" s="8" t="s">
        <v>874</v>
      </c>
      <c r="C439" s="8" t="s">
        <v>875</v>
      </c>
      <c r="D439" s="8">
        <f>IFERROR(__xludf.DUMMYFUNCTION("IFERROR(VLOOKUP(C439,IMPORTRANGE(""https://docs.google.com/spreadsheets/d/10KlTSftfC81rs2H7Cf6EIR7VWS3omC-2kwzaThHv16k/edit#gid=0"",""NSE Input VaR+ELM!D:J""),7,0),100)"),16.83)</f>
        <v>16.83</v>
      </c>
      <c r="E439" s="7">
        <f t="shared" si="1"/>
        <v>83.17</v>
      </c>
      <c r="F439" s="9" t="s">
        <v>217</v>
      </c>
      <c r="G439" s="7"/>
    </row>
    <row r="440">
      <c r="A440" s="7">
        <v>434.0</v>
      </c>
      <c r="B440" s="8" t="s">
        <v>876</v>
      </c>
      <c r="C440" s="8" t="s">
        <v>877</v>
      </c>
      <c r="D440" s="8">
        <f>IFERROR(__xludf.DUMMYFUNCTION("IFERROR(VLOOKUP(C440,IMPORTRANGE(""https://docs.google.com/spreadsheets/d/10KlTSftfC81rs2H7Cf6EIR7VWS3omC-2kwzaThHv16k/edit#gid=0"",""NSE Input VaR+ELM!D:J""),7,0),100)"),12.5)</f>
        <v>12.5</v>
      </c>
      <c r="E440" s="7">
        <f t="shared" si="1"/>
        <v>87.5</v>
      </c>
      <c r="F440" s="9" t="s">
        <v>10</v>
      </c>
      <c r="G440" s="7"/>
    </row>
    <row r="441">
      <c r="A441" s="7">
        <v>435.0</v>
      </c>
      <c r="B441" s="8" t="s">
        <v>878</v>
      </c>
      <c r="C441" s="8" t="s">
        <v>879</v>
      </c>
      <c r="D441" s="8">
        <f>IFERROR(__xludf.DUMMYFUNCTION("IFERROR(VLOOKUP(C441,IMPORTRANGE(""https://docs.google.com/spreadsheets/d/10KlTSftfC81rs2H7Cf6EIR7VWS3omC-2kwzaThHv16k/edit#gid=0"",""NSE Input VaR+ELM!D:J""),7,0),100)"),24.67)</f>
        <v>24.67</v>
      </c>
      <c r="E441" s="7">
        <f t="shared" si="1"/>
        <v>75.33</v>
      </c>
      <c r="F441" s="9" t="s">
        <v>10</v>
      </c>
      <c r="G441" s="7"/>
    </row>
    <row r="442">
      <c r="A442" s="7">
        <v>436.0</v>
      </c>
      <c r="B442" s="8" t="s">
        <v>880</v>
      </c>
      <c r="C442" s="8" t="s">
        <v>881</v>
      </c>
      <c r="D442" s="8">
        <f>IFERROR(__xludf.DUMMYFUNCTION("IFERROR(VLOOKUP(C442,IMPORTRANGE(""https://docs.google.com/spreadsheets/d/10KlTSftfC81rs2H7Cf6EIR7VWS3omC-2kwzaThHv16k/edit#gid=0"",""NSE Input VaR+ELM!D:J""),7,0),100)"),33.84)</f>
        <v>33.84</v>
      </c>
      <c r="E442" s="7">
        <f t="shared" si="1"/>
        <v>66.16</v>
      </c>
      <c r="F442" s="9" t="s">
        <v>10</v>
      </c>
      <c r="G442" s="7"/>
    </row>
    <row r="443">
      <c r="A443" s="7">
        <v>437.0</v>
      </c>
      <c r="B443" s="8" t="s">
        <v>882</v>
      </c>
      <c r="C443" s="8" t="s">
        <v>883</v>
      </c>
      <c r="D443" s="8">
        <f>IFERROR(__xludf.DUMMYFUNCTION("IFERROR(VLOOKUP(C443,IMPORTRANGE(""https://docs.google.com/spreadsheets/d/10KlTSftfC81rs2H7Cf6EIR7VWS3omC-2kwzaThHv16k/edit#gid=0"",""NSE Input VaR+ELM!D:J""),7,0),100)"),25.23)</f>
        <v>25.23</v>
      </c>
      <c r="E443" s="7">
        <f t="shared" si="1"/>
        <v>74.77</v>
      </c>
      <c r="F443" s="9" t="s">
        <v>10</v>
      </c>
      <c r="G443" s="7"/>
    </row>
    <row r="444">
      <c r="A444" s="7">
        <v>438.0</v>
      </c>
      <c r="B444" s="8" t="s">
        <v>884</v>
      </c>
      <c r="C444" s="8" t="s">
        <v>885</v>
      </c>
      <c r="D444" s="8">
        <f>IFERROR(__xludf.DUMMYFUNCTION("IFERROR(VLOOKUP(C444,IMPORTRANGE(""https://docs.google.com/spreadsheets/d/10KlTSftfC81rs2H7Cf6EIR7VWS3omC-2kwzaThHv16k/edit#gid=0"",""NSE Input VaR+ELM!D:J""),7,0),100)"),26.4)</f>
        <v>26.4</v>
      </c>
      <c r="E444" s="7">
        <f t="shared" si="1"/>
        <v>73.6</v>
      </c>
      <c r="F444" s="9" t="s">
        <v>10</v>
      </c>
      <c r="G444" s="7"/>
    </row>
    <row r="445">
      <c r="A445" s="7">
        <v>439.0</v>
      </c>
      <c r="B445" s="8" t="s">
        <v>886</v>
      </c>
      <c r="C445" s="8" t="s">
        <v>887</v>
      </c>
      <c r="D445" s="8">
        <f>IFERROR(__xludf.DUMMYFUNCTION("IFERROR(VLOOKUP(C445,IMPORTRANGE(""https://docs.google.com/spreadsheets/d/10KlTSftfC81rs2H7Cf6EIR7VWS3omC-2kwzaThHv16k/edit#gid=0"",""NSE Input VaR+ELM!D:J""),7,0),100)"),21.32)</f>
        <v>21.32</v>
      </c>
      <c r="E445" s="7">
        <f t="shared" si="1"/>
        <v>78.68</v>
      </c>
      <c r="F445" s="9" t="s">
        <v>10</v>
      </c>
      <c r="G445" s="7"/>
    </row>
    <row r="446">
      <c r="A446" s="7">
        <v>440.0</v>
      </c>
      <c r="B446" s="8" t="s">
        <v>888</v>
      </c>
      <c r="C446" s="8" t="s">
        <v>889</v>
      </c>
      <c r="D446" s="8">
        <f>IFERROR(__xludf.DUMMYFUNCTION("IFERROR(VLOOKUP(C446,IMPORTRANGE(""https://docs.google.com/spreadsheets/d/10KlTSftfC81rs2H7Cf6EIR7VWS3omC-2kwzaThHv16k/edit#gid=0"",""NSE Input VaR+ELM!D:J""),7,0),100)"),23.11)</f>
        <v>23.11</v>
      </c>
      <c r="E446" s="7">
        <f t="shared" si="1"/>
        <v>76.89</v>
      </c>
      <c r="F446" s="9" t="s">
        <v>10</v>
      </c>
      <c r="G446" s="7"/>
    </row>
    <row r="447">
      <c r="A447" s="7">
        <v>441.0</v>
      </c>
      <c r="B447" s="8" t="s">
        <v>890</v>
      </c>
      <c r="C447" s="8" t="s">
        <v>891</v>
      </c>
      <c r="D447" s="8">
        <f>IFERROR(__xludf.DUMMYFUNCTION("IFERROR(VLOOKUP(C447,IMPORTRANGE(""https://docs.google.com/spreadsheets/d/10KlTSftfC81rs2H7Cf6EIR7VWS3omC-2kwzaThHv16k/edit#gid=0"",""NSE Input VaR+ELM!D:J""),7,0),100)"),19.92)</f>
        <v>19.92</v>
      </c>
      <c r="E447" s="7">
        <f t="shared" si="1"/>
        <v>80.08</v>
      </c>
      <c r="F447" s="9" t="s">
        <v>10</v>
      </c>
      <c r="G447" s="7"/>
    </row>
    <row r="448">
      <c r="A448" s="7">
        <v>442.0</v>
      </c>
      <c r="B448" s="8" t="s">
        <v>892</v>
      </c>
      <c r="C448" s="8" t="s">
        <v>893</v>
      </c>
      <c r="D448" s="8">
        <f>IFERROR(__xludf.DUMMYFUNCTION("IFERROR(VLOOKUP(C448,IMPORTRANGE(""https://docs.google.com/spreadsheets/d/10KlTSftfC81rs2H7Cf6EIR7VWS3omC-2kwzaThHv16k/edit#gid=0"",""NSE Input VaR+ELM!D:J""),7,0),100)"),21.54)</f>
        <v>21.54</v>
      </c>
      <c r="E448" s="7">
        <f t="shared" si="1"/>
        <v>78.46</v>
      </c>
      <c r="F448" s="9" t="s">
        <v>10</v>
      </c>
      <c r="G448" s="7"/>
    </row>
    <row r="449">
      <c r="A449" s="7">
        <v>443.0</v>
      </c>
      <c r="B449" s="8" t="s">
        <v>894</v>
      </c>
      <c r="C449" s="8" t="s">
        <v>895</v>
      </c>
      <c r="D449" s="8">
        <f>IFERROR(__xludf.DUMMYFUNCTION("IFERROR(VLOOKUP(C449,IMPORTRANGE(""https://docs.google.com/spreadsheets/d/10KlTSftfC81rs2H7Cf6EIR7VWS3omC-2kwzaThHv16k/edit#gid=0"",""NSE Input VaR+ELM!D:J""),7,0),100)"),23.94)</f>
        <v>23.94</v>
      </c>
      <c r="E449" s="7">
        <f t="shared" si="1"/>
        <v>76.06</v>
      </c>
      <c r="F449" s="9" t="s">
        <v>10</v>
      </c>
      <c r="G449" s="7"/>
    </row>
    <row r="450">
      <c r="A450" s="7">
        <v>444.0</v>
      </c>
      <c r="B450" s="8" t="s">
        <v>896</v>
      </c>
      <c r="C450" s="8" t="s">
        <v>897</v>
      </c>
      <c r="D450" s="8">
        <f>IFERROR(__xludf.DUMMYFUNCTION("IFERROR(VLOOKUP(C450,IMPORTRANGE(""https://docs.google.com/spreadsheets/d/10KlTSftfC81rs2H7Cf6EIR7VWS3omC-2kwzaThHv16k/edit#gid=0"",""NSE Input VaR+ELM!D:J""),7,0),100)"),22.71)</f>
        <v>22.71</v>
      </c>
      <c r="E450" s="7">
        <f t="shared" si="1"/>
        <v>77.29</v>
      </c>
      <c r="F450" s="9" t="s">
        <v>10</v>
      </c>
      <c r="G450" s="7"/>
    </row>
    <row r="451">
      <c r="A451" s="7">
        <v>445.0</v>
      </c>
      <c r="B451" s="8" t="s">
        <v>898</v>
      </c>
      <c r="C451" s="8" t="s">
        <v>899</v>
      </c>
      <c r="D451" s="8">
        <f>IFERROR(__xludf.DUMMYFUNCTION("IFERROR(VLOOKUP(C451,IMPORTRANGE(""https://docs.google.com/spreadsheets/d/10KlTSftfC81rs2H7Cf6EIR7VWS3omC-2kwzaThHv16k/edit#gid=0"",""NSE Input VaR+ELM!D:J""),7,0),100)"),20.01)</f>
        <v>20.01</v>
      </c>
      <c r="E451" s="7">
        <f t="shared" si="1"/>
        <v>79.99</v>
      </c>
      <c r="F451" s="9" t="s">
        <v>217</v>
      </c>
      <c r="G451" s="7"/>
    </row>
    <row r="452">
      <c r="A452" s="7">
        <v>446.0</v>
      </c>
      <c r="B452" s="8" t="s">
        <v>900</v>
      </c>
      <c r="C452" s="8" t="s">
        <v>901</v>
      </c>
      <c r="D452" s="8">
        <f>IFERROR(__xludf.DUMMYFUNCTION("IFERROR(VLOOKUP(C452,IMPORTRANGE(""https://docs.google.com/spreadsheets/d/10KlTSftfC81rs2H7Cf6EIR7VWS3omC-2kwzaThHv16k/edit#gid=0"",""NSE Input VaR+ELM!D:J""),7,0),100)"),18.66)</f>
        <v>18.66</v>
      </c>
      <c r="E452" s="7">
        <f t="shared" si="1"/>
        <v>81.34</v>
      </c>
      <c r="F452" s="9" t="s">
        <v>10</v>
      </c>
      <c r="G452" s="7"/>
    </row>
    <row r="453">
      <c r="A453" s="7">
        <v>447.0</v>
      </c>
      <c r="B453" s="8" t="s">
        <v>902</v>
      </c>
      <c r="C453" s="8" t="s">
        <v>903</v>
      </c>
      <c r="D453" s="8">
        <f>IFERROR(__xludf.DUMMYFUNCTION("IFERROR(VLOOKUP(C453,IMPORTRANGE(""https://docs.google.com/spreadsheets/d/10KlTSftfC81rs2H7Cf6EIR7VWS3omC-2kwzaThHv16k/edit#gid=0"",""NSE Input VaR+ELM!D:J""),7,0),100)"),12.5)</f>
        <v>12.5</v>
      </c>
      <c r="E453" s="7">
        <f t="shared" si="1"/>
        <v>87.5</v>
      </c>
      <c r="F453" s="9" t="s">
        <v>10</v>
      </c>
      <c r="G453" s="7"/>
    </row>
    <row r="454">
      <c r="A454" s="7">
        <v>448.0</v>
      </c>
      <c r="B454" s="8" t="s">
        <v>904</v>
      </c>
      <c r="C454" s="8" t="s">
        <v>905</v>
      </c>
      <c r="D454" s="8">
        <f>IFERROR(__xludf.DUMMYFUNCTION("IFERROR(VLOOKUP(C454,IMPORTRANGE(""https://docs.google.com/spreadsheets/d/10KlTSftfC81rs2H7Cf6EIR7VWS3omC-2kwzaThHv16k/edit#gid=0"",""NSE Input VaR+ELM!D:J""),7,0),100)"),28.52)</f>
        <v>28.52</v>
      </c>
      <c r="E454" s="7">
        <f t="shared" si="1"/>
        <v>71.48</v>
      </c>
      <c r="F454" s="9" t="s">
        <v>10</v>
      </c>
      <c r="G454" s="7"/>
    </row>
    <row r="455">
      <c r="A455" s="7">
        <v>449.0</v>
      </c>
      <c r="B455" s="8" t="s">
        <v>906</v>
      </c>
      <c r="C455" s="8" t="s">
        <v>907</v>
      </c>
      <c r="D455" s="8">
        <f>IFERROR(__xludf.DUMMYFUNCTION("IFERROR(VLOOKUP(C455,IMPORTRANGE(""https://docs.google.com/spreadsheets/d/10KlTSftfC81rs2H7Cf6EIR7VWS3omC-2kwzaThHv16k/edit#gid=0"",""NSE Input VaR+ELM!D:J""),7,0),100)"),17.78)</f>
        <v>17.78</v>
      </c>
      <c r="E455" s="7">
        <f t="shared" si="1"/>
        <v>82.22</v>
      </c>
      <c r="F455" s="9" t="s">
        <v>217</v>
      </c>
      <c r="G455" s="7"/>
    </row>
    <row r="456">
      <c r="A456" s="7">
        <v>450.0</v>
      </c>
      <c r="B456" s="8" t="s">
        <v>908</v>
      </c>
      <c r="C456" s="8" t="s">
        <v>909</v>
      </c>
      <c r="D456" s="8">
        <f>IFERROR(__xludf.DUMMYFUNCTION("IFERROR(VLOOKUP(C456,IMPORTRANGE(""https://docs.google.com/spreadsheets/d/10KlTSftfC81rs2H7Cf6EIR7VWS3omC-2kwzaThHv16k/edit#gid=0"",""NSE Input VaR+ELM!D:J""),7,0),100)"),13.09)</f>
        <v>13.09</v>
      </c>
      <c r="E456" s="7">
        <f t="shared" si="1"/>
        <v>86.91</v>
      </c>
      <c r="F456" s="9" t="s">
        <v>10</v>
      </c>
      <c r="G456" s="7"/>
    </row>
    <row r="457">
      <c r="A457" s="7">
        <v>451.0</v>
      </c>
      <c r="B457" s="8" t="s">
        <v>910</v>
      </c>
      <c r="C457" s="8" t="s">
        <v>911</v>
      </c>
      <c r="D457" s="8">
        <f>IFERROR(__xludf.DUMMYFUNCTION("IFERROR(VLOOKUP(C457,IMPORTRANGE(""https://docs.google.com/spreadsheets/d/10KlTSftfC81rs2H7Cf6EIR7VWS3omC-2kwzaThHv16k/edit#gid=0"",""NSE Input VaR+ELM!D:J""),7,0),100)"),17.48)</f>
        <v>17.48</v>
      </c>
      <c r="E457" s="7">
        <f t="shared" si="1"/>
        <v>82.52</v>
      </c>
      <c r="F457" s="9" t="s">
        <v>10</v>
      </c>
      <c r="G457" s="7"/>
    </row>
    <row r="458">
      <c r="A458" s="7">
        <v>452.0</v>
      </c>
      <c r="B458" s="8" t="s">
        <v>912</v>
      </c>
      <c r="C458" s="8" t="s">
        <v>913</v>
      </c>
      <c r="D458" s="8">
        <f>IFERROR(__xludf.DUMMYFUNCTION("IFERROR(VLOOKUP(C458,IMPORTRANGE(""https://docs.google.com/spreadsheets/d/10KlTSftfC81rs2H7Cf6EIR7VWS3omC-2kwzaThHv16k/edit#gid=0"",""NSE Input VaR+ELM!D:J""),7,0),100)"),28.9)</f>
        <v>28.9</v>
      </c>
      <c r="E458" s="7">
        <f t="shared" si="1"/>
        <v>71.1</v>
      </c>
      <c r="F458" s="9" t="s">
        <v>10</v>
      </c>
      <c r="G458" s="7"/>
    </row>
    <row r="459">
      <c r="A459" s="7">
        <v>453.0</v>
      </c>
      <c r="B459" s="8" t="s">
        <v>914</v>
      </c>
      <c r="C459" s="8" t="s">
        <v>915</v>
      </c>
      <c r="D459" s="8">
        <f>IFERROR(__xludf.DUMMYFUNCTION("IFERROR(VLOOKUP(C459,IMPORTRANGE(""https://docs.google.com/spreadsheets/d/10KlTSftfC81rs2H7Cf6EIR7VWS3omC-2kwzaThHv16k/edit#gid=0"",""NSE Input VaR+ELM!D:J""),7,0),100)"),27.54)</f>
        <v>27.54</v>
      </c>
      <c r="E459" s="7">
        <f t="shared" si="1"/>
        <v>72.46</v>
      </c>
      <c r="F459" s="9" t="s">
        <v>10</v>
      </c>
      <c r="G459" s="7"/>
    </row>
    <row r="460">
      <c r="A460" s="7">
        <v>454.0</v>
      </c>
      <c r="B460" s="8" t="s">
        <v>916</v>
      </c>
      <c r="C460" s="8" t="s">
        <v>917</v>
      </c>
      <c r="D460" s="8">
        <f>IFERROR(__xludf.DUMMYFUNCTION("IFERROR(VLOOKUP(C460,IMPORTRANGE(""https://docs.google.com/spreadsheets/d/10KlTSftfC81rs2H7Cf6EIR7VWS3omC-2kwzaThHv16k/edit#gid=0"",""NSE Input VaR+ELM!D:J""),7,0),100)"),12.5)</f>
        <v>12.5</v>
      </c>
      <c r="E460" s="7">
        <f t="shared" si="1"/>
        <v>87.5</v>
      </c>
      <c r="F460" s="9" t="s">
        <v>10</v>
      </c>
      <c r="G460" s="7"/>
    </row>
    <row r="461">
      <c r="A461" s="7">
        <v>455.0</v>
      </c>
      <c r="B461" s="8" t="s">
        <v>918</v>
      </c>
      <c r="C461" s="8" t="s">
        <v>919</v>
      </c>
      <c r="D461" s="8">
        <f>IFERROR(__xludf.DUMMYFUNCTION("IFERROR(VLOOKUP(C461,IMPORTRANGE(""https://docs.google.com/spreadsheets/d/10KlTSftfC81rs2H7Cf6EIR7VWS3omC-2kwzaThHv16k/edit#gid=0"",""NSE Input VaR+ELM!D:J""),7,0),100)"),19.85)</f>
        <v>19.85</v>
      </c>
      <c r="E461" s="7">
        <f t="shared" si="1"/>
        <v>80.15</v>
      </c>
      <c r="F461" s="9" t="s">
        <v>10</v>
      </c>
      <c r="G461" s="7"/>
    </row>
    <row r="462">
      <c r="A462" s="7">
        <v>456.0</v>
      </c>
      <c r="B462" s="8" t="s">
        <v>920</v>
      </c>
      <c r="C462" s="8" t="s">
        <v>921</v>
      </c>
      <c r="D462" s="8">
        <f>IFERROR(__xludf.DUMMYFUNCTION("IFERROR(VLOOKUP(C462,IMPORTRANGE(""https://docs.google.com/spreadsheets/d/10KlTSftfC81rs2H7Cf6EIR7VWS3omC-2kwzaThHv16k/edit#gid=0"",""NSE Input VaR+ELM!D:J""),7,0),100)"),29.46)</f>
        <v>29.46</v>
      </c>
      <c r="E462" s="7">
        <f t="shared" si="1"/>
        <v>70.54</v>
      </c>
      <c r="F462" s="9" t="s">
        <v>10</v>
      </c>
      <c r="G462" s="7"/>
    </row>
    <row r="463">
      <c r="A463" s="7">
        <v>457.0</v>
      </c>
      <c r="B463" s="8" t="s">
        <v>922</v>
      </c>
      <c r="C463" s="8" t="s">
        <v>923</v>
      </c>
      <c r="D463" s="8">
        <f>IFERROR(__xludf.DUMMYFUNCTION("IFERROR(VLOOKUP(C463,IMPORTRANGE(""https://docs.google.com/spreadsheets/d/10KlTSftfC81rs2H7Cf6EIR7VWS3omC-2kwzaThHv16k/edit#gid=0"",""NSE Input VaR+ELM!D:J""),7,0),100)"),22.01)</f>
        <v>22.01</v>
      </c>
      <c r="E463" s="7">
        <f t="shared" si="1"/>
        <v>77.99</v>
      </c>
      <c r="F463" s="9" t="s">
        <v>10</v>
      </c>
      <c r="G463" s="7"/>
    </row>
    <row r="464">
      <c r="A464" s="7">
        <v>458.0</v>
      </c>
      <c r="B464" s="8" t="s">
        <v>924</v>
      </c>
      <c r="C464" s="8" t="s">
        <v>925</v>
      </c>
      <c r="D464" s="8">
        <f>IFERROR(__xludf.DUMMYFUNCTION("IFERROR(VLOOKUP(C464,IMPORTRANGE(""https://docs.google.com/spreadsheets/d/10KlTSftfC81rs2H7Cf6EIR7VWS3omC-2kwzaThHv16k/edit#gid=0"",""NSE Input VaR+ELM!D:J""),7,0),100)"),20.12)</f>
        <v>20.12</v>
      </c>
      <c r="E464" s="7">
        <f t="shared" si="1"/>
        <v>79.88</v>
      </c>
      <c r="F464" s="9" t="s">
        <v>10</v>
      </c>
      <c r="G464" s="7"/>
    </row>
    <row r="465">
      <c r="A465" s="7">
        <v>459.0</v>
      </c>
      <c r="B465" s="8" t="s">
        <v>926</v>
      </c>
      <c r="C465" s="8" t="s">
        <v>927</v>
      </c>
      <c r="D465" s="8">
        <f>IFERROR(__xludf.DUMMYFUNCTION("IFERROR(VLOOKUP(C465,IMPORTRANGE(""https://docs.google.com/spreadsheets/d/10KlTSftfC81rs2H7Cf6EIR7VWS3omC-2kwzaThHv16k/edit#gid=0"",""NSE Input VaR+ELM!D:J""),7,0),100)"),24.0)</f>
        <v>24</v>
      </c>
      <c r="E465" s="7">
        <f t="shared" si="1"/>
        <v>76</v>
      </c>
      <c r="F465" s="9" t="s">
        <v>10</v>
      </c>
      <c r="G465" s="7"/>
    </row>
    <row r="466">
      <c r="A466" s="7">
        <v>460.0</v>
      </c>
      <c r="B466" s="8" t="s">
        <v>928</v>
      </c>
      <c r="C466" s="8" t="s">
        <v>929</v>
      </c>
      <c r="D466" s="8">
        <f>IFERROR(__xludf.DUMMYFUNCTION("IFERROR(VLOOKUP(C466,IMPORTRANGE(""https://docs.google.com/spreadsheets/d/10KlTSftfC81rs2H7Cf6EIR7VWS3omC-2kwzaThHv16k/edit#gid=0"",""NSE Input VaR+ELM!D:J""),7,0),100)"),24.84)</f>
        <v>24.84</v>
      </c>
      <c r="E466" s="7">
        <f t="shared" si="1"/>
        <v>75.16</v>
      </c>
      <c r="F466" s="9" t="s">
        <v>10</v>
      </c>
      <c r="G466" s="7"/>
    </row>
    <row r="467">
      <c r="A467" s="7">
        <v>461.0</v>
      </c>
      <c r="B467" s="8" t="s">
        <v>930</v>
      </c>
      <c r="C467" s="8" t="s">
        <v>931</v>
      </c>
      <c r="D467" s="8">
        <f>IFERROR(__xludf.DUMMYFUNCTION("IFERROR(VLOOKUP(C467,IMPORTRANGE(""https://docs.google.com/spreadsheets/d/10KlTSftfC81rs2H7Cf6EIR7VWS3omC-2kwzaThHv16k/edit#gid=0"",""NSE Input VaR+ELM!D:J""),7,0),100)"),75.0)</f>
        <v>75</v>
      </c>
      <c r="E467" s="7">
        <f t="shared" si="1"/>
        <v>25</v>
      </c>
      <c r="F467" s="9" t="s">
        <v>10</v>
      </c>
      <c r="G467" s="7"/>
    </row>
    <row r="468">
      <c r="A468" s="7">
        <v>462.0</v>
      </c>
      <c r="B468" s="8" t="s">
        <v>932</v>
      </c>
      <c r="C468" s="8" t="s">
        <v>933</v>
      </c>
      <c r="D468" s="8">
        <f>IFERROR(__xludf.DUMMYFUNCTION("IFERROR(VLOOKUP(C468,IMPORTRANGE(""https://docs.google.com/spreadsheets/d/10KlTSftfC81rs2H7Cf6EIR7VWS3omC-2kwzaThHv16k/edit#gid=0"",""NSE Input VaR+ELM!D:J""),7,0),100)"),26.29)</f>
        <v>26.29</v>
      </c>
      <c r="E468" s="7">
        <f t="shared" si="1"/>
        <v>73.71</v>
      </c>
      <c r="F468" s="9" t="s">
        <v>10</v>
      </c>
      <c r="G468" s="7"/>
    </row>
    <row r="469">
      <c r="A469" s="7">
        <v>463.0</v>
      </c>
      <c r="B469" s="8" t="s">
        <v>934</v>
      </c>
      <c r="C469" s="8" t="s">
        <v>935</v>
      </c>
      <c r="D469" s="8">
        <f>IFERROR(__xludf.DUMMYFUNCTION("IFERROR(VLOOKUP(C469,IMPORTRANGE(""https://docs.google.com/spreadsheets/d/10KlTSftfC81rs2H7Cf6EIR7VWS3omC-2kwzaThHv16k/edit#gid=0"",""NSE Input VaR+ELM!D:J""),7,0),100)"),16.67)</f>
        <v>16.67</v>
      </c>
      <c r="E469" s="7">
        <f t="shared" si="1"/>
        <v>83.33</v>
      </c>
      <c r="F469" s="9" t="s">
        <v>10</v>
      </c>
      <c r="G469" s="7"/>
    </row>
    <row r="470">
      <c r="A470" s="7">
        <v>464.0</v>
      </c>
      <c r="B470" s="8" t="s">
        <v>936</v>
      </c>
      <c r="C470" s="8" t="s">
        <v>937</v>
      </c>
      <c r="D470" s="8">
        <f>IFERROR(__xludf.DUMMYFUNCTION("IFERROR(VLOOKUP(C470,IMPORTRANGE(""https://docs.google.com/spreadsheets/d/10KlTSftfC81rs2H7Cf6EIR7VWS3omC-2kwzaThHv16k/edit#gid=0"",""NSE Input VaR+ELM!D:J""),7,0),100)"),17.88)</f>
        <v>17.88</v>
      </c>
      <c r="E470" s="7">
        <f t="shared" si="1"/>
        <v>82.12</v>
      </c>
      <c r="F470" s="9" t="s">
        <v>10</v>
      </c>
      <c r="G470" s="7"/>
    </row>
    <row r="471">
      <c r="A471" s="7">
        <v>465.0</v>
      </c>
      <c r="B471" s="8" t="s">
        <v>938</v>
      </c>
      <c r="C471" s="8" t="s">
        <v>939</v>
      </c>
      <c r="D471" s="8">
        <f>IFERROR(__xludf.DUMMYFUNCTION("IFERROR(VLOOKUP(C471,IMPORTRANGE(""https://docs.google.com/spreadsheets/d/10KlTSftfC81rs2H7Cf6EIR7VWS3omC-2kwzaThHv16k/edit#gid=0"",""NSE Input VaR+ELM!D:J""),7,0),100)"),16.47)</f>
        <v>16.47</v>
      </c>
      <c r="E471" s="7">
        <f t="shared" si="1"/>
        <v>83.53</v>
      </c>
      <c r="F471" s="9" t="s">
        <v>10</v>
      </c>
      <c r="G471" s="7"/>
    </row>
    <row r="472">
      <c r="A472" s="7">
        <v>466.0</v>
      </c>
      <c r="B472" s="8" t="s">
        <v>940</v>
      </c>
      <c r="C472" s="8" t="s">
        <v>941</v>
      </c>
      <c r="D472" s="8">
        <f>IFERROR(__xludf.DUMMYFUNCTION("IFERROR(VLOOKUP(C472,IMPORTRANGE(""https://docs.google.com/spreadsheets/d/10KlTSftfC81rs2H7Cf6EIR7VWS3omC-2kwzaThHv16k/edit#gid=0"",""NSE Input VaR+ELM!D:J""),7,0),100)"),15.15)</f>
        <v>15.15</v>
      </c>
      <c r="E472" s="7">
        <f t="shared" si="1"/>
        <v>84.85</v>
      </c>
      <c r="F472" s="9" t="s">
        <v>10</v>
      </c>
      <c r="G472" s="7"/>
    </row>
    <row r="473">
      <c r="A473" s="7">
        <v>467.0</v>
      </c>
      <c r="B473" s="8" t="s">
        <v>942</v>
      </c>
      <c r="C473" s="8" t="s">
        <v>943</v>
      </c>
      <c r="D473" s="8">
        <f>IFERROR(__xludf.DUMMYFUNCTION("IFERROR(VLOOKUP(C473,IMPORTRANGE(""https://docs.google.com/spreadsheets/d/10KlTSftfC81rs2H7Cf6EIR7VWS3omC-2kwzaThHv16k/edit#gid=0"",""NSE Input VaR+ELM!D:J""),7,0),100)"),21.22)</f>
        <v>21.22</v>
      </c>
      <c r="E473" s="7">
        <f t="shared" si="1"/>
        <v>78.78</v>
      </c>
      <c r="F473" s="9" t="s">
        <v>10</v>
      </c>
      <c r="G473" s="7"/>
    </row>
    <row r="474">
      <c r="A474" s="7">
        <v>468.0</v>
      </c>
      <c r="B474" s="8" t="s">
        <v>944</v>
      </c>
      <c r="C474" s="8" t="s">
        <v>945</v>
      </c>
      <c r="D474" s="8">
        <f>IFERROR(__xludf.DUMMYFUNCTION("IFERROR(VLOOKUP(C474,IMPORTRANGE(""https://docs.google.com/spreadsheets/d/10KlTSftfC81rs2H7Cf6EIR7VWS3omC-2kwzaThHv16k/edit#gid=0"",""NSE Input VaR+ELM!D:J""),7,0),100)"),28.46)</f>
        <v>28.46</v>
      </c>
      <c r="E474" s="7">
        <f t="shared" si="1"/>
        <v>71.54</v>
      </c>
      <c r="F474" s="9" t="s">
        <v>10</v>
      </c>
      <c r="G474" s="7"/>
    </row>
    <row r="475">
      <c r="A475" s="7">
        <v>469.0</v>
      </c>
      <c r="B475" s="8" t="s">
        <v>946</v>
      </c>
      <c r="C475" s="8" t="s">
        <v>947</v>
      </c>
      <c r="D475" s="8">
        <f>IFERROR(__xludf.DUMMYFUNCTION("IFERROR(VLOOKUP(C475,IMPORTRANGE(""https://docs.google.com/spreadsheets/d/10KlTSftfC81rs2H7Cf6EIR7VWS3omC-2kwzaThHv16k/edit#gid=0"",""NSE Input VaR+ELM!D:J""),7,0),100)"),30.55)</f>
        <v>30.55</v>
      </c>
      <c r="E475" s="7">
        <f t="shared" si="1"/>
        <v>69.45</v>
      </c>
      <c r="F475" s="9" t="s">
        <v>10</v>
      </c>
      <c r="G475" s="7"/>
    </row>
    <row r="476">
      <c r="A476" s="7">
        <v>470.0</v>
      </c>
      <c r="B476" s="8" t="s">
        <v>948</v>
      </c>
      <c r="C476" s="8" t="s">
        <v>949</v>
      </c>
      <c r="D476" s="8">
        <f>IFERROR(__xludf.DUMMYFUNCTION("IFERROR(VLOOKUP(C476,IMPORTRANGE(""https://docs.google.com/spreadsheets/d/10KlTSftfC81rs2H7Cf6EIR7VWS3omC-2kwzaThHv16k/edit#gid=0"",""NSE Input VaR+ELM!D:J""),7,0),100)"),25.67)</f>
        <v>25.67</v>
      </c>
      <c r="E476" s="7">
        <f t="shared" si="1"/>
        <v>74.33</v>
      </c>
      <c r="F476" s="9" t="s">
        <v>10</v>
      </c>
      <c r="G476" s="7"/>
    </row>
    <row r="477">
      <c r="A477" s="7">
        <v>471.0</v>
      </c>
      <c r="B477" s="8" t="s">
        <v>950</v>
      </c>
      <c r="C477" s="8" t="s">
        <v>951</v>
      </c>
      <c r="D477" s="8">
        <f>IFERROR(__xludf.DUMMYFUNCTION("IFERROR(VLOOKUP(C477,IMPORTRANGE(""https://docs.google.com/spreadsheets/d/10KlTSftfC81rs2H7Cf6EIR7VWS3omC-2kwzaThHv16k/edit#gid=0"",""NSE Input VaR+ELM!D:J""),7,0),100)"),24.43)</f>
        <v>24.43</v>
      </c>
      <c r="E477" s="7">
        <f t="shared" si="1"/>
        <v>75.57</v>
      </c>
      <c r="F477" s="9" t="s">
        <v>10</v>
      </c>
      <c r="G477" s="7"/>
    </row>
    <row r="478">
      <c r="A478" s="7">
        <v>472.0</v>
      </c>
      <c r="B478" s="8" t="s">
        <v>952</v>
      </c>
      <c r="C478" s="8" t="s">
        <v>953</v>
      </c>
      <c r="D478" s="8">
        <f>IFERROR(__xludf.DUMMYFUNCTION("IFERROR(VLOOKUP(C478,IMPORTRANGE(""https://docs.google.com/spreadsheets/d/10KlTSftfC81rs2H7Cf6EIR7VWS3omC-2kwzaThHv16k/edit#gid=0"",""NSE Input VaR+ELM!D:J""),7,0),100)"),13.89)</f>
        <v>13.89</v>
      </c>
      <c r="E478" s="7">
        <f t="shared" si="1"/>
        <v>86.11</v>
      </c>
      <c r="F478" s="9" t="s">
        <v>10</v>
      </c>
      <c r="G478" s="7"/>
    </row>
    <row r="479">
      <c r="A479" s="7">
        <v>473.0</v>
      </c>
      <c r="B479" s="8" t="s">
        <v>954</v>
      </c>
      <c r="C479" s="8" t="s">
        <v>955</v>
      </c>
      <c r="D479" s="8">
        <f>IFERROR(__xludf.DUMMYFUNCTION("IFERROR(VLOOKUP(C479,IMPORTRANGE(""https://docs.google.com/spreadsheets/d/10KlTSftfC81rs2H7Cf6EIR7VWS3omC-2kwzaThHv16k/edit#gid=0"",""NSE Input VaR+ELM!D:J""),7,0),100)"),27.88)</f>
        <v>27.88</v>
      </c>
      <c r="E479" s="7">
        <f t="shared" si="1"/>
        <v>72.12</v>
      </c>
      <c r="F479" s="9" t="s">
        <v>10</v>
      </c>
      <c r="G479" s="7"/>
    </row>
    <row r="480">
      <c r="A480" s="7">
        <v>474.0</v>
      </c>
      <c r="B480" s="8" t="s">
        <v>956</v>
      </c>
      <c r="C480" s="8" t="s">
        <v>957</v>
      </c>
      <c r="D480" s="8">
        <f>IFERROR(__xludf.DUMMYFUNCTION("IFERROR(VLOOKUP(C480,IMPORTRANGE(""https://docs.google.com/spreadsheets/d/10KlTSftfC81rs2H7Cf6EIR7VWS3omC-2kwzaThHv16k/edit#gid=0"",""NSE Input VaR+ELM!D:J""),7,0),100)"),16.78)</f>
        <v>16.78</v>
      </c>
      <c r="E480" s="7">
        <f t="shared" si="1"/>
        <v>83.22</v>
      </c>
      <c r="F480" s="9" t="s">
        <v>10</v>
      </c>
      <c r="G480" s="7"/>
    </row>
    <row r="481">
      <c r="A481" s="7">
        <v>475.0</v>
      </c>
      <c r="B481" s="8" t="s">
        <v>958</v>
      </c>
      <c r="C481" s="8" t="s">
        <v>959</v>
      </c>
      <c r="D481" s="8">
        <f>IFERROR(__xludf.DUMMYFUNCTION("IFERROR(VLOOKUP(C481,IMPORTRANGE(""https://docs.google.com/spreadsheets/d/10KlTSftfC81rs2H7Cf6EIR7VWS3omC-2kwzaThHv16k/edit#gid=0"",""NSE Input VaR+ELM!D:J""),7,0),100)"),26.94)</f>
        <v>26.94</v>
      </c>
      <c r="E481" s="7">
        <f t="shared" si="1"/>
        <v>73.06</v>
      </c>
      <c r="F481" s="9" t="s">
        <v>10</v>
      </c>
      <c r="G481" s="7"/>
    </row>
    <row r="482">
      <c r="A482" s="7">
        <v>476.0</v>
      </c>
      <c r="B482" s="8" t="s">
        <v>960</v>
      </c>
      <c r="C482" s="8" t="s">
        <v>961</v>
      </c>
      <c r="D482" s="8">
        <f>IFERROR(__xludf.DUMMYFUNCTION("IFERROR(VLOOKUP(C482,IMPORTRANGE(""https://docs.google.com/spreadsheets/d/10KlTSftfC81rs2H7Cf6EIR7VWS3omC-2kwzaThHv16k/edit#gid=0"",""NSE Input VaR+ELM!D:J""),7,0),100)"),20.04)</f>
        <v>20.04</v>
      </c>
      <c r="E482" s="7">
        <f t="shared" si="1"/>
        <v>79.96</v>
      </c>
      <c r="F482" s="9" t="s">
        <v>10</v>
      </c>
      <c r="G482" s="7"/>
    </row>
    <row r="483">
      <c r="A483" s="7">
        <v>477.0</v>
      </c>
      <c r="B483" s="8" t="s">
        <v>962</v>
      </c>
      <c r="C483" s="8" t="s">
        <v>963</v>
      </c>
      <c r="D483" s="8">
        <f>IFERROR(__xludf.DUMMYFUNCTION("IFERROR(VLOOKUP(C483,IMPORTRANGE(""https://docs.google.com/spreadsheets/d/10KlTSftfC81rs2H7Cf6EIR7VWS3omC-2kwzaThHv16k/edit#gid=0"",""NSE Input VaR+ELM!D:J""),7,0),100)"),23.35)</f>
        <v>23.35</v>
      </c>
      <c r="E483" s="7">
        <f t="shared" si="1"/>
        <v>76.65</v>
      </c>
      <c r="F483" s="9" t="s">
        <v>10</v>
      </c>
      <c r="G483" s="7"/>
    </row>
    <row r="484">
      <c r="A484" s="7">
        <v>478.0</v>
      </c>
      <c r="B484" s="8" t="s">
        <v>964</v>
      </c>
      <c r="C484" s="8" t="s">
        <v>965</v>
      </c>
      <c r="D484" s="8">
        <f>IFERROR(__xludf.DUMMYFUNCTION("IFERROR(VLOOKUP(C484,IMPORTRANGE(""https://docs.google.com/spreadsheets/d/10KlTSftfC81rs2H7Cf6EIR7VWS3omC-2kwzaThHv16k/edit#gid=0"",""NSE Input VaR+ELM!D:J""),7,0),100)"),20.09)</f>
        <v>20.09</v>
      </c>
      <c r="E484" s="7">
        <f t="shared" si="1"/>
        <v>79.91</v>
      </c>
      <c r="F484" s="9" t="s">
        <v>10</v>
      </c>
      <c r="G484" s="7"/>
    </row>
    <row r="485">
      <c r="A485" s="7">
        <v>479.0</v>
      </c>
      <c r="B485" s="8" t="s">
        <v>966</v>
      </c>
      <c r="C485" s="8" t="s">
        <v>967</v>
      </c>
      <c r="D485" s="8">
        <f>IFERROR(__xludf.DUMMYFUNCTION("IFERROR(VLOOKUP(C485,IMPORTRANGE(""https://docs.google.com/spreadsheets/d/10KlTSftfC81rs2H7Cf6EIR7VWS3omC-2kwzaThHv16k/edit#gid=0"",""NSE Input VaR+ELM!D:J""),7,0),100)"),26.91)</f>
        <v>26.91</v>
      </c>
      <c r="E485" s="7">
        <f t="shared" si="1"/>
        <v>73.09</v>
      </c>
      <c r="F485" s="9" t="s">
        <v>10</v>
      </c>
      <c r="G485" s="7"/>
    </row>
    <row r="486">
      <c r="A486" s="7">
        <v>480.0</v>
      </c>
      <c r="B486" s="8" t="s">
        <v>968</v>
      </c>
      <c r="C486" s="8" t="s">
        <v>969</v>
      </c>
      <c r="D486" s="8">
        <f>IFERROR(__xludf.DUMMYFUNCTION("IFERROR(VLOOKUP(C486,IMPORTRANGE(""https://docs.google.com/spreadsheets/d/10KlTSftfC81rs2H7Cf6EIR7VWS3omC-2kwzaThHv16k/edit#gid=0"",""NSE Input VaR+ELM!D:J""),7,0),100)"),25.59)</f>
        <v>25.59</v>
      </c>
      <c r="E486" s="7">
        <f t="shared" si="1"/>
        <v>74.41</v>
      </c>
      <c r="F486" s="9" t="s">
        <v>10</v>
      </c>
      <c r="G486" s="7"/>
    </row>
    <row r="487">
      <c r="A487" s="7">
        <v>481.0</v>
      </c>
      <c r="B487" s="8" t="s">
        <v>970</v>
      </c>
      <c r="C487" s="8" t="s">
        <v>971</v>
      </c>
      <c r="D487" s="8">
        <f>IFERROR(__xludf.DUMMYFUNCTION("IFERROR(VLOOKUP(C487,IMPORTRANGE(""https://docs.google.com/spreadsheets/d/10KlTSftfC81rs2H7Cf6EIR7VWS3omC-2kwzaThHv16k/edit#gid=0"",""NSE Input VaR+ELM!D:J""),7,0),100)"),20.23)</f>
        <v>20.23</v>
      </c>
      <c r="E487" s="7">
        <f t="shared" si="1"/>
        <v>79.77</v>
      </c>
      <c r="F487" s="9" t="s">
        <v>217</v>
      </c>
      <c r="G487" s="7"/>
    </row>
    <row r="488">
      <c r="A488" s="7">
        <v>482.0</v>
      </c>
      <c r="B488" s="8" t="s">
        <v>972</v>
      </c>
      <c r="C488" s="8" t="s">
        <v>973</v>
      </c>
      <c r="D488" s="8">
        <f>IFERROR(__xludf.DUMMYFUNCTION("IFERROR(VLOOKUP(C488,IMPORTRANGE(""https://docs.google.com/spreadsheets/d/10KlTSftfC81rs2H7Cf6EIR7VWS3omC-2kwzaThHv16k/edit#gid=0"",""NSE Input VaR+ELM!D:J""),7,0),100)"),21.34)</f>
        <v>21.34</v>
      </c>
      <c r="E488" s="7">
        <f t="shared" si="1"/>
        <v>78.66</v>
      </c>
      <c r="F488" s="9" t="s">
        <v>10</v>
      </c>
      <c r="G488" s="7"/>
    </row>
    <row r="489">
      <c r="A489" s="7">
        <v>483.0</v>
      </c>
      <c r="B489" s="8" t="s">
        <v>974</v>
      </c>
      <c r="C489" s="8" t="s">
        <v>975</v>
      </c>
      <c r="D489" s="8">
        <f>IFERROR(__xludf.DUMMYFUNCTION("IFERROR(VLOOKUP(C489,IMPORTRANGE(""https://docs.google.com/spreadsheets/d/10KlTSftfC81rs2H7Cf6EIR7VWS3omC-2kwzaThHv16k/edit#gid=0"",""NSE Input VaR+ELM!D:J""),7,0),100)"),19.74)</f>
        <v>19.74</v>
      </c>
      <c r="E489" s="7">
        <f t="shared" si="1"/>
        <v>80.26</v>
      </c>
      <c r="F489" s="9" t="s">
        <v>10</v>
      </c>
      <c r="G489" s="7"/>
    </row>
    <row r="490">
      <c r="A490" s="7">
        <v>484.0</v>
      </c>
      <c r="B490" s="8" t="s">
        <v>976</v>
      </c>
      <c r="C490" s="8" t="s">
        <v>977</v>
      </c>
      <c r="D490" s="8">
        <f>IFERROR(__xludf.DUMMYFUNCTION("IFERROR(VLOOKUP(C490,IMPORTRANGE(""https://docs.google.com/spreadsheets/d/10KlTSftfC81rs2H7Cf6EIR7VWS3omC-2kwzaThHv16k/edit#gid=0"",""NSE Input VaR+ELM!D:J""),7,0),100)"),17.58)</f>
        <v>17.58</v>
      </c>
      <c r="E490" s="7">
        <f t="shared" si="1"/>
        <v>82.42</v>
      </c>
      <c r="F490" s="9" t="s">
        <v>10</v>
      </c>
      <c r="G490" s="7"/>
    </row>
    <row r="491">
      <c r="A491" s="7">
        <v>485.0</v>
      </c>
      <c r="B491" s="8" t="s">
        <v>978</v>
      </c>
      <c r="C491" s="8" t="s">
        <v>979</v>
      </c>
      <c r="D491" s="8">
        <f>IFERROR(__xludf.DUMMYFUNCTION("IFERROR(VLOOKUP(C491,IMPORTRANGE(""https://docs.google.com/spreadsheets/d/10KlTSftfC81rs2H7Cf6EIR7VWS3omC-2kwzaThHv16k/edit#gid=0"",""NSE Input VaR+ELM!D:J""),7,0),100)"),16.31)</f>
        <v>16.31</v>
      </c>
      <c r="E491" s="7">
        <f t="shared" si="1"/>
        <v>83.69</v>
      </c>
      <c r="F491" s="9" t="s">
        <v>10</v>
      </c>
      <c r="G491" s="7"/>
    </row>
    <row r="492">
      <c r="A492" s="7">
        <v>486.0</v>
      </c>
      <c r="B492" s="8" t="s">
        <v>980</v>
      </c>
      <c r="C492" s="8" t="s">
        <v>981</v>
      </c>
      <c r="D492" s="8">
        <f>IFERROR(__xludf.DUMMYFUNCTION("IFERROR(VLOOKUP(C492,IMPORTRANGE(""https://docs.google.com/spreadsheets/d/10KlTSftfC81rs2H7Cf6EIR7VWS3omC-2kwzaThHv16k/edit#gid=0"",""NSE Input VaR+ELM!D:J""),7,0),100)"),24.97)</f>
        <v>24.97</v>
      </c>
      <c r="E492" s="7">
        <f t="shared" si="1"/>
        <v>75.03</v>
      </c>
      <c r="F492" s="9" t="s">
        <v>10</v>
      </c>
      <c r="G492" s="7"/>
    </row>
    <row r="493">
      <c r="A493" s="7">
        <v>487.0</v>
      </c>
      <c r="B493" s="8" t="s">
        <v>982</v>
      </c>
      <c r="C493" s="8" t="s">
        <v>983</v>
      </c>
      <c r="D493" s="8">
        <f>IFERROR(__xludf.DUMMYFUNCTION("IFERROR(VLOOKUP(C493,IMPORTRANGE(""https://docs.google.com/spreadsheets/d/10KlTSftfC81rs2H7Cf6EIR7VWS3omC-2kwzaThHv16k/edit#gid=0"",""NSE Input VaR+ELM!D:J""),7,0),100)"),16.48)</f>
        <v>16.48</v>
      </c>
      <c r="E493" s="7">
        <f t="shared" si="1"/>
        <v>83.52</v>
      </c>
      <c r="F493" s="9" t="s">
        <v>10</v>
      </c>
      <c r="G493" s="7"/>
    </row>
    <row r="494">
      <c r="A494" s="7">
        <v>488.0</v>
      </c>
      <c r="B494" s="8" t="s">
        <v>984</v>
      </c>
      <c r="C494" s="8" t="s">
        <v>985</v>
      </c>
      <c r="D494" s="8">
        <f>IFERROR(__xludf.DUMMYFUNCTION("IFERROR(VLOOKUP(C494,IMPORTRANGE(""https://docs.google.com/spreadsheets/d/10KlTSftfC81rs2H7Cf6EIR7VWS3omC-2kwzaThHv16k/edit#gid=0"",""NSE Input VaR+ELM!D:J""),7,0),100)"),23.52)</f>
        <v>23.52</v>
      </c>
      <c r="E494" s="7">
        <f t="shared" si="1"/>
        <v>76.48</v>
      </c>
      <c r="F494" s="9" t="s">
        <v>10</v>
      </c>
      <c r="G494" s="7"/>
    </row>
    <row r="495">
      <c r="A495" s="7">
        <v>489.0</v>
      </c>
      <c r="B495" s="8" t="s">
        <v>986</v>
      </c>
      <c r="C495" s="8" t="s">
        <v>987</v>
      </c>
      <c r="D495" s="8">
        <f>IFERROR(__xludf.DUMMYFUNCTION("IFERROR(VLOOKUP(C495,IMPORTRANGE(""https://docs.google.com/spreadsheets/d/10KlTSftfC81rs2H7Cf6EIR7VWS3omC-2kwzaThHv16k/edit#gid=0"",""NSE Input VaR+ELM!D:J""),7,0),100)"),23.41)</f>
        <v>23.41</v>
      </c>
      <c r="E495" s="7">
        <f t="shared" si="1"/>
        <v>76.59</v>
      </c>
      <c r="F495" s="9" t="s">
        <v>10</v>
      </c>
      <c r="G495" s="7"/>
    </row>
    <row r="496">
      <c r="A496" s="7">
        <v>490.0</v>
      </c>
      <c r="B496" s="8" t="s">
        <v>988</v>
      </c>
      <c r="C496" s="8" t="s">
        <v>989</v>
      </c>
      <c r="D496" s="8">
        <f>IFERROR(__xludf.DUMMYFUNCTION("IFERROR(VLOOKUP(C496,IMPORTRANGE(""https://docs.google.com/spreadsheets/d/10KlTSftfC81rs2H7Cf6EIR7VWS3omC-2kwzaThHv16k/edit#gid=0"",""NSE Input VaR+ELM!D:J""),7,0),100)"),17.02)</f>
        <v>17.02</v>
      </c>
      <c r="E496" s="7">
        <f t="shared" si="1"/>
        <v>82.98</v>
      </c>
      <c r="F496" s="9" t="s">
        <v>10</v>
      </c>
      <c r="G496" s="7"/>
    </row>
    <row r="497">
      <c r="A497" s="7">
        <v>491.0</v>
      </c>
      <c r="B497" s="8" t="s">
        <v>990</v>
      </c>
      <c r="C497" s="8" t="s">
        <v>991</v>
      </c>
      <c r="D497" s="8">
        <f>IFERROR(__xludf.DUMMYFUNCTION("IFERROR(VLOOKUP(C497,IMPORTRANGE(""https://docs.google.com/spreadsheets/d/10KlTSftfC81rs2H7Cf6EIR7VWS3omC-2kwzaThHv16k/edit#gid=0"",""NSE Input VaR+ELM!D:J""),7,0),100)"),26.34)</f>
        <v>26.34</v>
      </c>
      <c r="E497" s="7">
        <f t="shared" si="1"/>
        <v>73.66</v>
      </c>
      <c r="F497" s="9" t="s">
        <v>10</v>
      </c>
      <c r="G497" s="7"/>
    </row>
    <row r="498">
      <c r="A498" s="7">
        <v>492.0</v>
      </c>
      <c r="B498" s="8" t="s">
        <v>992</v>
      </c>
      <c r="C498" s="8" t="s">
        <v>993</v>
      </c>
      <c r="D498" s="8">
        <f>IFERROR(__xludf.DUMMYFUNCTION("IFERROR(VLOOKUP(C498,IMPORTRANGE(""https://docs.google.com/spreadsheets/d/10KlTSftfC81rs2H7Cf6EIR7VWS3omC-2kwzaThHv16k/edit#gid=0"",""NSE Input VaR+ELM!D:J""),7,0),100)"),30.99)</f>
        <v>30.99</v>
      </c>
      <c r="E498" s="7">
        <f t="shared" si="1"/>
        <v>69.01</v>
      </c>
      <c r="F498" s="9" t="s">
        <v>10</v>
      </c>
      <c r="G498" s="7"/>
    </row>
    <row r="499">
      <c r="A499" s="7">
        <v>493.0</v>
      </c>
      <c r="B499" s="8" t="s">
        <v>994</v>
      </c>
      <c r="C499" s="8" t="s">
        <v>995</v>
      </c>
      <c r="D499" s="8">
        <f>IFERROR(__xludf.DUMMYFUNCTION("IFERROR(VLOOKUP(C499,IMPORTRANGE(""https://docs.google.com/spreadsheets/d/10KlTSftfC81rs2H7Cf6EIR7VWS3omC-2kwzaThHv16k/edit#gid=0"",""NSE Input VaR+ELM!D:J""),7,0),100)"),23.26)</f>
        <v>23.26</v>
      </c>
      <c r="E499" s="7">
        <f t="shared" si="1"/>
        <v>76.74</v>
      </c>
      <c r="F499" s="9" t="s">
        <v>217</v>
      </c>
      <c r="G499" s="7"/>
    </row>
    <row r="500">
      <c r="A500" s="7">
        <v>494.0</v>
      </c>
      <c r="B500" s="8" t="s">
        <v>996</v>
      </c>
      <c r="C500" s="8" t="s">
        <v>997</v>
      </c>
      <c r="D500" s="8">
        <f>IFERROR(__xludf.DUMMYFUNCTION("IFERROR(VLOOKUP(C500,IMPORTRANGE(""https://docs.google.com/spreadsheets/d/10KlTSftfC81rs2H7Cf6EIR7VWS3omC-2kwzaThHv16k/edit#gid=0"",""NSE Input VaR+ELM!D:J""),7,0),100)"),24.61)</f>
        <v>24.61</v>
      </c>
      <c r="E500" s="7">
        <f t="shared" si="1"/>
        <v>75.39</v>
      </c>
      <c r="F500" s="9" t="s">
        <v>10</v>
      </c>
      <c r="G500" s="7"/>
    </row>
    <row r="501">
      <c r="A501" s="7">
        <v>495.0</v>
      </c>
      <c r="B501" s="8" t="s">
        <v>998</v>
      </c>
      <c r="C501" s="8" t="s">
        <v>999</v>
      </c>
      <c r="D501" s="8">
        <f>IFERROR(__xludf.DUMMYFUNCTION("IFERROR(VLOOKUP(C501,IMPORTRANGE(""https://docs.google.com/spreadsheets/d/10KlTSftfC81rs2H7Cf6EIR7VWS3omC-2kwzaThHv16k/edit#gid=0"",""NSE Input VaR+ELM!D:J""),7,0),100)"),25.78)</f>
        <v>25.78</v>
      </c>
      <c r="E501" s="7">
        <f t="shared" si="1"/>
        <v>74.22</v>
      </c>
      <c r="F501" s="9" t="s">
        <v>10</v>
      </c>
      <c r="G501" s="7"/>
    </row>
    <row r="502">
      <c r="A502" s="7">
        <v>496.0</v>
      </c>
      <c r="B502" s="8" t="s">
        <v>1000</v>
      </c>
      <c r="C502" s="8" t="s">
        <v>1001</v>
      </c>
      <c r="D502" s="8">
        <f>IFERROR(__xludf.DUMMYFUNCTION("IFERROR(VLOOKUP(C502,IMPORTRANGE(""https://docs.google.com/spreadsheets/d/10KlTSftfC81rs2H7Cf6EIR7VWS3omC-2kwzaThHv16k/edit#gid=0"",""NSE Input VaR+ELM!D:J""),7,0),100)"),18.63)</f>
        <v>18.63</v>
      </c>
      <c r="E502" s="7">
        <f t="shared" si="1"/>
        <v>81.37</v>
      </c>
      <c r="F502" s="9" t="s">
        <v>10</v>
      </c>
      <c r="G502" s="7"/>
    </row>
    <row r="503">
      <c r="A503" s="7">
        <v>497.0</v>
      </c>
      <c r="B503" s="8" t="s">
        <v>1002</v>
      </c>
      <c r="C503" s="8" t="s">
        <v>1003</v>
      </c>
      <c r="D503" s="8">
        <f>IFERROR(__xludf.DUMMYFUNCTION("IFERROR(VLOOKUP(C503,IMPORTRANGE(""https://docs.google.com/spreadsheets/d/10KlTSftfC81rs2H7Cf6EIR7VWS3omC-2kwzaThHv16k/edit#gid=0"",""NSE Input VaR+ELM!D:J""),7,0),100)"),14.91)</f>
        <v>14.91</v>
      </c>
      <c r="E503" s="7">
        <f t="shared" si="1"/>
        <v>85.09</v>
      </c>
      <c r="F503" s="9" t="s">
        <v>10</v>
      </c>
      <c r="G503" s="7"/>
    </row>
    <row r="504">
      <c r="A504" s="7">
        <v>498.0</v>
      </c>
      <c r="B504" s="8" t="s">
        <v>1004</v>
      </c>
      <c r="C504" s="8" t="s">
        <v>1005</v>
      </c>
      <c r="D504" s="8">
        <f>IFERROR(__xludf.DUMMYFUNCTION("IFERROR(VLOOKUP(C504,IMPORTRANGE(""https://docs.google.com/spreadsheets/d/10KlTSftfC81rs2H7Cf6EIR7VWS3omC-2kwzaThHv16k/edit#gid=0"",""NSE Input VaR+ELM!D:J""),7,0),100)"),26.39)</f>
        <v>26.39</v>
      </c>
      <c r="E504" s="7">
        <f t="shared" si="1"/>
        <v>73.61</v>
      </c>
      <c r="F504" s="9" t="s">
        <v>10</v>
      </c>
      <c r="G504" s="7"/>
    </row>
    <row r="505">
      <c r="A505" s="7">
        <v>499.0</v>
      </c>
      <c r="B505" s="8" t="s">
        <v>1006</v>
      </c>
      <c r="C505" s="8" t="s">
        <v>1007</v>
      </c>
      <c r="D505" s="8">
        <f>IFERROR(__xludf.DUMMYFUNCTION("IFERROR(VLOOKUP(C505,IMPORTRANGE(""https://docs.google.com/spreadsheets/d/10KlTSftfC81rs2H7Cf6EIR7VWS3omC-2kwzaThHv16k/edit#gid=0"",""NSE Input VaR+ELM!D:J""),7,0),100)"),26.14)</f>
        <v>26.14</v>
      </c>
      <c r="E505" s="7">
        <f t="shared" si="1"/>
        <v>73.86</v>
      </c>
      <c r="F505" s="9" t="s">
        <v>217</v>
      </c>
      <c r="G505" s="7"/>
    </row>
    <row r="506">
      <c r="A506" s="7">
        <v>500.0</v>
      </c>
      <c r="B506" s="8" t="s">
        <v>1008</v>
      </c>
      <c r="C506" s="8" t="s">
        <v>1009</v>
      </c>
      <c r="D506" s="8">
        <f>IFERROR(__xludf.DUMMYFUNCTION("IFERROR(VLOOKUP(C506,IMPORTRANGE(""https://docs.google.com/spreadsheets/d/10KlTSftfC81rs2H7Cf6EIR7VWS3omC-2kwzaThHv16k/edit#gid=0"",""NSE Input VaR+ELM!D:J""),7,0),100)"),17.83)</f>
        <v>17.83</v>
      </c>
      <c r="E506" s="7">
        <f t="shared" si="1"/>
        <v>82.17</v>
      </c>
      <c r="F506" s="9" t="s">
        <v>10</v>
      </c>
      <c r="G506" s="7"/>
    </row>
    <row r="507">
      <c r="A507" s="7">
        <v>501.0</v>
      </c>
      <c r="B507" s="8" t="s">
        <v>1010</v>
      </c>
      <c r="C507" s="8" t="s">
        <v>1011</v>
      </c>
      <c r="D507" s="8">
        <f>IFERROR(__xludf.DUMMYFUNCTION("IFERROR(VLOOKUP(C507,IMPORTRANGE(""https://docs.google.com/spreadsheets/d/10KlTSftfC81rs2H7Cf6EIR7VWS3omC-2kwzaThHv16k/edit#gid=0"",""NSE Input VaR+ELM!D:J""),7,0),100)"),19.76)</f>
        <v>19.76</v>
      </c>
      <c r="E507" s="7">
        <f t="shared" si="1"/>
        <v>80.24</v>
      </c>
      <c r="F507" s="9" t="s">
        <v>10</v>
      </c>
      <c r="G507" s="7"/>
    </row>
    <row r="508">
      <c r="A508" s="7">
        <v>502.0</v>
      </c>
      <c r="B508" s="8" t="s">
        <v>1012</v>
      </c>
      <c r="C508" s="8" t="s">
        <v>1013</v>
      </c>
      <c r="D508" s="8">
        <f>IFERROR(__xludf.DUMMYFUNCTION("IFERROR(VLOOKUP(C508,IMPORTRANGE(""https://docs.google.com/spreadsheets/d/10KlTSftfC81rs2H7Cf6EIR7VWS3omC-2kwzaThHv16k/edit#gid=0"",""NSE Input VaR+ELM!D:J""),7,0),100)"),14.2)</f>
        <v>14.2</v>
      </c>
      <c r="E508" s="7">
        <f t="shared" si="1"/>
        <v>85.8</v>
      </c>
      <c r="F508" s="9" t="s">
        <v>10</v>
      </c>
      <c r="G508" s="7"/>
    </row>
    <row r="509">
      <c r="A509" s="7">
        <v>503.0</v>
      </c>
      <c r="B509" s="8" t="s">
        <v>1014</v>
      </c>
      <c r="C509" s="8" t="s">
        <v>1015</v>
      </c>
      <c r="D509" s="8">
        <f>IFERROR(__xludf.DUMMYFUNCTION("IFERROR(VLOOKUP(C509,IMPORTRANGE(""https://docs.google.com/spreadsheets/d/10KlTSftfC81rs2H7Cf6EIR7VWS3omC-2kwzaThHv16k/edit#gid=0"",""NSE Input VaR+ELM!D:J""),7,0),100)"),24.51)</f>
        <v>24.51</v>
      </c>
      <c r="E509" s="7">
        <f t="shared" si="1"/>
        <v>75.49</v>
      </c>
      <c r="F509" s="9" t="s">
        <v>217</v>
      </c>
      <c r="G509" s="7"/>
    </row>
    <row r="510">
      <c r="A510" s="7">
        <v>504.0</v>
      </c>
      <c r="B510" s="8" t="s">
        <v>1016</v>
      </c>
      <c r="C510" s="8" t="s">
        <v>1017</v>
      </c>
      <c r="D510" s="8">
        <f>IFERROR(__xludf.DUMMYFUNCTION("IFERROR(VLOOKUP(C510,IMPORTRANGE(""https://docs.google.com/spreadsheets/d/10KlTSftfC81rs2H7Cf6EIR7VWS3omC-2kwzaThHv16k/edit#gid=0"",""NSE Input VaR+ELM!D:J""),7,0),100)"),21.18)</f>
        <v>21.18</v>
      </c>
      <c r="E510" s="7">
        <f t="shared" si="1"/>
        <v>78.82</v>
      </c>
      <c r="F510" s="9" t="s">
        <v>10</v>
      </c>
      <c r="G510" s="7"/>
    </row>
    <row r="511">
      <c r="A511" s="7">
        <v>505.0</v>
      </c>
      <c r="B511" s="8" t="s">
        <v>1018</v>
      </c>
      <c r="C511" s="8" t="s">
        <v>1019</v>
      </c>
      <c r="D511" s="8">
        <f>IFERROR(__xludf.DUMMYFUNCTION("IFERROR(VLOOKUP(C511,IMPORTRANGE(""https://docs.google.com/spreadsheets/d/10KlTSftfC81rs2H7Cf6EIR7VWS3omC-2kwzaThHv16k/edit#gid=0"",""NSE Input VaR+ELM!D:J""),7,0),100)"),19.82)</f>
        <v>19.82</v>
      </c>
      <c r="E511" s="7">
        <f t="shared" si="1"/>
        <v>80.18</v>
      </c>
      <c r="F511" s="9" t="s">
        <v>10</v>
      </c>
      <c r="G511" s="7"/>
    </row>
    <row r="512">
      <c r="A512" s="7">
        <v>506.0</v>
      </c>
      <c r="B512" s="8" t="s">
        <v>1020</v>
      </c>
      <c r="C512" s="8" t="s">
        <v>1021</v>
      </c>
      <c r="D512" s="8">
        <f>IFERROR(__xludf.DUMMYFUNCTION("IFERROR(VLOOKUP(C512,IMPORTRANGE(""https://docs.google.com/spreadsheets/d/10KlTSftfC81rs2H7Cf6EIR7VWS3omC-2kwzaThHv16k/edit#gid=0"",""NSE Input VaR+ELM!D:J""),7,0),100)"),29.69)</f>
        <v>29.69</v>
      </c>
      <c r="E512" s="7">
        <f t="shared" si="1"/>
        <v>70.31</v>
      </c>
      <c r="F512" s="9" t="s">
        <v>10</v>
      </c>
      <c r="G512" s="7"/>
    </row>
    <row r="513">
      <c r="A513" s="7">
        <v>507.0</v>
      </c>
      <c r="B513" s="8" t="s">
        <v>1022</v>
      </c>
      <c r="C513" s="8" t="s">
        <v>1023</v>
      </c>
      <c r="D513" s="8">
        <f>IFERROR(__xludf.DUMMYFUNCTION("IFERROR(VLOOKUP(C513,IMPORTRANGE(""https://docs.google.com/spreadsheets/d/10KlTSftfC81rs2H7Cf6EIR7VWS3omC-2kwzaThHv16k/edit#gid=0"",""NSE Input VaR+ELM!D:J""),7,0),100)"),29.75)</f>
        <v>29.75</v>
      </c>
      <c r="E513" s="7">
        <f t="shared" si="1"/>
        <v>70.25</v>
      </c>
      <c r="F513" s="9" t="s">
        <v>10</v>
      </c>
      <c r="G513" s="7"/>
    </row>
    <row r="514">
      <c r="A514" s="7">
        <v>508.0</v>
      </c>
      <c r="B514" s="8" t="s">
        <v>1024</v>
      </c>
      <c r="C514" s="8" t="s">
        <v>1025</v>
      </c>
      <c r="D514" s="8">
        <f>IFERROR(__xludf.DUMMYFUNCTION("IFERROR(VLOOKUP(C514,IMPORTRANGE(""https://docs.google.com/spreadsheets/d/10KlTSftfC81rs2H7Cf6EIR7VWS3omC-2kwzaThHv16k/edit#gid=0"",""NSE Input VaR+ELM!D:J""),7,0),100)"),17.41)</f>
        <v>17.41</v>
      </c>
      <c r="E514" s="7">
        <f t="shared" si="1"/>
        <v>82.59</v>
      </c>
      <c r="F514" s="9" t="s">
        <v>10</v>
      </c>
      <c r="G514" s="7"/>
    </row>
    <row r="515">
      <c r="A515" s="7">
        <v>509.0</v>
      </c>
      <c r="B515" s="8" t="s">
        <v>1026</v>
      </c>
      <c r="C515" s="8" t="s">
        <v>1027</v>
      </c>
      <c r="D515" s="8">
        <f>IFERROR(__xludf.DUMMYFUNCTION("IFERROR(VLOOKUP(C515,IMPORTRANGE(""https://docs.google.com/spreadsheets/d/10KlTSftfC81rs2H7Cf6EIR7VWS3omC-2kwzaThHv16k/edit#gid=0"",""NSE Input VaR+ELM!D:J""),7,0),100)"),24.5)</f>
        <v>24.5</v>
      </c>
      <c r="E515" s="7">
        <f t="shared" si="1"/>
        <v>75.5</v>
      </c>
      <c r="F515" s="9" t="s">
        <v>10</v>
      </c>
      <c r="G515" s="7"/>
    </row>
    <row r="516">
      <c r="A516" s="7">
        <v>510.0</v>
      </c>
      <c r="B516" s="8" t="s">
        <v>1028</v>
      </c>
      <c r="C516" s="8" t="s">
        <v>1029</v>
      </c>
      <c r="D516" s="8">
        <f>IFERROR(__xludf.DUMMYFUNCTION("IFERROR(VLOOKUP(C516,IMPORTRANGE(""https://docs.google.com/spreadsheets/d/10KlTSftfC81rs2H7Cf6EIR7VWS3omC-2kwzaThHv16k/edit#gid=0"",""NSE Input VaR+ELM!D:J""),7,0),100)"),24.97)</f>
        <v>24.97</v>
      </c>
      <c r="E516" s="7">
        <f t="shared" si="1"/>
        <v>75.03</v>
      </c>
      <c r="F516" s="9" t="s">
        <v>10</v>
      </c>
      <c r="G516" s="7"/>
    </row>
    <row r="517">
      <c r="A517" s="7">
        <v>511.0</v>
      </c>
      <c r="B517" s="8" t="s">
        <v>1030</v>
      </c>
      <c r="C517" s="8" t="s">
        <v>1031</v>
      </c>
      <c r="D517" s="8">
        <f>IFERROR(__xludf.DUMMYFUNCTION("IFERROR(VLOOKUP(C517,IMPORTRANGE(""https://docs.google.com/spreadsheets/d/10KlTSftfC81rs2H7Cf6EIR7VWS3omC-2kwzaThHv16k/edit#gid=0"",""NSE Input VaR+ELM!D:J""),7,0),100)"),14.02)</f>
        <v>14.02</v>
      </c>
      <c r="E517" s="7">
        <f t="shared" si="1"/>
        <v>85.98</v>
      </c>
      <c r="F517" s="9" t="s">
        <v>10</v>
      </c>
      <c r="G517" s="7"/>
    </row>
    <row r="518">
      <c r="A518" s="7">
        <v>512.0</v>
      </c>
      <c r="B518" s="8" t="s">
        <v>1032</v>
      </c>
      <c r="C518" s="8" t="s">
        <v>1033</v>
      </c>
      <c r="D518" s="8">
        <f>IFERROR(__xludf.DUMMYFUNCTION("IFERROR(VLOOKUP(C518,IMPORTRANGE(""https://docs.google.com/spreadsheets/d/10KlTSftfC81rs2H7Cf6EIR7VWS3omC-2kwzaThHv16k/edit#gid=0"",""NSE Input VaR+ELM!D:J""),7,0),100)"),20.41)</f>
        <v>20.41</v>
      </c>
      <c r="E518" s="7">
        <f t="shared" si="1"/>
        <v>79.59</v>
      </c>
      <c r="F518" s="9" t="s">
        <v>10</v>
      </c>
      <c r="G518" s="7"/>
    </row>
    <row r="519">
      <c r="A519" s="7">
        <v>513.0</v>
      </c>
      <c r="B519" s="8" t="s">
        <v>1034</v>
      </c>
      <c r="C519" s="8" t="s">
        <v>1035</v>
      </c>
      <c r="D519" s="8">
        <f>IFERROR(__xludf.DUMMYFUNCTION("IFERROR(VLOOKUP(C519,IMPORTRANGE(""https://docs.google.com/spreadsheets/d/10KlTSftfC81rs2H7Cf6EIR7VWS3omC-2kwzaThHv16k/edit#gid=0"",""NSE Input VaR+ELM!D:J""),7,0),100)"),15.98)</f>
        <v>15.98</v>
      </c>
      <c r="E519" s="7">
        <f t="shared" si="1"/>
        <v>84.02</v>
      </c>
      <c r="F519" s="9" t="s">
        <v>217</v>
      </c>
      <c r="G519" s="7"/>
    </row>
    <row r="520">
      <c r="A520" s="7">
        <v>514.0</v>
      </c>
      <c r="B520" s="8" t="s">
        <v>1036</v>
      </c>
      <c r="C520" s="8" t="s">
        <v>1037</v>
      </c>
      <c r="D520" s="8">
        <f>IFERROR(__xludf.DUMMYFUNCTION("IFERROR(VLOOKUP(C520,IMPORTRANGE(""https://docs.google.com/spreadsheets/d/10KlTSftfC81rs2H7Cf6EIR7VWS3omC-2kwzaThHv16k/edit#gid=0"",""NSE Input VaR+ELM!D:J""),7,0),100)"),21.14)</f>
        <v>21.14</v>
      </c>
      <c r="E520" s="7">
        <f t="shared" si="1"/>
        <v>78.86</v>
      </c>
      <c r="F520" s="9" t="s">
        <v>10</v>
      </c>
      <c r="G520" s="7"/>
    </row>
    <row r="521">
      <c r="A521" s="7">
        <v>515.0</v>
      </c>
      <c r="B521" s="8" t="s">
        <v>1038</v>
      </c>
      <c r="C521" s="8" t="s">
        <v>1039</v>
      </c>
      <c r="D521" s="8">
        <f>IFERROR(__xludf.DUMMYFUNCTION("IFERROR(VLOOKUP(C521,IMPORTRANGE(""https://docs.google.com/spreadsheets/d/10KlTSftfC81rs2H7Cf6EIR7VWS3omC-2kwzaThHv16k/edit#gid=0"",""NSE Input VaR+ELM!D:J""),7,0),100)"),19.34)</f>
        <v>19.34</v>
      </c>
      <c r="E521" s="7">
        <f t="shared" si="1"/>
        <v>80.66</v>
      </c>
      <c r="F521" s="9" t="s">
        <v>10</v>
      </c>
      <c r="G521" s="7"/>
    </row>
    <row r="522">
      <c r="A522" s="7">
        <v>516.0</v>
      </c>
      <c r="B522" s="8" t="s">
        <v>1040</v>
      </c>
      <c r="C522" s="8" t="s">
        <v>1041</v>
      </c>
      <c r="D522" s="8">
        <f>IFERROR(__xludf.DUMMYFUNCTION("IFERROR(VLOOKUP(C522,IMPORTRANGE(""https://docs.google.com/spreadsheets/d/10KlTSftfC81rs2H7Cf6EIR7VWS3omC-2kwzaThHv16k/edit#gid=0"",""NSE Input VaR+ELM!D:J""),7,0),100)"),18.93)</f>
        <v>18.93</v>
      </c>
      <c r="E522" s="7">
        <f t="shared" si="1"/>
        <v>81.07</v>
      </c>
      <c r="F522" s="9" t="s">
        <v>10</v>
      </c>
      <c r="G522" s="7"/>
    </row>
    <row r="523">
      <c r="A523" s="7">
        <v>517.0</v>
      </c>
      <c r="B523" s="8" t="s">
        <v>1042</v>
      </c>
      <c r="C523" s="8" t="s">
        <v>1043</v>
      </c>
      <c r="D523" s="8">
        <f>IFERROR(__xludf.DUMMYFUNCTION("IFERROR(VLOOKUP(C523,IMPORTRANGE(""https://docs.google.com/spreadsheets/d/10KlTSftfC81rs2H7Cf6EIR7VWS3omC-2kwzaThHv16k/edit#gid=0"",""NSE Input VaR+ELM!D:J""),7,0),100)"),28.05)</f>
        <v>28.05</v>
      </c>
      <c r="E523" s="7">
        <f t="shared" si="1"/>
        <v>71.95</v>
      </c>
      <c r="F523" s="9" t="s">
        <v>10</v>
      </c>
      <c r="G523" s="7"/>
    </row>
    <row r="524">
      <c r="A524" s="7">
        <v>518.0</v>
      </c>
      <c r="B524" s="8" t="s">
        <v>1044</v>
      </c>
      <c r="C524" s="8" t="s">
        <v>1045</v>
      </c>
      <c r="D524" s="8">
        <f>IFERROR(__xludf.DUMMYFUNCTION("IFERROR(VLOOKUP(C524,IMPORTRANGE(""https://docs.google.com/spreadsheets/d/10KlTSftfC81rs2H7Cf6EIR7VWS3omC-2kwzaThHv16k/edit#gid=0"",""NSE Input VaR+ELM!D:J""),7,0),100)"),22.68)</f>
        <v>22.68</v>
      </c>
      <c r="E524" s="7">
        <f t="shared" si="1"/>
        <v>77.32</v>
      </c>
      <c r="F524" s="9" t="s">
        <v>217</v>
      </c>
      <c r="G524" s="7"/>
    </row>
    <row r="525">
      <c r="A525" s="7">
        <v>519.0</v>
      </c>
      <c r="B525" s="8" t="s">
        <v>1046</v>
      </c>
      <c r="C525" s="8" t="s">
        <v>1047</v>
      </c>
      <c r="D525" s="8">
        <f>IFERROR(__xludf.DUMMYFUNCTION("IFERROR(VLOOKUP(C525,IMPORTRANGE(""https://docs.google.com/spreadsheets/d/10KlTSftfC81rs2H7Cf6EIR7VWS3omC-2kwzaThHv16k/edit#gid=0"",""NSE Input VaR+ELM!D:J""),7,0),100)"),22.93)</f>
        <v>22.93</v>
      </c>
      <c r="E525" s="7">
        <f t="shared" si="1"/>
        <v>77.07</v>
      </c>
      <c r="F525" s="9" t="s">
        <v>10</v>
      </c>
      <c r="G525" s="7"/>
    </row>
    <row r="526">
      <c r="A526" s="7">
        <v>520.0</v>
      </c>
      <c r="B526" s="8" t="s">
        <v>1048</v>
      </c>
      <c r="C526" s="8" t="s">
        <v>1049</v>
      </c>
      <c r="D526" s="8">
        <f>IFERROR(__xludf.DUMMYFUNCTION("IFERROR(VLOOKUP(C526,IMPORTRANGE(""https://docs.google.com/spreadsheets/d/10KlTSftfC81rs2H7Cf6EIR7VWS3omC-2kwzaThHv16k/edit#gid=0"",""NSE Input VaR+ELM!D:J""),7,0),100)"),26.12)</f>
        <v>26.12</v>
      </c>
      <c r="E526" s="7">
        <f t="shared" si="1"/>
        <v>73.88</v>
      </c>
      <c r="F526" s="9" t="s">
        <v>10</v>
      </c>
      <c r="G526" s="7"/>
    </row>
    <row r="527">
      <c r="A527" s="7">
        <v>521.0</v>
      </c>
      <c r="B527" s="8" t="s">
        <v>1050</v>
      </c>
      <c r="C527" s="8" t="s">
        <v>1051</v>
      </c>
      <c r="D527" s="8">
        <f>IFERROR(__xludf.DUMMYFUNCTION("IFERROR(VLOOKUP(C527,IMPORTRANGE(""https://docs.google.com/spreadsheets/d/10KlTSftfC81rs2H7Cf6EIR7VWS3omC-2kwzaThHv16k/edit#gid=0"",""NSE Input VaR+ELM!D:J""),7,0),100)"),21.17)</f>
        <v>21.17</v>
      </c>
      <c r="E527" s="7">
        <f t="shared" si="1"/>
        <v>78.83</v>
      </c>
      <c r="F527" s="9" t="s">
        <v>217</v>
      </c>
      <c r="G527" s="7"/>
    </row>
    <row r="528">
      <c r="A528" s="7">
        <v>522.0</v>
      </c>
      <c r="B528" s="8" t="s">
        <v>1052</v>
      </c>
      <c r="C528" s="8" t="s">
        <v>1053</v>
      </c>
      <c r="D528" s="8">
        <f>IFERROR(__xludf.DUMMYFUNCTION("IFERROR(VLOOKUP(C528,IMPORTRANGE(""https://docs.google.com/spreadsheets/d/10KlTSftfC81rs2H7Cf6EIR7VWS3omC-2kwzaThHv16k/edit#gid=0"",""NSE Input VaR+ELM!D:J""),7,0),100)"),25.99)</f>
        <v>25.99</v>
      </c>
      <c r="E528" s="7">
        <f t="shared" si="1"/>
        <v>74.01</v>
      </c>
      <c r="F528" s="9" t="s">
        <v>10</v>
      </c>
      <c r="G528" s="7"/>
    </row>
    <row r="529">
      <c r="A529" s="7">
        <v>523.0</v>
      </c>
      <c r="B529" s="8" t="s">
        <v>1054</v>
      </c>
      <c r="C529" s="8" t="s">
        <v>1055</v>
      </c>
      <c r="D529" s="8">
        <f>IFERROR(__xludf.DUMMYFUNCTION("IFERROR(VLOOKUP(C529,IMPORTRANGE(""https://docs.google.com/spreadsheets/d/10KlTSftfC81rs2H7Cf6EIR7VWS3omC-2kwzaThHv16k/edit#gid=0"",""NSE Input VaR+ELM!D:J""),7,0),100)"),21.68)</f>
        <v>21.68</v>
      </c>
      <c r="E529" s="7">
        <f t="shared" si="1"/>
        <v>78.32</v>
      </c>
      <c r="F529" s="9" t="s">
        <v>217</v>
      </c>
      <c r="G529" s="7"/>
    </row>
    <row r="530">
      <c r="A530" s="7">
        <v>524.0</v>
      </c>
      <c r="B530" s="8" t="s">
        <v>1056</v>
      </c>
      <c r="C530" s="8" t="s">
        <v>1057</v>
      </c>
      <c r="D530" s="8">
        <f>IFERROR(__xludf.DUMMYFUNCTION("IFERROR(VLOOKUP(C530,IMPORTRANGE(""https://docs.google.com/spreadsheets/d/10KlTSftfC81rs2H7Cf6EIR7VWS3omC-2kwzaThHv16k/edit#gid=0"",""NSE Input VaR+ELM!D:J""),7,0),100)"),25.3)</f>
        <v>25.3</v>
      </c>
      <c r="E530" s="7">
        <f t="shared" si="1"/>
        <v>74.7</v>
      </c>
      <c r="F530" s="9" t="s">
        <v>10</v>
      </c>
      <c r="G530" s="7"/>
    </row>
    <row r="531">
      <c r="A531" s="7">
        <v>525.0</v>
      </c>
      <c r="B531" s="8" t="s">
        <v>1058</v>
      </c>
      <c r="C531" s="8" t="s">
        <v>1059</v>
      </c>
      <c r="D531" s="8">
        <f>IFERROR(__xludf.DUMMYFUNCTION("IFERROR(VLOOKUP(C531,IMPORTRANGE(""https://docs.google.com/spreadsheets/d/10KlTSftfC81rs2H7Cf6EIR7VWS3omC-2kwzaThHv16k/edit#gid=0"",""NSE Input VaR+ELM!D:J""),7,0),100)"),27.11)</f>
        <v>27.11</v>
      </c>
      <c r="E531" s="7">
        <f t="shared" si="1"/>
        <v>72.89</v>
      </c>
      <c r="F531" s="9" t="s">
        <v>10</v>
      </c>
      <c r="G531" s="7"/>
    </row>
    <row r="532">
      <c r="A532" s="7">
        <v>526.0</v>
      </c>
      <c r="B532" s="8" t="s">
        <v>1060</v>
      </c>
      <c r="C532" s="8" t="s">
        <v>1061</v>
      </c>
      <c r="D532" s="8">
        <f>IFERROR(__xludf.DUMMYFUNCTION("IFERROR(VLOOKUP(C532,IMPORTRANGE(""https://docs.google.com/spreadsheets/d/10KlTSftfC81rs2H7Cf6EIR7VWS3omC-2kwzaThHv16k/edit#gid=0"",""NSE Input VaR+ELM!D:J""),7,0),100)"),18.1)</f>
        <v>18.1</v>
      </c>
      <c r="E532" s="7">
        <f t="shared" si="1"/>
        <v>81.9</v>
      </c>
      <c r="F532" s="9" t="s">
        <v>10</v>
      </c>
      <c r="G532" s="7"/>
    </row>
    <row r="533">
      <c r="A533" s="7">
        <v>527.0</v>
      </c>
      <c r="B533" s="8" t="s">
        <v>1062</v>
      </c>
      <c r="C533" s="8" t="s">
        <v>1063</v>
      </c>
      <c r="D533" s="8">
        <f>IFERROR(__xludf.DUMMYFUNCTION("IFERROR(VLOOKUP(C533,IMPORTRANGE(""https://docs.google.com/spreadsheets/d/10KlTSftfC81rs2H7Cf6EIR7VWS3omC-2kwzaThHv16k/edit#gid=0"",""NSE Input VaR+ELM!D:J""),7,0),100)"),28.35)</f>
        <v>28.35</v>
      </c>
      <c r="E533" s="7">
        <f t="shared" si="1"/>
        <v>71.65</v>
      </c>
      <c r="F533" s="9" t="s">
        <v>10</v>
      </c>
      <c r="G533" s="7"/>
    </row>
    <row r="534">
      <c r="A534" s="7">
        <v>528.0</v>
      </c>
      <c r="B534" s="8" t="s">
        <v>1064</v>
      </c>
      <c r="C534" s="8" t="s">
        <v>1065</v>
      </c>
      <c r="D534" s="8">
        <f>IFERROR(__xludf.DUMMYFUNCTION("IFERROR(VLOOKUP(C534,IMPORTRANGE(""https://docs.google.com/spreadsheets/d/10KlTSftfC81rs2H7Cf6EIR7VWS3omC-2kwzaThHv16k/edit#gid=0"",""NSE Input VaR+ELM!D:J""),7,0),100)"),17.41)</f>
        <v>17.41</v>
      </c>
      <c r="E534" s="7">
        <f t="shared" si="1"/>
        <v>82.59</v>
      </c>
      <c r="F534" s="9" t="s">
        <v>10</v>
      </c>
      <c r="G534" s="7"/>
    </row>
    <row r="535">
      <c r="A535" s="7">
        <v>529.0</v>
      </c>
      <c r="B535" s="8" t="s">
        <v>1066</v>
      </c>
      <c r="C535" s="8" t="s">
        <v>1067</v>
      </c>
      <c r="D535" s="8">
        <f>IFERROR(__xludf.DUMMYFUNCTION("IFERROR(VLOOKUP(C535,IMPORTRANGE(""https://docs.google.com/spreadsheets/d/10KlTSftfC81rs2H7Cf6EIR7VWS3omC-2kwzaThHv16k/edit#gid=0"",""NSE Input VaR+ELM!D:J""),7,0),100)"),30.07)</f>
        <v>30.07</v>
      </c>
      <c r="E535" s="7">
        <f t="shared" si="1"/>
        <v>69.93</v>
      </c>
      <c r="F535" s="9" t="s">
        <v>10</v>
      </c>
      <c r="G535" s="7"/>
    </row>
    <row r="536">
      <c r="A536" s="7">
        <v>530.0</v>
      </c>
      <c r="B536" s="8" t="s">
        <v>1068</v>
      </c>
      <c r="C536" s="8" t="s">
        <v>1069</v>
      </c>
      <c r="D536" s="8">
        <f>IFERROR(__xludf.DUMMYFUNCTION("IFERROR(VLOOKUP(C536,IMPORTRANGE(""https://docs.google.com/spreadsheets/d/10KlTSftfC81rs2H7Cf6EIR7VWS3omC-2kwzaThHv16k/edit#gid=0"",""NSE Input VaR+ELM!D:J""),7,0),100)"),24.29)</f>
        <v>24.29</v>
      </c>
      <c r="E536" s="7">
        <f t="shared" si="1"/>
        <v>75.71</v>
      </c>
      <c r="F536" s="9" t="s">
        <v>217</v>
      </c>
      <c r="G536" s="7"/>
    </row>
    <row r="537">
      <c r="A537" s="7">
        <v>531.0</v>
      </c>
      <c r="B537" s="8" t="s">
        <v>1070</v>
      </c>
      <c r="C537" s="8" t="s">
        <v>1071</v>
      </c>
      <c r="D537" s="8">
        <f>IFERROR(__xludf.DUMMYFUNCTION("IFERROR(VLOOKUP(C537,IMPORTRANGE(""https://docs.google.com/spreadsheets/d/10KlTSftfC81rs2H7Cf6EIR7VWS3omC-2kwzaThHv16k/edit#gid=0"",""NSE Input VaR+ELM!D:J""),7,0),100)"),26.77)</f>
        <v>26.77</v>
      </c>
      <c r="E537" s="7">
        <f t="shared" si="1"/>
        <v>73.23</v>
      </c>
      <c r="F537" s="9" t="s">
        <v>217</v>
      </c>
      <c r="G537" s="7"/>
    </row>
    <row r="538">
      <c r="A538" s="7">
        <v>532.0</v>
      </c>
      <c r="B538" s="8" t="s">
        <v>1072</v>
      </c>
      <c r="C538" s="8" t="s">
        <v>1073</v>
      </c>
      <c r="D538" s="8">
        <f>IFERROR(__xludf.DUMMYFUNCTION("IFERROR(VLOOKUP(C538,IMPORTRANGE(""https://docs.google.com/spreadsheets/d/10KlTSftfC81rs2H7Cf6EIR7VWS3omC-2kwzaThHv16k/edit#gid=0"",""NSE Input VaR+ELM!D:J""),7,0),100)"),25.71)</f>
        <v>25.71</v>
      </c>
      <c r="E538" s="7">
        <f t="shared" si="1"/>
        <v>74.29</v>
      </c>
      <c r="F538" s="9" t="s">
        <v>217</v>
      </c>
      <c r="G538" s="7"/>
    </row>
    <row r="539">
      <c r="A539" s="7">
        <v>533.0</v>
      </c>
      <c r="B539" s="8" t="s">
        <v>1074</v>
      </c>
      <c r="C539" s="8" t="s">
        <v>1075</v>
      </c>
      <c r="D539" s="8">
        <f>IFERROR(__xludf.DUMMYFUNCTION("IFERROR(VLOOKUP(C539,IMPORTRANGE(""https://docs.google.com/spreadsheets/d/10KlTSftfC81rs2H7Cf6EIR7VWS3omC-2kwzaThHv16k/edit#gid=0"",""NSE Input VaR+ELM!D:J""),7,0),100)"),23.69)</f>
        <v>23.69</v>
      </c>
      <c r="E539" s="7">
        <f t="shared" si="1"/>
        <v>76.31</v>
      </c>
      <c r="F539" s="9" t="s">
        <v>10</v>
      </c>
      <c r="G539" s="7"/>
    </row>
    <row r="540">
      <c r="A540" s="7">
        <v>534.0</v>
      </c>
      <c r="B540" s="8" t="s">
        <v>1076</v>
      </c>
      <c r="C540" s="8" t="s">
        <v>1077</v>
      </c>
      <c r="D540" s="8">
        <f>IFERROR(__xludf.DUMMYFUNCTION("IFERROR(VLOOKUP(C540,IMPORTRANGE(""https://docs.google.com/spreadsheets/d/10KlTSftfC81rs2H7Cf6EIR7VWS3omC-2kwzaThHv16k/edit#gid=0"",""NSE Input VaR+ELM!D:J""),7,0),100)"),25.51)</f>
        <v>25.51</v>
      </c>
      <c r="E540" s="7">
        <f t="shared" si="1"/>
        <v>74.49</v>
      </c>
      <c r="F540" s="9" t="s">
        <v>10</v>
      </c>
      <c r="G540" s="7"/>
    </row>
    <row r="541">
      <c r="A541" s="7">
        <v>535.0</v>
      </c>
      <c r="B541" s="8" t="s">
        <v>1078</v>
      </c>
      <c r="C541" s="8" t="s">
        <v>1079</v>
      </c>
      <c r="D541" s="8">
        <f>IFERROR(__xludf.DUMMYFUNCTION("IFERROR(VLOOKUP(C541,IMPORTRANGE(""https://docs.google.com/spreadsheets/d/10KlTSftfC81rs2H7Cf6EIR7VWS3omC-2kwzaThHv16k/edit#gid=0"",""NSE Input VaR+ELM!D:J""),7,0),100)"),20.11)</f>
        <v>20.11</v>
      </c>
      <c r="E541" s="7">
        <f t="shared" si="1"/>
        <v>79.89</v>
      </c>
      <c r="F541" s="9" t="s">
        <v>217</v>
      </c>
      <c r="G541" s="7"/>
    </row>
    <row r="542">
      <c r="A542" s="7">
        <v>536.0</v>
      </c>
      <c r="B542" s="8" t="s">
        <v>1080</v>
      </c>
      <c r="C542" s="8" t="s">
        <v>1081</v>
      </c>
      <c r="D542" s="8">
        <f>IFERROR(__xludf.DUMMYFUNCTION("IFERROR(VLOOKUP(C542,IMPORTRANGE(""https://docs.google.com/spreadsheets/d/10KlTSftfC81rs2H7Cf6EIR7VWS3omC-2kwzaThHv16k/edit#gid=0"",""NSE Input VaR+ELM!D:J""),7,0),100)"),21.51)</f>
        <v>21.51</v>
      </c>
      <c r="E542" s="7">
        <f t="shared" si="1"/>
        <v>78.49</v>
      </c>
      <c r="F542" s="9" t="s">
        <v>10</v>
      </c>
      <c r="G542" s="7"/>
    </row>
    <row r="543">
      <c r="A543" s="7">
        <v>537.0</v>
      </c>
      <c r="B543" s="8" t="s">
        <v>1082</v>
      </c>
      <c r="C543" s="8" t="s">
        <v>1083</v>
      </c>
      <c r="D543" s="8">
        <f>IFERROR(__xludf.DUMMYFUNCTION("IFERROR(VLOOKUP(C543,IMPORTRANGE(""https://docs.google.com/spreadsheets/d/10KlTSftfC81rs2H7Cf6EIR7VWS3omC-2kwzaThHv16k/edit#gid=0"",""NSE Input VaR+ELM!D:J""),7,0),100)"),18.45)</f>
        <v>18.45</v>
      </c>
      <c r="E543" s="7">
        <f t="shared" si="1"/>
        <v>81.55</v>
      </c>
      <c r="F543" s="9" t="s">
        <v>10</v>
      </c>
      <c r="G543" s="7"/>
    </row>
    <row r="544">
      <c r="A544" s="7">
        <v>538.0</v>
      </c>
      <c r="B544" s="8" t="s">
        <v>1084</v>
      </c>
      <c r="C544" s="8" t="s">
        <v>1085</v>
      </c>
      <c r="D544" s="8">
        <f>IFERROR(__xludf.DUMMYFUNCTION("IFERROR(VLOOKUP(C544,IMPORTRANGE(""https://docs.google.com/spreadsheets/d/10KlTSftfC81rs2H7Cf6EIR7VWS3omC-2kwzaThHv16k/edit#gid=0"",""NSE Input VaR+ELM!D:J""),7,0),100)"),15.72)</f>
        <v>15.72</v>
      </c>
      <c r="E544" s="7">
        <f t="shared" si="1"/>
        <v>84.28</v>
      </c>
      <c r="F544" s="9" t="s">
        <v>10</v>
      </c>
      <c r="G544" s="7"/>
    </row>
    <row r="545">
      <c r="A545" s="7">
        <v>539.0</v>
      </c>
      <c r="B545" s="8" t="s">
        <v>1086</v>
      </c>
      <c r="C545" s="8" t="s">
        <v>1087</v>
      </c>
      <c r="D545" s="8">
        <f>IFERROR(__xludf.DUMMYFUNCTION("IFERROR(VLOOKUP(C545,IMPORTRANGE(""https://docs.google.com/spreadsheets/d/10KlTSftfC81rs2H7Cf6EIR7VWS3omC-2kwzaThHv16k/edit#gid=0"",""NSE Input VaR+ELM!D:J""),7,0),100)"),19.6)</f>
        <v>19.6</v>
      </c>
      <c r="E545" s="7">
        <f t="shared" si="1"/>
        <v>80.4</v>
      </c>
      <c r="F545" s="9" t="s">
        <v>10</v>
      </c>
      <c r="G545" s="7"/>
    </row>
    <row r="546">
      <c r="A546" s="7">
        <v>540.0</v>
      </c>
      <c r="B546" s="8" t="s">
        <v>1088</v>
      </c>
      <c r="C546" s="8" t="s">
        <v>1089</v>
      </c>
      <c r="D546" s="8">
        <f>IFERROR(__xludf.DUMMYFUNCTION("IFERROR(VLOOKUP(C546,IMPORTRANGE(""https://docs.google.com/spreadsheets/d/10KlTSftfC81rs2H7Cf6EIR7VWS3omC-2kwzaThHv16k/edit#gid=0"",""NSE Input VaR+ELM!D:J""),7,0),100)"),15.47)</f>
        <v>15.47</v>
      </c>
      <c r="E546" s="7">
        <f t="shared" si="1"/>
        <v>84.53</v>
      </c>
      <c r="F546" s="9" t="s">
        <v>10</v>
      </c>
      <c r="G546" s="7"/>
    </row>
    <row r="547">
      <c r="A547" s="7">
        <v>541.0</v>
      </c>
      <c r="B547" s="8" t="s">
        <v>1090</v>
      </c>
      <c r="C547" s="8" t="s">
        <v>1091</v>
      </c>
      <c r="D547" s="8">
        <f>IFERROR(__xludf.DUMMYFUNCTION("IFERROR(VLOOKUP(C547,IMPORTRANGE(""https://docs.google.com/spreadsheets/d/10KlTSftfC81rs2H7Cf6EIR7VWS3omC-2kwzaThHv16k/edit#gid=0"",""NSE Input VaR+ELM!D:J""),7,0),100)"),24.78)</f>
        <v>24.78</v>
      </c>
      <c r="E547" s="7">
        <f t="shared" si="1"/>
        <v>75.22</v>
      </c>
      <c r="F547" s="9" t="s">
        <v>10</v>
      </c>
      <c r="G547" s="7"/>
    </row>
    <row r="548">
      <c r="A548" s="7">
        <v>542.0</v>
      </c>
      <c r="B548" s="8" t="s">
        <v>1092</v>
      </c>
      <c r="C548" s="8" t="s">
        <v>1093</v>
      </c>
      <c r="D548" s="8">
        <f>IFERROR(__xludf.DUMMYFUNCTION("IFERROR(VLOOKUP(C548,IMPORTRANGE(""https://docs.google.com/spreadsheets/d/10KlTSftfC81rs2H7Cf6EIR7VWS3omC-2kwzaThHv16k/edit#gid=0"",""NSE Input VaR+ELM!D:J""),7,0),100)"),26.52)</f>
        <v>26.52</v>
      </c>
      <c r="E548" s="7">
        <f t="shared" si="1"/>
        <v>73.48</v>
      </c>
      <c r="F548" s="9" t="s">
        <v>10</v>
      </c>
      <c r="G548" s="7"/>
    </row>
    <row r="549">
      <c r="A549" s="7">
        <v>543.0</v>
      </c>
      <c r="B549" s="8" t="s">
        <v>1094</v>
      </c>
      <c r="C549" s="8" t="s">
        <v>1095</v>
      </c>
      <c r="D549" s="8">
        <f>IFERROR(__xludf.DUMMYFUNCTION("IFERROR(VLOOKUP(C549,IMPORTRANGE(""https://docs.google.com/spreadsheets/d/10KlTSftfC81rs2H7Cf6EIR7VWS3omC-2kwzaThHv16k/edit#gid=0"",""NSE Input VaR+ELM!D:J""),7,0),100)"),25.02)</f>
        <v>25.02</v>
      </c>
      <c r="E549" s="7">
        <f t="shared" si="1"/>
        <v>74.98</v>
      </c>
      <c r="F549" s="9" t="s">
        <v>217</v>
      </c>
      <c r="G549" s="7"/>
    </row>
    <row r="550">
      <c r="A550" s="7">
        <v>544.0</v>
      </c>
      <c r="B550" s="8" t="s">
        <v>1096</v>
      </c>
      <c r="C550" s="8" t="s">
        <v>1097</v>
      </c>
      <c r="D550" s="8">
        <f>IFERROR(__xludf.DUMMYFUNCTION("IFERROR(VLOOKUP(C550,IMPORTRANGE(""https://docs.google.com/spreadsheets/d/10KlTSftfC81rs2H7Cf6EIR7VWS3omC-2kwzaThHv16k/edit#gid=0"",""NSE Input VaR+ELM!D:J""),7,0),100)"),16.41)</f>
        <v>16.41</v>
      </c>
      <c r="E550" s="7">
        <f t="shared" si="1"/>
        <v>83.59</v>
      </c>
      <c r="F550" s="9" t="s">
        <v>10</v>
      </c>
      <c r="G550" s="7"/>
    </row>
    <row r="551">
      <c r="A551" s="7">
        <v>545.0</v>
      </c>
      <c r="B551" s="8" t="s">
        <v>1098</v>
      </c>
      <c r="C551" s="8" t="s">
        <v>1099</v>
      </c>
      <c r="D551" s="8">
        <f>IFERROR(__xludf.DUMMYFUNCTION("IFERROR(VLOOKUP(C551,IMPORTRANGE(""https://docs.google.com/spreadsheets/d/10KlTSftfC81rs2H7Cf6EIR7VWS3omC-2kwzaThHv16k/edit#gid=0"",""NSE Input VaR+ELM!D:J""),7,0),100)"),18.16)</f>
        <v>18.16</v>
      </c>
      <c r="E551" s="7">
        <f t="shared" si="1"/>
        <v>81.84</v>
      </c>
      <c r="F551" s="9" t="s">
        <v>10</v>
      </c>
      <c r="G551" s="7"/>
    </row>
    <row r="552">
      <c r="A552" s="7">
        <v>546.0</v>
      </c>
      <c r="B552" s="8" t="s">
        <v>1100</v>
      </c>
      <c r="C552" s="8" t="s">
        <v>1101</v>
      </c>
      <c r="D552" s="8">
        <f>IFERROR(__xludf.DUMMYFUNCTION("IFERROR(VLOOKUP(C552,IMPORTRANGE(""https://docs.google.com/spreadsheets/d/10KlTSftfC81rs2H7Cf6EIR7VWS3omC-2kwzaThHv16k/edit#gid=0"",""NSE Input VaR+ELM!D:J""),7,0),100)"),29.06)</f>
        <v>29.06</v>
      </c>
      <c r="E552" s="7">
        <f t="shared" si="1"/>
        <v>70.94</v>
      </c>
      <c r="F552" s="9" t="s">
        <v>10</v>
      </c>
      <c r="G552" s="7"/>
    </row>
    <row r="553">
      <c r="A553" s="7">
        <v>547.0</v>
      </c>
      <c r="B553" s="8" t="s">
        <v>1102</v>
      </c>
      <c r="C553" s="8" t="s">
        <v>1103</v>
      </c>
      <c r="D553" s="8">
        <f>IFERROR(__xludf.DUMMYFUNCTION("IFERROR(VLOOKUP(C553,IMPORTRANGE(""https://docs.google.com/spreadsheets/d/10KlTSftfC81rs2H7Cf6EIR7VWS3omC-2kwzaThHv16k/edit#gid=0"",""NSE Input VaR+ELM!D:J""),7,0),100)"),28.98)</f>
        <v>28.98</v>
      </c>
      <c r="E553" s="7">
        <f t="shared" si="1"/>
        <v>71.02</v>
      </c>
      <c r="F553" s="9" t="s">
        <v>10</v>
      </c>
      <c r="G553" s="7"/>
    </row>
    <row r="554">
      <c r="A554" s="7">
        <v>548.0</v>
      </c>
      <c r="B554" s="8" t="s">
        <v>1104</v>
      </c>
      <c r="C554" s="8" t="s">
        <v>1105</v>
      </c>
      <c r="D554" s="8">
        <f>IFERROR(__xludf.DUMMYFUNCTION("IFERROR(VLOOKUP(C554,IMPORTRANGE(""https://docs.google.com/spreadsheets/d/10KlTSftfC81rs2H7Cf6EIR7VWS3omC-2kwzaThHv16k/edit#gid=0"",""NSE Input VaR+ELM!D:J""),7,0),100)"),27.86)</f>
        <v>27.86</v>
      </c>
      <c r="E554" s="7">
        <f t="shared" si="1"/>
        <v>72.14</v>
      </c>
      <c r="F554" s="9" t="s">
        <v>10</v>
      </c>
      <c r="G554" s="7"/>
    </row>
    <row r="555">
      <c r="A555" s="7">
        <v>549.0</v>
      </c>
      <c r="B555" s="8" t="s">
        <v>1106</v>
      </c>
      <c r="C555" s="8" t="s">
        <v>1107</v>
      </c>
      <c r="D555" s="8">
        <f>IFERROR(__xludf.DUMMYFUNCTION("IFERROR(VLOOKUP(C555,IMPORTRANGE(""https://docs.google.com/spreadsheets/d/10KlTSftfC81rs2H7Cf6EIR7VWS3omC-2kwzaThHv16k/edit#gid=0"",""NSE Input VaR+ELM!D:J""),7,0),100)"),14.95)</f>
        <v>14.95</v>
      </c>
      <c r="E555" s="7">
        <f t="shared" si="1"/>
        <v>85.05</v>
      </c>
      <c r="F555" s="9" t="s">
        <v>10</v>
      </c>
      <c r="G555" s="7"/>
    </row>
    <row r="556">
      <c r="A556" s="7">
        <v>550.0</v>
      </c>
      <c r="B556" s="8" t="s">
        <v>1108</v>
      </c>
      <c r="C556" s="8" t="s">
        <v>1109</v>
      </c>
      <c r="D556" s="8">
        <f>IFERROR(__xludf.DUMMYFUNCTION("IFERROR(VLOOKUP(C556,IMPORTRANGE(""https://docs.google.com/spreadsheets/d/10KlTSftfC81rs2H7Cf6EIR7VWS3omC-2kwzaThHv16k/edit#gid=0"",""NSE Input VaR+ELM!D:J""),7,0),100)"),23.56)</f>
        <v>23.56</v>
      </c>
      <c r="E556" s="7">
        <f t="shared" si="1"/>
        <v>76.44</v>
      </c>
      <c r="F556" s="9" t="s">
        <v>10</v>
      </c>
      <c r="G556" s="7"/>
    </row>
    <row r="557">
      <c r="A557" s="7">
        <v>551.0</v>
      </c>
      <c r="B557" s="8" t="s">
        <v>1110</v>
      </c>
      <c r="C557" s="8" t="s">
        <v>1111</v>
      </c>
      <c r="D557" s="8">
        <f>IFERROR(__xludf.DUMMYFUNCTION("IFERROR(VLOOKUP(C557,IMPORTRANGE(""https://docs.google.com/spreadsheets/d/10KlTSftfC81rs2H7Cf6EIR7VWS3omC-2kwzaThHv16k/edit#gid=0"",""NSE Input VaR+ELM!D:J""),7,0),100)"),32.78)</f>
        <v>32.78</v>
      </c>
      <c r="E557" s="7">
        <f t="shared" si="1"/>
        <v>67.22</v>
      </c>
      <c r="F557" s="9" t="s">
        <v>10</v>
      </c>
      <c r="G557" s="7"/>
    </row>
    <row r="558">
      <c r="A558" s="7">
        <v>552.0</v>
      </c>
      <c r="B558" s="8" t="s">
        <v>1112</v>
      </c>
      <c r="C558" s="8" t="s">
        <v>1113</v>
      </c>
      <c r="D558" s="8">
        <f>IFERROR(__xludf.DUMMYFUNCTION("IFERROR(VLOOKUP(C558,IMPORTRANGE(""https://docs.google.com/spreadsheets/d/10KlTSftfC81rs2H7Cf6EIR7VWS3omC-2kwzaThHv16k/edit#gid=0"",""NSE Input VaR+ELM!D:J""),7,0),100)"),22.32)</f>
        <v>22.32</v>
      </c>
      <c r="E558" s="7">
        <f t="shared" si="1"/>
        <v>77.68</v>
      </c>
      <c r="F558" s="9" t="s">
        <v>10</v>
      </c>
      <c r="G558" s="7"/>
    </row>
    <row r="559">
      <c r="A559" s="7">
        <v>553.0</v>
      </c>
      <c r="B559" s="8" t="s">
        <v>1114</v>
      </c>
      <c r="C559" s="8" t="s">
        <v>1115</v>
      </c>
      <c r="D559" s="8">
        <f>IFERROR(__xludf.DUMMYFUNCTION("IFERROR(VLOOKUP(C559,IMPORTRANGE(""https://docs.google.com/spreadsheets/d/10KlTSftfC81rs2H7Cf6EIR7VWS3omC-2kwzaThHv16k/edit#gid=0"",""NSE Input VaR+ELM!D:J""),7,0),100)"),20.38)</f>
        <v>20.38</v>
      </c>
      <c r="E559" s="7">
        <f t="shared" si="1"/>
        <v>79.62</v>
      </c>
      <c r="F559" s="9" t="s">
        <v>10</v>
      </c>
      <c r="G559" s="7"/>
    </row>
    <row r="560">
      <c r="A560" s="7">
        <v>554.0</v>
      </c>
      <c r="B560" s="8" t="s">
        <v>1116</v>
      </c>
      <c r="C560" s="8" t="s">
        <v>1117</v>
      </c>
      <c r="D560" s="8">
        <f>IFERROR(__xludf.DUMMYFUNCTION("IFERROR(VLOOKUP(C560,IMPORTRANGE(""https://docs.google.com/spreadsheets/d/10KlTSftfC81rs2H7Cf6EIR7VWS3omC-2kwzaThHv16k/edit#gid=0"",""NSE Input VaR+ELM!D:J""),7,0),100)"),21.52)</f>
        <v>21.52</v>
      </c>
      <c r="E560" s="7">
        <f t="shared" si="1"/>
        <v>78.48</v>
      </c>
      <c r="F560" s="9" t="s">
        <v>10</v>
      </c>
      <c r="G560" s="7"/>
    </row>
    <row r="561">
      <c r="A561" s="7">
        <v>555.0</v>
      </c>
      <c r="B561" s="8" t="s">
        <v>1118</v>
      </c>
      <c r="C561" s="8" t="s">
        <v>1119</v>
      </c>
      <c r="D561" s="8">
        <f>IFERROR(__xludf.DUMMYFUNCTION("IFERROR(VLOOKUP(C561,IMPORTRANGE(""https://docs.google.com/spreadsheets/d/10KlTSftfC81rs2H7Cf6EIR7VWS3omC-2kwzaThHv16k/edit#gid=0"",""NSE Input VaR+ELM!D:J""),7,0),100)"),24.39)</f>
        <v>24.39</v>
      </c>
      <c r="E561" s="7">
        <f t="shared" si="1"/>
        <v>75.61</v>
      </c>
      <c r="F561" s="9" t="s">
        <v>10</v>
      </c>
      <c r="G561" s="7"/>
    </row>
    <row r="562">
      <c r="A562" s="7">
        <v>556.0</v>
      </c>
      <c r="B562" s="8" t="s">
        <v>1120</v>
      </c>
      <c r="C562" s="8" t="s">
        <v>1121</v>
      </c>
      <c r="D562" s="8">
        <f>IFERROR(__xludf.DUMMYFUNCTION("IFERROR(VLOOKUP(C562,IMPORTRANGE(""https://docs.google.com/spreadsheets/d/10KlTSftfC81rs2H7Cf6EIR7VWS3omC-2kwzaThHv16k/edit#gid=0"",""NSE Input VaR+ELM!D:J""),7,0),100)"),21.78)</f>
        <v>21.78</v>
      </c>
      <c r="E562" s="7">
        <f t="shared" si="1"/>
        <v>78.22</v>
      </c>
      <c r="F562" s="9" t="s">
        <v>10</v>
      </c>
      <c r="G562" s="7"/>
    </row>
    <row r="563">
      <c r="A563" s="7">
        <v>557.0</v>
      </c>
      <c r="B563" s="8" t="s">
        <v>1122</v>
      </c>
      <c r="C563" s="8" t="s">
        <v>1123</v>
      </c>
      <c r="D563" s="8">
        <f>IFERROR(__xludf.DUMMYFUNCTION("IFERROR(VLOOKUP(C563,IMPORTRANGE(""https://docs.google.com/spreadsheets/d/10KlTSftfC81rs2H7Cf6EIR7VWS3omC-2kwzaThHv16k/edit#gid=0"",""NSE Input VaR+ELM!D:J""),7,0),100)"),26.96)</f>
        <v>26.96</v>
      </c>
      <c r="E563" s="7">
        <f t="shared" si="1"/>
        <v>73.04</v>
      </c>
      <c r="F563" s="9" t="s">
        <v>10</v>
      </c>
      <c r="G563" s="7"/>
    </row>
    <row r="564">
      <c r="A564" s="7">
        <v>558.0</v>
      </c>
      <c r="B564" s="8" t="s">
        <v>1124</v>
      </c>
      <c r="C564" s="8" t="s">
        <v>1125</v>
      </c>
      <c r="D564" s="8">
        <f>IFERROR(__xludf.DUMMYFUNCTION("IFERROR(VLOOKUP(C564,IMPORTRANGE(""https://docs.google.com/spreadsheets/d/10KlTSftfC81rs2H7Cf6EIR7VWS3omC-2kwzaThHv16k/edit#gid=0"",""NSE Input VaR+ELM!D:J""),7,0),100)"),22.75)</f>
        <v>22.75</v>
      </c>
      <c r="E564" s="7">
        <f t="shared" si="1"/>
        <v>77.25</v>
      </c>
      <c r="F564" s="9" t="s">
        <v>217</v>
      </c>
      <c r="G564" s="7"/>
    </row>
    <row r="565">
      <c r="A565" s="7">
        <v>559.0</v>
      </c>
      <c r="B565" s="8" t="s">
        <v>1126</v>
      </c>
      <c r="C565" s="8" t="s">
        <v>1127</v>
      </c>
      <c r="D565" s="8">
        <f>IFERROR(__xludf.DUMMYFUNCTION("IFERROR(VLOOKUP(C565,IMPORTRANGE(""https://docs.google.com/spreadsheets/d/10KlTSftfC81rs2H7Cf6EIR7VWS3omC-2kwzaThHv16k/edit#gid=0"",""NSE Input VaR+ELM!D:J""),7,0),100)"),26.67)</f>
        <v>26.67</v>
      </c>
      <c r="E565" s="7">
        <f t="shared" si="1"/>
        <v>73.33</v>
      </c>
      <c r="F565" s="9" t="s">
        <v>10</v>
      </c>
      <c r="G565" s="7"/>
    </row>
    <row r="566">
      <c r="A566" s="7">
        <v>560.0</v>
      </c>
      <c r="B566" s="8" t="s">
        <v>1128</v>
      </c>
      <c r="C566" s="8" t="s">
        <v>1129</v>
      </c>
      <c r="D566" s="8">
        <f>IFERROR(__xludf.DUMMYFUNCTION("IFERROR(VLOOKUP(C566,IMPORTRANGE(""https://docs.google.com/spreadsheets/d/10KlTSftfC81rs2H7Cf6EIR7VWS3omC-2kwzaThHv16k/edit#gid=0"",""NSE Input VaR+ELM!D:J""),7,0),100)"),17.44)</f>
        <v>17.44</v>
      </c>
      <c r="E566" s="7">
        <f t="shared" si="1"/>
        <v>82.56</v>
      </c>
      <c r="F566" s="9" t="s">
        <v>10</v>
      </c>
      <c r="G566" s="7"/>
    </row>
    <row r="567">
      <c r="A567" s="7">
        <v>561.0</v>
      </c>
      <c r="B567" s="8" t="s">
        <v>1130</v>
      </c>
      <c r="C567" s="8" t="s">
        <v>1131</v>
      </c>
      <c r="D567" s="8">
        <f>IFERROR(__xludf.DUMMYFUNCTION("IFERROR(VLOOKUP(C567,IMPORTRANGE(""https://docs.google.com/spreadsheets/d/10KlTSftfC81rs2H7Cf6EIR7VWS3omC-2kwzaThHv16k/edit#gid=0"",""NSE Input VaR+ELM!D:J""),7,0),100)"),23.01)</f>
        <v>23.01</v>
      </c>
      <c r="E567" s="7">
        <f t="shared" si="1"/>
        <v>76.99</v>
      </c>
      <c r="F567" s="9" t="s">
        <v>10</v>
      </c>
      <c r="G567" s="7"/>
    </row>
    <row r="568">
      <c r="A568" s="7">
        <v>562.0</v>
      </c>
      <c r="B568" s="8" t="s">
        <v>1132</v>
      </c>
      <c r="C568" s="8" t="s">
        <v>1133</v>
      </c>
      <c r="D568" s="8">
        <f>IFERROR(__xludf.DUMMYFUNCTION("IFERROR(VLOOKUP(C568,IMPORTRANGE(""https://docs.google.com/spreadsheets/d/10KlTSftfC81rs2H7Cf6EIR7VWS3omC-2kwzaThHv16k/edit#gid=0"",""NSE Input VaR+ELM!D:J""),7,0),100)"),23.25)</f>
        <v>23.25</v>
      </c>
      <c r="E568" s="7">
        <f t="shared" si="1"/>
        <v>76.75</v>
      </c>
      <c r="F568" s="9" t="s">
        <v>10</v>
      </c>
      <c r="G568" s="7"/>
    </row>
    <row r="569">
      <c r="A569" s="7">
        <v>563.0</v>
      </c>
      <c r="B569" s="8" t="s">
        <v>1134</v>
      </c>
      <c r="C569" s="8" t="s">
        <v>1135</v>
      </c>
      <c r="D569" s="8">
        <f>IFERROR(__xludf.DUMMYFUNCTION("IFERROR(VLOOKUP(C569,IMPORTRANGE(""https://docs.google.com/spreadsheets/d/10KlTSftfC81rs2H7Cf6EIR7VWS3omC-2kwzaThHv16k/edit#gid=0"",""NSE Input VaR+ELM!D:J""),7,0),100)"),24.06)</f>
        <v>24.06</v>
      </c>
      <c r="E569" s="7">
        <f t="shared" si="1"/>
        <v>75.94</v>
      </c>
      <c r="F569" s="9" t="s">
        <v>217</v>
      </c>
      <c r="G569" s="7"/>
    </row>
    <row r="570">
      <c r="A570" s="7">
        <v>564.0</v>
      </c>
      <c r="B570" s="8" t="s">
        <v>1136</v>
      </c>
      <c r="C570" s="8" t="s">
        <v>1137</v>
      </c>
      <c r="D570" s="8">
        <f>IFERROR(__xludf.DUMMYFUNCTION("IFERROR(VLOOKUP(C570,IMPORTRANGE(""https://docs.google.com/spreadsheets/d/10KlTSftfC81rs2H7Cf6EIR7VWS3omC-2kwzaThHv16k/edit#gid=0"",""NSE Input VaR+ELM!D:J""),7,0),100)"),18.82)</f>
        <v>18.82</v>
      </c>
      <c r="E570" s="7">
        <f t="shared" si="1"/>
        <v>81.18</v>
      </c>
      <c r="F570" s="9" t="s">
        <v>10</v>
      </c>
      <c r="G570" s="7"/>
    </row>
    <row r="571">
      <c r="A571" s="7">
        <v>565.0</v>
      </c>
      <c r="B571" s="8" t="s">
        <v>1138</v>
      </c>
      <c r="C571" s="8" t="s">
        <v>1139</v>
      </c>
      <c r="D571" s="8">
        <f>IFERROR(__xludf.DUMMYFUNCTION("IFERROR(VLOOKUP(C571,IMPORTRANGE(""https://docs.google.com/spreadsheets/d/10KlTSftfC81rs2H7Cf6EIR7VWS3omC-2kwzaThHv16k/edit#gid=0"",""NSE Input VaR+ELM!D:J""),7,0),100)"),24.99)</f>
        <v>24.99</v>
      </c>
      <c r="E571" s="7">
        <f t="shared" si="1"/>
        <v>75.01</v>
      </c>
      <c r="F571" s="9" t="s">
        <v>10</v>
      </c>
      <c r="G571" s="7"/>
    </row>
    <row r="572">
      <c r="A572" s="7">
        <v>566.0</v>
      </c>
      <c r="B572" s="8" t="s">
        <v>1140</v>
      </c>
      <c r="C572" s="8" t="s">
        <v>1141</v>
      </c>
      <c r="D572" s="8">
        <f>IFERROR(__xludf.DUMMYFUNCTION("IFERROR(VLOOKUP(C572,IMPORTRANGE(""https://docs.google.com/spreadsheets/d/10KlTSftfC81rs2H7Cf6EIR7VWS3omC-2kwzaThHv16k/edit#gid=0"",""NSE Input VaR+ELM!D:J""),7,0),100)"),13.98)</f>
        <v>13.98</v>
      </c>
      <c r="E572" s="7">
        <f t="shared" si="1"/>
        <v>86.02</v>
      </c>
      <c r="F572" s="9" t="s">
        <v>217</v>
      </c>
      <c r="G572" s="7"/>
    </row>
    <row r="573">
      <c r="A573" s="7">
        <v>567.0</v>
      </c>
      <c r="B573" s="8" t="s">
        <v>1142</v>
      </c>
      <c r="C573" s="8" t="s">
        <v>1143</v>
      </c>
      <c r="D573" s="8">
        <f>IFERROR(__xludf.DUMMYFUNCTION("IFERROR(VLOOKUP(C573,IMPORTRANGE(""https://docs.google.com/spreadsheets/d/10KlTSftfC81rs2H7Cf6EIR7VWS3omC-2kwzaThHv16k/edit#gid=0"",""NSE Input VaR+ELM!D:J""),7,0),100)"),30.3)</f>
        <v>30.3</v>
      </c>
      <c r="E573" s="7">
        <f t="shared" si="1"/>
        <v>69.7</v>
      </c>
      <c r="F573" s="9" t="s">
        <v>10</v>
      </c>
      <c r="G573" s="7"/>
    </row>
    <row r="574">
      <c r="A574" s="7">
        <v>568.0</v>
      </c>
      <c r="B574" s="8" t="s">
        <v>1144</v>
      </c>
      <c r="C574" s="8" t="s">
        <v>1145</v>
      </c>
      <c r="D574" s="8">
        <f>IFERROR(__xludf.DUMMYFUNCTION("IFERROR(VLOOKUP(C574,IMPORTRANGE(""https://docs.google.com/spreadsheets/d/10KlTSftfC81rs2H7Cf6EIR7VWS3omC-2kwzaThHv16k/edit#gid=0"",""NSE Input VaR+ELM!D:J""),7,0),100)"),19.58)</f>
        <v>19.58</v>
      </c>
      <c r="E574" s="7">
        <f t="shared" si="1"/>
        <v>80.42</v>
      </c>
      <c r="F574" s="9" t="s">
        <v>10</v>
      </c>
      <c r="G574" s="7"/>
    </row>
    <row r="575">
      <c r="A575" s="7">
        <v>569.0</v>
      </c>
      <c r="B575" s="8" t="s">
        <v>1146</v>
      </c>
      <c r="C575" s="8" t="s">
        <v>1147</v>
      </c>
      <c r="D575" s="8">
        <f>IFERROR(__xludf.DUMMYFUNCTION("IFERROR(VLOOKUP(C575,IMPORTRANGE(""https://docs.google.com/spreadsheets/d/10KlTSftfC81rs2H7Cf6EIR7VWS3omC-2kwzaThHv16k/edit#gid=0"",""NSE Input VaR+ELM!D:J""),7,0),100)"),21.18)</f>
        <v>21.18</v>
      </c>
      <c r="E575" s="7">
        <f t="shared" si="1"/>
        <v>78.82</v>
      </c>
      <c r="F575" s="9" t="s">
        <v>10</v>
      </c>
      <c r="G575" s="7"/>
    </row>
    <row r="576">
      <c r="A576" s="7">
        <v>570.0</v>
      </c>
      <c r="B576" s="8" t="s">
        <v>1148</v>
      </c>
      <c r="C576" s="8" t="s">
        <v>1149</v>
      </c>
      <c r="D576" s="8">
        <f>IFERROR(__xludf.DUMMYFUNCTION("IFERROR(VLOOKUP(C576,IMPORTRANGE(""https://docs.google.com/spreadsheets/d/10KlTSftfC81rs2H7Cf6EIR7VWS3omC-2kwzaThHv16k/edit#gid=0"",""NSE Input VaR+ELM!D:J""),7,0),100)"),25.16)</f>
        <v>25.16</v>
      </c>
      <c r="E576" s="7">
        <f t="shared" si="1"/>
        <v>74.84</v>
      </c>
      <c r="F576" s="9" t="s">
        <v>10</v>
      </c>
      <c r="G576" s="7"/>
    </row>
    <row r="577">
      <c r="A577" s="7">
        <v>571.0</v>
      </c>
      <c r="B577" s="8" t="s">
        <v>1150</v>
      </c>
      <c r="C577" s="8" t="s">
        <v>1151</v>
      </c>
      <c r="D577" s="8">
        <f>IFERROR(__xludf.DUMMYFUNCTION("IFERROR(VLOOKUP(C577,IMPORTRANGE(""https://docs.google.com/spreadsheets/d/10KlTSftfC81rs2H7Cf6EIR7VWS3omC-2kwzaThHv16k/edit#gid=0"",""NSE Input VaR+ELM!D:J""),7,0),100)"),21.94)</f>
        <v>21.94</v>
      </c>
      <c r="E577" s="7">
        <f t="shared" si="1"/>
        <v>78.06</v>
      </c>
      <c r="F577" s="9" t="s">
        <v>10</v>
      </c>
      <c r="G577" s="7"/>
    </row>
    <row r="578">
      <c r="A578" s="7">
        <v>572.0</v>
      </c>
      <c r="B578" s="8" t="s">
        <v>1152</v>
      </c>
      <c r="C578" s="8" t="s">
        <v>1153</v>
      </c>
      <c r="D578" s="8">
        <f>IFERROR(__xludf.DUMMYFUNCTION("IFERROR(VLOOKUP(C578,IMPORTRANGE(""https://docs.google.com/spreadsheets/d/10KlTSftfC81rs2H7Cf6EIR7VWS3omC-2kwzaThHv16k/edit#gid=0"",""NSE Input VaR+ELM!D:J""),7,0),100)"),21.19)</f>
        <v>21.19</v>
      </c>
      <c r="E578" s="7">
        <f t="shared" si="1"/>
        <v>78.81</v>
      </c>
      <c r="F578" s="9" t="s">
        <v>10</v>
      </c>
      <c r="G578" s="7"/>
    </row>
    <row r="579">
      <c r="A579" s="7">
        <v>573.0</v>
      </c>
      <c r="B579" s="8" t="s">
        <v>1154</v>
      </c>
      <c r="C579" s="8" t="s">
        <v>1155</v>
      </c>
      <c r="D579" s="8">
        <f>IFERROR(__xludf.DUMMYFUNCTION("IFERROR(VLOOKUP(C579,IMPORTRANGE(""https://docs.google.com/spreadsheets/d/10KlTSftfC81rs2H7Cf6EIR7VWS3omC-2kwzaThHv16k/edit#gid=0"",""NSE Input VaR+ELM!D:J""),7,0),100)"),19.59)</f>
        <v>19.59</v>
      </c>
      <c r="E579" s="7">
        <f t="shared" si="1"/>
        <v>80.41</v>
      </c>
      <c r="F579" s="9" t="s">
        <v>217</v>
      </c>
      <c r="G579" s="7"/>
    </row>
    <row r="580">
      <c r="A580" s="7">
        <v>574.0</v>
      </c>
      <c r="B580" s="8" t="s">
        <v>1156</v>
      </c>
      <c r="C580" s="8" t="s">
        <v>1157</v>
      </c>
      <c r="D580" s="8">
        <f>IFERROR(__xludf.DUMMYFUNCTION("IFERROR(VLOOKUP(C580,IMPORTRANGE(""https://docs.google.com/spreadsheets/d/10KlTSftfC81rs2H7Cf6EIR7VWS3omC-2kwzaThHv16k/edit#gid=0"",""NSE Input VaR+ELM!D:J""),7,0),100)"),15.49)</f>
        <v>15.49</v>
      </c>
      <c r="E580" s="7">
        <f t="shared" si="1"/>
        <v>84.51</v>
      </c>
      <c r="F580" s="9" t="s">
        <v>10</v>
      </c>
      <c r="G580" s="7"/>
    </row>
    <row r="581">
      <c r="A581" s="7">
        <v>575.0</v>
      </c>
      <c r="B581" s="8" t="s">
        <v>1158</v>
      </c>
      <c r="C581" s="8" t="s">
        <v>1159</v>
      </c>
      <c r="D581" s="8">
        <f>IFERROR(__xludf.DUMMYFUNCTION("IFERROR(VLOOKUP(C581,IMPORTRANGE(""https://docs.google.com/spreadsheets/d/10KlTSftfC81rs2H7Cf6EIR7VWS3omC-2kwzaThHv16k/edit#gid=0"",""NSE Input VaR+ELM!D:J""),7,0),100)"),21.47)</f>
        <v>21.47</v>
      </c>
      <c r="E581" s="7">
        <f t="shared" si="1"/>
        <v>78.53</v>
      </c>
      <c r="F581" s="9" t="s">
        <v>10</v>
      </c>
      <c r="G581" s="7"/>
    </row>
    <row r="582">
      <c r="A582" s="7">
        <v>576.0</v>
      </c>
      <c r="B582" s="8" t="s">
        <v>1160</v>
      </c>
      <c r="C582" s="8" t="s">
        <v>1161</v>
      </c>
      <c r="D582" s="8">
        <f>IFERROR(__xludf.DUMMYFUNCTION("IFERROR(VLOOKUP(C582,IMPORTRANGE(""https://docs.google.com/spreadsheets/d/10KlTSftfC81rs2H7Cf6EIR7VWS3omC-2kwzaThHv16k/edit#gid=0"",""NSE Input VaR+ELM!D:J""),7,0),100)"),21.7)</f>
        <v>21.7</v>
      </c>
      <c r="E582" s="7">
        <f t="shared" si="1"/>
        <v>78.3</v>
      </c>
      <c r="F582" s="9" t="s">
        <v>10</v>
      </c>
      <c r="G582" s="7"/>
    </row>
    <row r="583">
      <c r="A583" s="7">
        <v>577.0</v>
      </c>
      <c r="B583" s="8" t="s">
        <v>1162</v>
      </c>
      <c r="C583" s="8" t="s">
        <v>1163</v>
      </c>
      <c r="D583" s="8">
        <f>IFERROR(__xludf.DUMMYFUNCTION("IFERROR(VLOOKUP(C583,IMPORTRANGE(""https://docs.google.com/spreadsheets/d/10KlTSftfC81rs2H7Cf6EIR7VWS3omC-2kwzaThHv16k/edit#gid=0"",""NSE Input VaR+ELM!D:J""),7,0),100)"),19.06)</f>
        <v>19.06</v>
      </c>
      <c r="E583" s="7">
        <f t="shared" si="1"/>
        <v>80.94</v>
      </c>
      <c r="F583" s="9" t="s">
        <v>10</v>
      </c>
      <c r="G583" s="7"/>
    </row>
    <row r="584">
      <c r="A584" s="7">
        <v>578.0</v>
      </c>
      <c r="B584" s="8" t="s">
        <v>1164</v>
      </c>
      <c r="C584" s="8" t="s">
        <v>1165</v>
      </c>
      <c r="D584" s="8">
        <f>IFERROR(__xludf.DUMMYFUNCTION("IFERROR(VLOOKUP(C584,IMPORTRANGE(""https://docs.google.com/spreadsheets/d/10KlTSftfC81rs2H7Cf6EIR7VWS3omC-2kwzaThHv16k/edit#gid=0"",""NSE Input VaR+ELM!D:J""),7,0),100)"),19.65)</f>
        <v>19.65</v>
      </c>
      <c r="E584" s="7">
        <f t="shared" si="1"/>
        <v>80.35</v>
      </c>
      <c r="F584" s="9" t="s">
        <v>10</v>
      </c>
      <c r="G584" s="7"/>
    </row>
    <row r="585">
      <c r="A585" s="7">
        <v>579.0</v>
      </c>
      <c r="B585" s="8" t="s">
        <v>1166</v>
      </c>
      <c r="C585" s="8" t="s">
        <v>1167</v>
      </c>
      <c r="D585" s="8">
        <f>IFERROR(__xludf.DUMMYFUNCTION("IFERROR(VLOOKUP(C585,IMPORTRANGE(""https://docs.google.com/spreadsheets/d/10KlTSftfC81rs2H7Cf6EIR7VWS3omC-2kwzaThHv16k/edit#gid=0"",""NSE Input VaR+ELM!D:J""),7,0),100)"),25.95)</f>
        <v>25.95</v>
      </c>
      <c r="E585" s="7">
        <f t="shared" si="1"/>
        <v>74.05</v>
      </c>
      <c r="F585" s="9" t="s">
        <v>10</v>
      </c>
      <c r="G585" s="7"/>
    </row>
    <row r="586">
      <c r="A586" s="7">
        <v>580.0</v>
      </c>
      <c r="B586" s="8" t="s">
        <v>1168</v>
      </c>
      <c r="C586" s="8" t="s">
        <v>1169</v>
      </c>
      <c r="D586" s="8">
        <f>IFERROR(__xludf.DUMMYFUNCTION("IFERROR(VLOOKUP(C586,IMPORTRANGE(""https://docs.google.com/spreadsheets/d/10KlTSftfC81rs2H7Cf6EIR7VWS3omC-2kwzaThHv16k/edit#gid=0"",""NSE Input VaR+ELM!D:J""),7,0),100)"),50.0)</f>
        <v>50</v>
      </c>
      <c r="E586" s="7">
        <f t="shared" si="1"/>
        <v>50</v>
      </c>
      <c r="F586" s="9" t="s">
        <v>10</v>
      </c>
      <c r="G586" s="7"/>
    </row>
    <row r="587">
      <c r="A587" s="7">
        <v>581.0</v>
      </c>
      <c r="B587" s="8" t="s">
        <v>1170</v>
      </c>
      <c r="C587" s="8" t="s">
        <v>1171</v>
      </c>
      <c r="D587" s="8">
        <f>IFERROR(__xludf.DUMMYFUNCTION("IFERROR(VLOOKUP(C587,IMPORTRANGE(""https://docs.google.com/spreadsheets/d/10KlTSftfC81rs2H7Cf6EIR7VWS3omC-2kwzaThHv16k/edit#gid=0"",""NSE Input VaR+ELM!D:J""),7,0),100)"),25.65)</f>
        <v>25.65</v>
      </c>
      <c r="E587" s="7">
        <f t="shared" si="1"/>
        <v>74.35</v>
      </c>
      <c r="F587" s="9" t="s">
        <v>10</v>
      </c>
      <c r="G587" s="7"/>
    </row>
    <row r="588">
      <c r="A588" s="7">
        <v>582.0</v>
      </c>
      <c r="B588" s="8" t="s">
        <v>1172</v>
      </c>
      <c r="C588" s="8" t="s">
        <v>1173</v>
      </c>
      <c r="D588" s="8">
        <f>IFERROR(__xludf.DUMMYFUNCTION("IFERROR(VLOOKUP(C588,IMPORTRANGE(""https://docs.google.com/spreadsheets/d/10KlTSftfC81rs2H7Cf6EIR7VWS3omC-2kwzaThHv16k/edit#gid=0"",""NSE Input VaR+ELM!D:J""),7,0),100)"),19.22)</f>
        <v>19.22</v>
      </c>
      <c r="E588" s="7">
        <f t="shared" si="1"/>
        <v>80.78</v>
      </c>
      <c r="F588" s="9" t="s">
        <v>217</v>
      </c>
      <c r="G588" s="7"/>
    </row>
    <row r="589">
      <c r="A589" s="7">
        <v>583.0</v>
      </c>
      <c r="B589" s="8" t="s">
        <v>1174</v>
      </c>
      <c r="C589" s="8" t="s">
        <v>1175</v>
      </c>
      <c r="D589" s="8">
        <f>IFERROR(__xludf.DUMMYFUNCTION("IFERROR(VLOOKUP(C589,IMPORTRANGE(""https://docs.google.com/spreadsheets/d/10KlTSftfC81rs2H7Cf6EIR7VWS3omC-2kwzaThHv16k/edit#gid=0"",""NSE Input VaR+ELM!D:J""),7,0),100)"),24.4)</f>
        <v>24.4</v>
      </c>
      <c r="E589" s="7">
        <f t="shared" si="1"/>
        <v>75.6</v>
      </c>
      <c r="F589" s="9" t="s">
        <v>217</v>
      </c>
      <c r="G589" s="7"/>
    </row>
    <row r="590">
      <c r="A590" s="7">
        <v>584.0</v>
      </c>
      <c r="B590" s="8" t="s">
        <v>1176</v>
      </c>
      <c r="C590" s="8" t="s">
        <v>1177</v>
      </c>
      <c r="D590" s="8">
        <f>IFERROR(__xludf.DUMMYFUNCTION("IFERROR(VLOOKUP(C590,IMPORTRANGE(""https://docs.google.com/spreadsheets/d/10KlTSftfC81rs2H7Cf6EIR7VWS3omC-2kwzaThHv16k/edit#gid=0"",""NSE Input VaR+ELM!D:J""),7,0),100)"),27.26)</f>
        <v>27.26</v>
      </c>
      <c r="E590" s="7">
        <f t="shared" si="1"/>
        <v>72.74</v>
      </c>
      <c r="F590" s="9" t="s">
        <v>217</v>
      </c>
      <c r="G590" s="7"/>
    </row>
    <row r="591">
      <c r="A591" s="7">
        <v>585.0</v>
      </c>
      <c r="B591" s="8" t="s">
        <v>1178</v>
      </c>
      <c r="C591" s="8" t="s">
        <v>1179</v>
      </c>
      <c r="D591" s="8">
        <f>IFERROR(__xludf.DUMMYFUNCTION("IFERROR(VLOOKUP(C591,IMPORTRANGE(""https://docs.google.com/spreadsheets/d/10KlTSftfC81rs2H7Cf6EIR7VWS3omC-2kwzaThHv16k/edit#gid=0"",""NSE Input VaR+ELM!D:J""),7,0),100)"),23.12)</f>
        <v>23.12</v>
      </c>
      <c r="E591" s="7">
        <f t="shared" si="1"/>
        <v>76.88</v>
      </c>
      <c r="F591" s="9" t="s">
        <v>10</v>
      </c>
      <c r="G591" s="7"/>
    </row>
    <row r="592">
      <c r="A592" s="7">
        <v>586.0</v>
      </c>
      <c r="B592" s="8" t="s">
        <v>1180</v>
      </c>
      <c r="C592" s="8" t="s">
        <v>1181</v>
      </c>
      <c r="D592" s="8">
        <f>IFERROR(__xludf.DUMMYFUNCTION("IFERROR(VLOOKUP(C592,IMPORTRANGE(""https://docs.google.com/spreadsheets/d/10KlTSftfC81rs2H7Cf6EIR7VWS3omC-2kwzaThHv16k/edit#gid=0"",""NSE Input VaR+ELM!D:J""),7,0),100)"),24.62)</f>
        <v>24.62</v>
      </c>
      <c r="E592" s="7">
        <f t="shared" si="1"/>
        <v>75.38</v>
      </c>
      <c r="F592" s="9" t="s">
        <v>10</v>
      </c>
      <c r="G592" s="7"/>
    </row>
    <row r="593">
      <c r="A593" s="7">
        <v>587.0</v>
      </c>
      <c r="B593" s="8" t="s">
        <v>1182</v>
      </c>
      <c r="C593" s="8" t="s">
        <v>1183</v>
      </c>
      <c r="D593" s="8">
        <f>IFERROR(__xludf.DUMMYFUNCTION("IFERROR(VLOOKUP(C593,IMPORTRANGE(""https://docs.google.com/spreadsheets/d/10KlTSftfC81rs2H7Cf6EIR7VWS3omC-2kwzaThHv16k/edit#gid=0"",""NSE Input VaR+ELM!D:J""),7,0),100)"),27.1)</f>
        <v>27.1</v>
      </c>
      <c r="E593" s="7">
        <f t="shared" si="1"/>
        <v>72.9</v>
      </c>
      <c r="F593" s="9" t="s">
        <v>217</v>
      </c>
      <c r="G593" s="7"/>
    </row>
    <row r="594">
      <c r="A594" s="7">
        <v>588.0</v>
      </c>
      <c r="B594" s="8" t="s">
        <v>1184</v>
      </c>
      <c r="C594" s="8" t="s">
        <v>1185</v>
      </c>
      <c r="D594" s="8">
        <f>IFERROR(__xludf.DUMMYFUNCTION("IFERROR(VLOOKUP(C594,IMPORTRANGE(""https://docs.google.com/spreadsheets/d/10KlTSftfC81rs2H7Cf6EIR7VWS3omC-2kwzaThHv16k/edit#gid=0"",""NSE Input VaR+ELM!D:J""),7,0),100)"),19.37)</f>
        <v>19.37</v>
      </c>
      <c r="E594" s="7">
        <f t="shared" si="1"/>
        <v>80.63</v>
      </c>
      <c r="F594" s="9" t="s">
        <v>10</v>
      </c>
      <c r="G594" s="7"/>
    </row>
    <row r="595">
      <c r="A595" s="7">
        <v>589.0</v>
      </c>
      <c r="B595" s="8" t="s">
        <v>1186</v>
      </c>
      <c r="C595" s="8" t="s">
        <v>1187</v>
      </c>
      <c r="D595" s="8">
        <f>IFERROR(__xludf.DUMMYFUNCTION("IFERROR(VLOOKUP(C595,IMPORTRANGE(""https://docs.google.com/spreadsheets/d/10KlTSftfC81rs2H7Cf6EIR7VWS3omC-2kwzaThHv16k/edit#gid=0"",""NSE Input VaR+ELM!D:J""),7,0),100)"),19.92)</f>
        <v>19.92</v>
      </c>
      <c r="E595" s="7">
        <f t="shared" si="1"/>
        <v>80.08</v>
      </c>
      <c r="F595" s="9" t="s">
        <v>10</v>
      </c>
      <c r="G595" s="7"/>
    </row>
    <row r="596">
      <c r="A596" s="7">
        <v>590.0</v>
      </c>
      <c r="B596" s="8" t="s">
        <v>1188</v>
      </c>
      <c r="C596" s="8" t="s">
        <v>1189</v>
      </c>
      <c r="D596" s="8">
        <f>IFERROR(__xludf.DUMMYFUNCTION("IFERROR(VLOOKUP(C596,IMPORTRANGE(""https://docs.google.com/spreadsheets/d/10KlTSftfC81rs2H7Cf6EIR7VWS3omC-2kwzaThHv16k/edit#gid=0"",""NSE Input VaR+ELM!D:J""),7,0),100)"),26.7)</f>
        <v>26.7</v>
      </c>
      <c r="E596" s="7">
        <f t="shared" si="1"/>
        <v>73.3</v>
      </c>
      <c r="F596" s="9" t="s">
        <v>10</v>
      </c>
      <c r="G596" s="7"/>
    </row>
    <row r="597">
      <c r="A597" s="7">
        <v>591.0</v>
      </c>
      <c r="B597" s="8" t="s">
        <v>1190</v>
      </c>
      <c r="C597" s="8" t="s">
        <v>1191</v>
      </c>
      <c r="D597" s="8">
        <f>IFERROR(__xludf.DUMMYFUNCTION("IFERROR(VLOOKUP(C597,IMPORTRANGE(""https://docs.google.com/spreadsheets/d/10KlTSftfC81rs2H7Cf6EIR7VWS3omC-2kwzaThHv16k/edit#gid=0"",""NSE Input VaR+ELM!D:J""),7,0),100)"),18.7)</f>
        <v>18.7</v>
      </c>
      <c r="E597" s="7">
        <f t="shared" si="1"/>
        <v>81.3</v>
      </c>
      <c r="F597" s="9" t="s">
        <v>10</v>
      </c>
      <c r="G597" s="7"/>
    </row>
    <row r="598">
      <c r="A598" s="7">
        <v>592.0</v>
      </c>
      <c r="B598" s="8" t="s">
        <v>1192</v>
      </c>
      <c r="C598" s="8" t="s">
        <v>1193</v>
      </c>
      <c r="D598" s="8">
        <f>IFERROR(__xludf.DUMMYFUNCTION("IFERROR(VLOOKUP(C598,IMPORTRANGE(""https://docs.google.com/spreadsheets/d/10KlTSftfC81rs2H7Cf6EIR7VWS3omC-2kwzaThHv16k/edit#gid=0"",""NSE Input VaR+ELM!D:J""),7,0),100)"),23.82)</f>
        <v>23.82</v>
      </c>
      <c r="E598" s="7">
        <f t="shared" si="1"/>
        <v>76.18</v>
      </c>
      <c r="F598" s="9" t="s">
        <v>10</v>
      </c>
      <c r="G598" s="7"/>
    </row>
    <row r="599">
      <c r="A599" s="7">
        <v>593.0</v>
      </c>
      <c r="B599" s="8" t="s">
        <v>1194</v>
      </c>
      <c r="C599" s="8" t="s">
        <v>1195</v>
      </c>
      <c r="D599" s="8">
        <f>IFERROR(__xludf.DUMMYFUNCTION("IFERROR(VLOOKUP(C599,IMPORTRANGE(""https://docs.google.com/spreadsheets/d/10KlTSftfC81rs2H7Cf6EIR7VWS3omC-2kwzaThHv16k/edit#gid=0"",""NSE Input VaR+ELM!D:J""),7,0),100)"),29.16)</f>
        <v>29.16</v>
      </c>
      <c r="E599" s="7">
        <f t="shared" si="1"/>
        <v>70.84</v>
      </c>
      <c r="F599" s="9" t="s">
        <v>10</v>
      </c>
      <c r="G599" s="7"/>
    </row>
    <row r="600">
      <c r="A600" s="7">
        <v>594.0</v>
      </c>
      <c r="B600" s="8" t="s">
        <v>1196</v>
      </c>
      <c r="C600" s="8" t="s">
        <v>1197</v>
      </c>
      <c r="D600" s="8">
        <f>IFERROR(__xludf.DUMMYFUNCTION("IFERROR(VLOOKUP(C600,IMPORTRANGE(""https://docs.google.com/spreadsheets/d/10KlTSftfC81rs2H7Cf6EIR7VWS3omC-2kwzaThHv16k/edit#gid=0"",""NSE Input VaR+ELM!D:J""),7,0),100)"),19.85)</f>
        <v>19.85</v>
      </c>
      <c r="E600" s="7">
        <f t="shared" si="1"/>
        <v>80.15</v>
      </c>
      <c r="F600" s="9" t="s">
        <v>10</v>
      </c>
      <c r="G600" s="7"/>
    </row>
    <row r="601">
      <c r="A601" s="7">
        <v>595.0</v>
      </c>
      <c r="B601" s="8" t="s">
        <v>1198</v>
      </c>
      <c r="C601" s="8" t="s">
        <v>1199</v>
      </c>
      <c r="D601" s="8">
        <f>IFERROR(__xludf.DUMMYFUNCTION("IFERROR(VLOOKUP(C601,IMPORTRANGE(""https://docs.google.com/spreadsheets/d/10KlTSftfC81rs2H7Cf6EIR7VWS3omC-2kwzaThHv16k/edit#gid=0"",""NSE Input VaR+ELM!D:J""),7,0),100)"),21.72)</f>
        <v>21.72</v>
      </c>
      <c r="E601" s="7">
        <f t="shared" si="1"/>
        <v>78.28</v>
      </c>
      <c r="F601" s="9" t="s">
        <v>10</v>
      </c>
      <c r="G601" s="7"/>
    </row>
    <row r="602">
      <c r="A602" s="7">
        <v>596.0</v>
      </c>
      <c r="B602" s="8" t="s">
        <v>1200</v>
      </c>
      <c r="C602" s="8" t="s">
        <v>1201</v>
      </c>
      <c r="D602" s="8">
        <f>IFERROR(__xludf.DUMMYFUNCTION("IFERROR(VLOOKUP(C602,IMPORTRANGE(""https://docs.google.com/spreadsheets/d/10KlTSftfC81rs2H7Cf6EIR7VWS3omC-2kwzaThHv16k/edit#gid=0"",""NSE Input VaR+ELM!D:J""),7,0),100)"),24.26)</f>
        <v>24.26</v>
      </c>
      <c r="E602" s="7">
        <f t="shared" si="1"/>
        <v>75.74</v>
      </c>
      <c r="F602" s="9" t="s">
        <v>10</v>
      </c>
      <c r="G602" s="7"/>
    </row>
    <row r="603">
      <c r="A603" s="7">
        <v>597.0</v>
      </c>
      <c r="B603" s="8" t="s">
        <v>1202</v>
      </c>
      <c r="C603" s="8" t="s">
        <v>1203</v>
      </c>
      <c r="D603" s="8">
        <f>IFERROR(__xludf.DUMMYFUNCTION("IFERROR(VLOOKUP(C603,IMPORTRANGE(""https://docs.google.com/spreadsheets/d/10KlTSftfC81rs2H7Cf6EIR7VWS3omC-2kwzaThHv16k/edit#gid=0"",""NSE Input VaR+ELM!D:J""),7,0),100)"),13.57)</f>
        <v>13.57</v>
      </c>
      <c r="E603" s="7">
        <f t="shared" si="1"/>
        <v>86.43</v>
      </c>
      <c r="F603" s="9" t="s">
        <v>10</v>
      </c>
      <c r="G603" s="7"/>
    </row>
    <row r="604">
      <c r="A604" s="7">
        <v>598.0</v>
      </c>
      <c r="B604" s="8" t="s">
        <v>1204</v>
      </c>
      <c r="C604" s="8" t="s">
        <v>1205</v>
      </c>
      <c r="D604" s="8">
        <f>IFERROR(__xludf.DUMMYFUNCTION("IFERROR(VLOOKUP(C604,IMPORTRANGE(""https://docs.google.com/spreadsheets/d/10KlTSftfC81rs2H7Cf6EIR7VWS3omC-2kwzaThHv16k/edit#gid=0"",""NSE Input VaR+ELM!D:J""),7,0),100)"),15.29)</f>
        <v>15.29</v>
      </c>
      <c r="E604" s="7">
        <f t="shared" si="1"/>
        <v>84.71</v>
      </c>
      <c r="F604" s="9" t="s">
        <v>10</v>
      </c>
      <c r="G604" s="7"/>
    </row>
    <row r="605">
      <c r="A605" s="7">
        <v>599.0</v>
      </c>
      <c r="B605" s="8" t="s">
        <v>1206</v>
      </c>
      <c r="C605" s="8" t="s">
        <v>1207</v>
      </c>
      <c r="D605" s="8">
        <f>IFERROR(__xludf.DUMMYFUNCTION("IFERROR(VLOOKUP(C605,IMPORTRANGE(""https://docs.google.com/spreadsheets/d/10KlTSftfC81rs2H7Cf6EIR7VWS3omC-2kwzaThHv16k/edit#gid=0"",""NSE Input VaR+ELM!D:J""),7,0),100)"),16.87)</f>
        <v>16.87</v>
      </c>
      <c r="E605" s="7">
        <f t="shared" si="1"/>
        <v>83.13</v>
      </c>
      <c r="F605" s="9" t="s">
        <v>10</v>
      </c>
      <c r="G605" s="7"/>
    </row>
    <row r="606">
      <c r="A606" s="7">
        <v>600.0</v>
      </c>
      <c r="B606" s="8" t="s">
        <v>1208</v>
      </c>
      <c r="C606" s="8" t="s">
        <v>1209</v>
      </c>
      <c r="D606" s="8">
        <f>IFERROR(__xludf.DUMMYFUNCTION("IFERROR(VLOOKUP(C606,IMPORTRANGE(""https://docs.google.com/spreadsheets/d/10KlTSftfC81rs2H7Cf6EIR7VWS3omC-2kwzaThHv16k/edit#gid=0"",""NSE Input VaR+ELM!D:J""),7,0),100)"),24.85)</f>
        <v>24.85</v>
      </c>
      <c r="E606" s="7">
        <f t="shared" si="1"/>
        <v>75.15</v>
      </c>
      <c r="F606" s="9" t="s">
        <v>10</v>
      </c>
      <c r="G606" s="7"/>
    </row>
    <row r="607">
      <c r="A607" s="7">
        <v>601.0</v>
      </c>
      <c r="B607" s="8" t="s">
        <v>1210</v>
      </c>
      <c r="C607" s="8" t="s">
        <v>1211</v>
      </c>
      <c r="D607" s="8">
        <f>IFERROR(__xludf.DUMMYFUNCTION("IFERROR(VLOOKUP(C607,IMPORTRANGE(""https://docs.google.com/spreadsheets/d/10KlTSftfC81rs2H7Cf6EIR7VWS3omC-2kwzaThHv16k/edit#gid=0"",""NSE Input VaR+ELM!D:J""),7,0),100)"),14.56)</f>
        <v>14.56</v>
      </c>
      <c r="E607" s="7">
        <f t="shared" si="1"/>
        <v>85.44</v>
      </c>
      <c r="F607" s="9" t="s">
        <v>10</v>
      </c>
      <c r="G607" s="7"/>
    </row>
    <row r="608">
      <c r="A608" s="7">
        <v>602.0</v>
      </c>
      <c r="B608" s="8" t="s">
        <v>1212</v>
      </c>
      <c r="C608" s="8" t="s">
        <v>1213</v>
      </c>
      <c r="D608" s="8">
        <f>IFERROR(__xludf.DUMMYFUNCTION("IFERROR(VLOOKUP(C608,IMPORTRANGE(""https://docs.google.com/spreadsheets/d/10KlTSftfC81rs2H7Cf6EIR7VWS3omC-2kwzaThHv16k/edit#gid=0"",""NSE Input VaR+ELM!D:J""),7,0),100)"),21.16)</f>
        <v>21.16</v>
      </c>
      <c r="E608" s="7">
        <f t="shared" si="1"/>
        <v>78.84</v>
      </c>
      <c r="F608" s="9" t="s">
        <v>10</v>
      </c>
      <c r="G608" s="7"/>
    </row>
    <row r="609">
      <c r="A609" s="7">
        <v>603.0</v>
      </c>
      <c r="B609" s="8" t="s">
        <v>1214</v>
      </c>
      <c r="C609" s="8" t="s">
        <v>1215</v>
      </c>
      <c r="D609" s="8">
        <f>IFERROR(__xludf.DUMMYFUNCTION("IFERROR(VLOOKUP(C609,IMPORTRANGE(""https://docs.google.com/spreadsheets/d/10KlTSftfC81rs2H7Cf6EIR7VWS3omC-2kwzaThHv16k/edit#gid=0"",""NSE Input VaR+ELM!D:J""),7,0),100)"),12.5)</f>
        <v>12.5</v>
      </c>
      <c r="E609" s="7">
        <f t="shared" si="1"/>
        <v>87.5</v>
      </c>
      <c r="F609" s="9" t="s">
        <v>217</v>
      </c>
      <c r="G609" s="7"/>
    </row>
    <row r="610">
      <c r="A610" s="7">
        <v>604.0</v>
      </c>
      <c r="B610" s="8" t="s">
        <v>1216</v>
      </c>
      <c r="C610" s="8" t="s">
        <v>1217</v>
      </c>
      <c r="D610" s="8">
        <f>IFERROR(__xludf.DUMMYFUNCTION("IFERROR(VLOOKUP(C610,IMPORTRANGE(""https://docs.google.com/spreadsheets/d/10KlTSftfC81rs2H7Cf6EIR7VWS3omC-2kwzaThHv16k/edit#gid=0"",""NSE Input VaR+ELM!D:J""),7,0),100)"),20.79)</f>
        <v>20.79</v>
      </c>
      <c r="E610" s="7">
        <f t="shared" si="1"/>
        <v>79.21</v>
      </c>
      <c r="F610" s="9" t="s">
        <v>10</v>
      </c>
      <c r="G610" s="7"/>
    </row>
    <row r="611">
      <c r="A611" s="7">
        <v>605.0</v>
      </c>
      <c r="B611" s="8" t="s">
        <v>1218</v>
      </c>
      <c r="C611" s="8" t="s">
        <v>1219</v>
      </c>
      <c r="D611" s="8">
        <f>IFERROR(__xludf.DUMMYFUNCTION("IFERROR(VLOOKUP(C611,IMPORTRANGE(""https://docs.google.com/spreadsheets/d/10KlTSftfC81rs2H7Cf6EIR7VWS3omC-2kwzaThHv16k/edit#gid=0"",""NSE Input VaR+ELM!D:J""),7,0),100)"),18.68)</f>
        <v>18.68</v>
      </c>
      <c r="E611" s="7">
        <f t="shared" si="1"/>
        <v>81.32</v>
      </c>
      <c r="F611" s="9" t="s">
        <v>10</v>
      </c>
      <c r="G611" s="7"/>
    </row>
    <row r="612">
      <c r="A612" s="7">
        <v>606.0</v>
      </c>
      <c r="B612" s="8" t="s">
        <v>1220</v>
      </c>
      <c r="C612" s="8" t="s">
        <v>1221</v>
      </c>
      <c r="D612" s="8">
        <f>IFERROR(__xludf.DUMMYFUNCTION("IFERROR(VLOOKUP(C612,IMPORTRANGE(""https://docs.google.com/spreadsheets/d/10KlTSftfC81rs2H7Cf6EIR7VWS3omC-2kwzaThHv16k/edit#gid=0"",""NSE Input VaR+ELM!D:J""),7,0),100)"),25.03)</f>
        <v>25.03</v>
      </c>
      <c r="E612" s="7">
        <f t="shared" si="1"/>
        <v>74.97</v>
      </c>
      <c r="F612" s="9" t="s">
        <v>10</v>
      </c>
      <c r="G612" s="7"/>
    </row>
    <row r="613">
      <c r="A613" s="7">
        <v>607.0</v>
      </c>
      <c r="B613" s="8" t="s">
        <v>1222</v>
      </c>
      <c r="C613" s="8" t="s">
        <v>1223</v>
      </c>
      <c r="D613" s="8">
        <f>IFERROR(__xludf.DUMMYFUNCTION("IFERROR(VLOOKUP(C613,IMPORTRANGE(""https://docs.google.com/spreadsheets/d/10KlTSftfC81rs2H7Cf6EIR7VWS3omC-2kwzaThHv16k/edit#gid=0"",""NSE Input VaR+ELM!D:J""),7,0),100)"),17.93)</f>
        <v>17.93</v>
      </c>
      <c r="E613" s="7">
        <f t="shared" si="1"/>
        <v>82.07</v>
      </c>
      <c r="F613" s="9" t="s">
        <v>10</v>
      </c>
      <c r="G613" s="7"/>
    </row>
    <row r="614">
      <c r="A614" s="7">
        <v>608.0</v>
      </c>
      <c r="B614" s="8" t="s">
        <v>1224</v>
      </c>
      <c r="C614" s="8" t="s">
        <v>1225</v>
      </c>
      <c r="D614" s="8">
        <f>IFERROR(__xludf.DUMMYFUNCTION("IFERROR(VLOOKUP(C614,IMPORTRANGE(""https://docs.google.com/spreadsheets/d/10KlTSftfC81rs2H7Cf6EIR7VWS3omC-2kwzaThHv16k/edit#gid=0"",""NSE Input VaR+ELM!D:J""),7,0),100)"),21.73)</f>
        <v>21.73</v>
      </c>
      <c r="E614" s="7">
        <f t="shared" si="1"/>
        <v>78.27</v>
      </c>
      <c r="F614" s="9" t="s">
        <v>10</v>
      </c>
      <c r="G614" s="7"/>
    </row>
    <row r="615">
      <c r="A615" s="7">
        <v>609.0</v>
      </c>
      <c r="B615" s="8" t="s">
        <v>1226</v>
      </c>
      <c r="C615" s="8" t="s">
        <v>1227</v>
      </c>
      <c r="D615" s="8">
        <f>IFERROR(__xludf.DUMMYFUNCTION("IFERROR(VLOOKUP(C615,IMPORTRANGE(""https://docs.google.com/spreadsheets/d/10KlTSftfC81rs2H7Cf6EIR7VWS3omC-2kwzaThHv16k/edit#gid=0"",""NSE Input VaR+ELM!D:J""),7,0),100)"),22.43)</f>
        <v>22.43</v>
      </c>
      <c r="E615" s="7">
        <f t="shared" si="1"/>
        <v>77.57</v>
      </c>
      <c r="F615" s="9" t="s">
        <v>10</v>
      </c>
      <c r="G615" s="7"/>
    </row>
    <row r="616">
      <c r="A616" s="7">
        <v>610.0</v>
      </c>
      <c r="B616" s="8" t="s">
        <v>1228</v>
      </c>
      <c r="C616" s="8" t="s">
        <v>1229</v>
      </c>
      <c r="D616" s="8">
        <f>IFERROR(__xludf.DUMMYFUNCTION("IFERROR(VLOOKUP(C616,IMPORTRANGE(""https://docs.google.com/spreadsheets/d/10KlTSftfC81rs2H7Cf6EIR7VWS3omC-2kwzaThHv16k/edit#gid=0"",""NSE Input VaR+ELM!D:J""),7,0),100)"),23.59)</f>
        <v>23.59</v>
      </c>
      <c r="E616" s="7">
        <f t="shared" si="1"/>
        <v>76.41</v>
      </c>
      <c r="F616" s="9" t="s">
        <v>10</v>
      </c>
      <c r="G616" s="7"/>
    </row>
    <row r="617">
      <c r="A617" s="7">
        <v>611.0</v>
      </c>
      <c r="B617" s="8" t="s">
        <v>1230</v>
      </c>
      <c r="C617" s="8" t="s">
        <v>1231</v>
      </c>
      <c r="D617" s="8">
        <f>IFERROR(__xludf.DUMMYFUNCTION("IFERROR(VLOOKUP(C617,IMPORTRANGE(""https://docs.google.com/spreadsheets/d/10KlTSftfC81rs2H7Cf6EIR7VWS3omC-2kwzaThHv16k/edit#gid=0"",""NSE Input VaR+ELM!D:J""),7,0),100)"),27.78)</f>
        <v>27.78</v>
      </c>
      <c r="E617" s="7">
        <f t="shared" si="1"/>
        <v>72.22</v>
      </c>
      <c r="F617" s="9" t="s">
        <v>10</v>
      </c>
      <c r="G617" s="7"/>
    </row>
    <row r="618">
      <c r="A618" s="7">
        <v>612.0</v>
      </c>
      <c r="B618" s="8" t="s">
        <v>1232</v>
      </c>
      <c r="C618" s="8" t="s">
        <v>1233</v>
      </c>
      <c r="D618" s="8">
        <f>IFERROR(__xludf.DUMMYFUNCTION("IFERROR(VLOOKUP(C618,IMPORTRANGE(""https://docs.google.com/spreadsheets/d/10KlTSftfC81rs2H7Cf6EIR7VWS3omC-2kwzaThHv16k/edit#gid=0"",""NSE Input VaR+ELM!D:J""),7,0),100)"),25.72)</f>
        <v>25.72</v>
      </c>
      <c r="E618" s="7">
        <f t="shared" si="1"/>
        <v>74.28</v>
      </c>
      <c r="F618" s="9" t="s">
        <v>217</v>
      </c>
      <c r="G618" s="7"/>
    </row>
    <row r="619">
      <c r="A619" s="7">
        <v>613.0</v>
      </c>
      <c r="B619" s="8" t="s">
        <v>1234</v>
      </c>
      <c r="C619" s="8" t="s">
        <v>1235</v>
      </c>
      <c r="D619" s="8">
        <f>IFERROR(__xludf.DUMMYFUNCTION("IFERROR(VLOOKUP(C619,IMPORTRANGE(""https://docs.google.com/spreadsheets/d/10KlTSftfC81rs2H7Cf6EIR7VWS3omC-2kwzaThHv16k/edit#gid=0"",""NSE Input VaR+ELM!D:J""),7,0),100)"),22.04)</f>
        <v>22.04</v>
      </c>
      <c r="E619" s="7">
        <f t="shared" si="1"/>
        <v>77.96</v>
      </c>
      <c r="F619" s="9" t="s">
        <v>10</v>
      </c>
      <c r="G619" s="7"/>
    </row>
    <row r="620">
      <c r="A620" s="7">
        <v>614.0</v>
      </c>
      <c r="B620" s="8" t="s">
        <v>1236</v>
      </c>
      <c r="C620" s="8" t="s">
        <v>1237</v>
      </c>
      <c r="D620" s="8">
        <f>IFERROR(__xludf.DUMMYFUNCTION("IFERROR(VLOOKUP(C620,IMPORTRANGE(""https://docs.google.com/spreadsheets/d/10KlTSftfC81rs2H7Cf6EIR7VWS3omC-2kwzaThHv16k/edit#gid=0"",""NSE Input VaR+ELM!D:J""),7,0),100)"),35.0)</f>
        <v>35</v>
      </c>
      <c r="E620" s="7">
        <f t="shared" si="1"/>
        <v>65</v>
      </c>
      <c r="F620" s="9" t="s">
        <v>10</v>
      </c>
      <c r="G620" s="7"/>
    </row>
    <row r="621">
      <c r="A621" s="7">
        <v>615.0</v>
      </c>
      <c r="B621" s="8" t="s">
        <v>1238</v>
      </c>
      <c r="C621" s="8" t="s">
        <v>1239</v>
      </c>
      <c r="D621" s="8">
        <f>IFERROR(__xludf.DUMMYFUNCTION("IFERROR(VLOOKUP(C621,IMPORTRANGE(""https://docs.google.com/spreadsheets/d/10KlTSftfC81rs2H7Cf6EIR7VWS3omC-2kwzaThHv16k/edit#gid=0"",""NSE Input VaR+ELM!D:J""),7,0),100)"),29.73)</f>
        <v>29.73</v>
      </c>
      <c r="E621" s="7">
        <f t="shared" si="1"/>
        <v>70.27</v>
      </c>
      <c r="F621" s="9" t="s">
        <v>10</v>
      </c>
      <c r="G621" s="7"/>
    </row>
    <row r="622">
      <c r="A622" s="7">
        <v>616.0</v>
      </c>
      <c r="B622" s="8" t="s">
        <v>1240</v>
      </c>
      <c r="C622" s="8" t="s">
        <v>1241</v>
      </c>
      <c r="D622" s="8">
        <f>IFERROR(__xludf.DUMMYFUNCTION("IFERROR(VLOOKUP(C622,IMPORTRANGE(""https://docs.google.com/spreadsheets/d/10KlTSftfC81rs2H7Cf6EIR7VWS3omC-2kwzaThHv16k/edit#gid=0"",""NSE Input VaR+ELM!D:J""),7,0),100)"),23.88)</f>
        <v>23.88</v>
      </c>
      <c r="E622" s="7">
        <f t="shared" si="1"/>
        <v>76.12</v>
      </c>
      <c r="F622" s="9" t="s">
        <v>217</v>
      </c>
      <c r="G622" s="7"/>
    </row>
    <row r="623">
      <c r="A623" s="7">
        <v>617.0</v>
      </c>
      <c r="B623" s="8" t="s">
        <v>1242</v>
      </c>
      <c r="C623" s="8" t="s">
        <v>1243</v>
      </c>
      <c r="D623" s="8">
        <f>IFERROR(__xludf.DUMMYFUNCTION("IFERROR(VLOOKUP(C623,IMPORTRANGE(""https://docs.google.com/spreadsheets/d/10KlTSftfC81rs2H7Cf6EIR7VWS3omC-2kwzaThHv16k/edit#gid=0"",""NSE Input VaR+ELM!D:J""),7,0),100)"),50.0)</f>
        <v>50</v>
      </c>
      <c r="E623" s="7">
        <f t="shared" si="1"/>
        <v>50</v>
      </c>
      <c r="F623" s="9" t="s">
        <v>10</v>
      </c>
      <c r="G623" s="7"/>
    </row>
    <row r="624">
      <c r="A624" s="7">
        <v>618.0</v>
      </c>
      <c r="B624" s="8" t="s">
        <v>1244</v>
      </c>
      <c r="C624" s="8" t="s">
        <v>1245</v>
      </c>
      <c r="D624" s="8">
        <f>IFERROR(__xludf.DUMMYFUNCTION("IFERROR(VLOOKUP(C624,IMPORTRANGE(""https://docs.google.com/spreadsheets/d/10KlTSftfC81rs2H7Cf6EIR7VWS3omC-2kwzaThHv16k/edit#gid=0"",""NSE Input VaR+ELM!D:J""),7,0),100)"),20.55)</f>
        <v>20.55</v>
      </c>
      <c r="E624" s="7">
        <f t="shared" si="1"/>
        <v>79.45</v>
      </c>
      <c r="F624" s="9" t="s">
        <v>10</v>
      </c>
      <c r="G624" s="7"/>
    </row>
    <row r="625">
      <c r="A625" s="7">
        <v>619.0</v>
      </c>
      <c r="B625" s="8" t="s">
        <v>1246</v>
      </c>
      <c r="C625" s="8" t="s">
        <v>1247</v>
      </c>
      <c r="D625" s="8">
        <f>IFERROR(__xludf.DUMMYFUNCTION("IFERROR(VLOOKUP(C625,IMPORTRANGE(""https://docs.google.com/spreadsheets/d/10KlTSftfC81rs2H7Cf6EIR7VWS3omC-2kwzaThHv16k/edit#gid=0"",""NSE Input VaR+ELM!D:J""),7,0),100)"),23.92)</f>
        <v>23.92</v>
      </c>
      <c r="E625" s="7">
        <f t="shared" si="1"/>
        <v>76.08</v>
      </c>
      <c r="F625" s="9" t="s">
        <v>10</v>
      </c>
      <c r="G625" s="7"/>
    </row>
    <row r="626">
      <c r="A626" s="7">
        <v>620.0</v>
      </c>
      <c r="B626" s="8" t="s">
        <v>1248</v>
      </c>
      <c r="C626" s="8" t="s">
        <v>1249</v>
      </c>
      <c r="D626" s="8">
        <f>IFERROR(__xludf.DUMMYFUNCTION("IFERROR(VLOOKUP(C626,IMPORTRANGE(""https://docs.google.com/spreadsheets/d/10KlTSftfC81rs2H7Cf6EIR7VWS3omC-2kwzaThHv16k/edit#gid=0"",""NSE Input VaR+ELM!D:J""),7,0),100)"),24.41)</f>
        <v>24.41</v>
      </c>
      <c r="E626" s="7">
        <f t="shared" si="1"/>
        <v>75.59</v>
      </c>
      <c r="F626" s="9" t="s">
        <v>10</v>
      </c>
      <c r="G626" s="7"/>
    </row>
    <row r="627">
      <c r="A627" s="7">
        <v>621.0</v>
      </c>
      <c r="B627" s="8" t="s">
        <v>1250</v>
      </c>
      <c r="C627" s="8" t="s">
        <v>1251</v>
      </c>
      <c r="D627" s="8">
        <f>IFERROR(__xludf.DUMMYFUNCTION("IFERROR(VLOOKUP(C627,IMPORTRANGE(""https://docs.google.com/spreadsheets/d/10KlTSftfC81rs2H7Cf6EIR7VWS3omC-2kwzaThHv16k/edit#gid=0"",""NSE Input VaR+ELM!D:J""),7,0),100)"),22.39)</f>
        <v>22.39</v>
      </c>
      <c r="E627" s="7">
        <f t="shared" si="1"/>
        <v>77.61</v>
      </c>
      <c r="F627" s="9" t="s">
        <v>217</v>
      </c>
      <c r="G627" s="7"/>
    </row>
    <row r="628">
      <c r="A628" s="7">
        <v>622.0</v>
      </c>
      <c r="B628" s="8" t="s">
        <v>1252</v>
      </c>
      <c r="C628" s="8" t="s">
        <v>1253</v>
      </c>
      <c r="D628" s="8">
        <f>IFERROR(__xludf.DUMMYFUNCTION("IFERROR(VLOOKUP(C628,IMPORTRANGE(""https://docs.google.com/spreadsheets/d/10KlTSftfC81rs2H7Cf6EIR7VWS3omC-2kwzaThHv16k/edit#gid=0"",""NSE Input VaR+ELM!D:J""),7,0),100)"),20.73)</f>
        <v>20.73</v>
      </c>
      <c r="E628" s="7">
        <f t="shared" si="1"/>
        <v>79.27</v>
      </c>
      <c r="F628" s="9" t="s">
        <v>10</v>
      </c>
      <c r="G628" s="7"/>
    </row>
    <row r="629">
      <c r="A629" s="7">
        <v>623.0</v>
      </c>
      <c r="B629" s="8" t="s">
        <v>1254</v>
      </c>
      <c r="C629" s="8" t="s">
        <v>1255</v>
      </c>
      <c r="D629" s="8">
        <f>IFERROR(__xludf.DUMMYFUNCTION("IFERROR(VLOOKUP(C629,IMPORTRANGE(""https://docs.google.com/spreadsheets/d/10KlTSftfC81rs2H7Cf6EIR7VWS3omC-2kwzaThHv16k/edit#gid=0"",""NSE Input VaR+ELM!D:J""),7,0),100)"),15.89)</f>
        <v>15.89</v>
      </c>
      <c r="E629" s="7">
        <f t="shared" si="1"/>
        <v>84.11</v>
      </c>
      <c r="F629" s="9" t="s">
        <v>10</v>
      </c>
      <c r="G629" s="7"/>
    </row>
    <row r="630">
      <c r="A630" s="7">
        <v>624.0</v>
      </c>
      <c r="B630" s="8" t="s">
        <v>1256</v>
      </c>
      <c r="C630" s="8" t="s">
        <v>1257</v>
      </c>
      <c r="D630" s="8">
        <f>IFERROR(__xludf.DUMMYFUNCTION("IFERROR(VLOOKUP(C630,IMPORTRANGE(""https://docs.google.com/spreadsheets/d/10KlTSftfC81rs2H7Cf6EIR7VWS3omC-2kwzaThHv16k/edit#gid=0"",""NSE Input VaR+ELM!D:J""),7,0),100)"),15.53)</f>
        <v>15.53</v>
      </c>
      <c r="E630" s="7">
        <f t="shared" si="1"/>
        <v>84.47</v>
      </c>
      <c r="F630" s="9" t="s">
        <v>10</v>
      </c>
      <c r="G630" s="7"/>
    </row>
    <row r="631">
      <c r="A631" s="7">
        <v>625.0</v>
      </c>
      <c r="B631" s="8" t="s">
        <v>1258</v>
      </c>
      <c r="C631" s="8" t="s">
        <v>1259</v>
      </c>
      <c r="D631" s="8">
        <f>IFERROR(__xludf.DUMMYFUNCTION("IFERROR(VLOOKUP(C631,IMPORTRANGE(""https://docs.google.com/spreadsheets/d/10KlTSftfC81rs2H7Cf6EIR7VWS3omC-2kwzaThHv16k/edit#gid=0"",""NSE Input VaR+ELM!D:J""),7,0),100)"),26.85)</f>
        <v>26.85</v>
      </c>
      <c r="E631" s="7">
        <f t="shared" si="1"/>
        <v>73.15</v>
      </c>
      <c r="F631" s="9" t="s">
        <v>10</v>
      </c>
      <c r="G631" s="7"/>
    </row>
    <row r="632">
      <c r="A632" s="7">
        <v>626.0</v>
      </c>
      <c r="B632" s="8" t="s">
        <v>1260</v>
      </c>
      <c r="C632" s="8" t="s">
        <v>1261</v>
      </c>
      <c r="D632" s="8">
        <f>IFERROR(__xludf.DUMMYFUNCTION("IFERROR(VLOOKUP(C632,IMPORTRANGE(""https://docs.google.com/spreadsheets/d/10KlTSftfC81rs2H7Cf6EIR7VWS3omC-2kwzaThHv16k/edit#gid=0"",""NSE Input VaR+ELM!D:J""),7,0),100)"),32.03)</f>
        <v>32.03</v>
      </c>
      <c r="E632" s="7">
        <f t="shared" si="1"/>
        <v>67.97</v>
      </c>
      <c r="F632" s="9" t="s">
        <v>10</v>
      </c>
      <c r="G632" s="7"/>
    </row>
    <row r="633">
      <c r="A633" s="7">
        <v>627.0</v>
      </c>
      <c r="B633" s="8" t="s">
        <v>1262</v>
      </c>
      <c r="C633" s="8" t="s">
        <v>1263</v>
      </c>
      <c r="D633" s="8">
        <f>IFERROR(__xludf.DUMMYFUNCTION("IFERROR(VLOOKUP(C633,IMPORTRANGE(""https://docs.google.com/spreadsheets/d/10KlTSftfC81rs2H7Cf6EIR7VWS3omC-2kwzaThHv16k/edit#gid=0"",""NSE Input VaR+ELM!D:J""),7,0),100)"),24.72)</f>
        <v>24.72</v>
      </c>
      <c r="E633" s="7">
        <f t="shared" si="1"/>
        <v>75.28</v>
      </c>
      <c r="F633" s="9" t="s">
        <v>10</v>
      </c>
      <c r="G633" s="7"/>
    </row>
    <row r="634">
      <c r="A634" s="7">
        <v>628.0</v>
      </c>
      <c r="B634" s="8" t="s">
        <v>1264</v>
      </c>
      <c r="C634" s="8" t="s">
        <v>1265</v>
      </c>
      <c r="D634" s="8">
        <f>IFERROR(__xludf.DUMMYFUNCTION("IFERROR(VLOOKUP(C634,IMPORTRANGE(""https://docs.google.com/spreadsheets/d/10KlTSftfC81rs2H7Cf6EIR7VWS3omC-2kwzaThHv16k/edit#gid=0"",""NSE Input VaR+ELM!D:J""),7,0),100)"),21.29)</f>
        <v>21.29</v>
      </c>
      <c r="E634" s="7">
        <f t="shared" si="1"/>
        <v>78.71</v>
      </c>
      <c r="F634" s="9" t="s">
        <v>10</v>
      </c>
      <c r="G634" s="7"/>
    </row>
    <row r="635">
      <c r="A635" s="7">
        <v>629.0</v>
      </c>
      <c r="B635" s="8" t="s">
        <v>1266</v>
      </c>
      <c r="C635" s="8" t="s">
        <v>1267</v>
      </c>
      <c r="D635" s="8">
        <f>IFERROR(__xludf.DUMMYFUNCTION("IFERROR(VLOOKUP(C635,IMPORTRANGE(""https://docs.google.com/spreadsheets/d/10KlTSftfC81rs2H7Cf6EIR7VWS3omC-2kwzaThHv16k/edit#gid=0"",""NSE Input VaR+ELM!D:J""),7,0),100)"),35.0)</f>
        <v>35</v>
      </c>
      <c r="E635" s="7">
        <f t="shared" si="1"/>
        <v>65</v>
      </c>
      <c r="F635" s="9" t="s">
        <v>10</v>
      </c>
      <c r="G635" s="7"/>
    </row>
    <row r="636">
      <c r="A636" s="7">
        <v>630.0</v>
      </c>
      <c r="B636" s="8" t="s">
        <v>1268</v>
      </c>
      <c r="C636" s="8" t="s">
        <v>1269</v>
      </c>
      <c r="D636" s="8">
        <f>IFERROR(__xludf.DUMMYFUNCTION("IFERROR(VLOOKUP(C636,IMPORTRANGE(""https://docs.google.com/spreadsheets/d/10KlTSftfC81rs2H7Cf6EIR7VWS3omC-2kwzaThHv16k/edit#gid=0"",""NSE Input VaR+ELM!D:J""),7,0),100)"),26.58)</f>
        <v>26.58</v>
      </c>
      <c r="E636" s="7">
        <f t="shared" si="1"/>
        <v>73.42</v>
      </c>
      <c r="F636" s="9" t="s">
        <v>10</v>
      </c>
      <c r="G636" s="7"/>
    </row>
    <row r="637">
      <c r="A637" s="7">
        <v>631.0</v>
      </c>
      <c r="B637" s="8" t="s">
        <v>1270</v>
      </c>
      <c r="C637" s="8" t="s">
        <v>1271</v>
      </c>
      <c r="D637" s="8">
        <f>IFERROR(__xludf.DUMMYFUNCTION("IFERROR(VLOOKUP(C637,IMPORTRANGE(""https://docs.google.com/spreadsheets/d/10KlTSftfC81rs2H7Cf6EIR7VWS3omC-2kwzaThHv16k/edit#gid=0"",""NSE Input VaR+ELM!D:J""),7,0),100)"),28.01)</f>
        <v>28.01</v>
      </c>
      <c r="E637" s="7">
        <f t="shared" si="1"/>
        <v>71.99</v>
      </c>
      <c r="F637" s="9" t="s">
        <v>10</v>
      </c>
      <c r="G637" s="7"/>
    </row>
    <row r="638">
      <c r="A638" s="7">
        <v>632.0</v>
      </c>
      <c r="B638" s="8" t="s">
        <v>1272</v>
      </c>
      <c r="C638" s="8" t="s">
        <v>1273</v>
      </c>
      <c r="D638" s="8">
        <f>IFERROR(__xludf.DUMMYFUNCTION("IFERROR(VLOOKUP(C638,IMPORTRANGE(""https://docs.google.com/spreadsheets/d/10KlTSftfC81rs2H7Cf6EIR7VWS3omC-2kwzaThHv16k/edit#gid=0"",""NSE Input VaR+ELM!D:J""),7,0),100)"),18.06)</f>
        <v>18.06</v>
      </c>
      <c r="E638" s="7">
        <f t="shared" si="1"/>
        <v>81.94</v>
      </c>
      <c r="F638" s="9" t="s">
        <v>10</v>
      </c>
      <c r="G638" s="7"/>
    </row>
    <row r="639">
      <c r="A639" s="7">
        <v>633.0</v>
      </c>
      <c r="B639" s="8" t="s">
        <v>1274</v>
      </c>
      <c r="C639" s="8" t="s">
        <v>1275</v>
      </c>
      <c r="D639" s="8">
        <f>IFERROR(__xludf.DUMMYFUNCTION("IFERROR(VLOOKUP(C639,IMPORTRANGE(""https://docs.google.com/spreadsheets/d/10KlTSftfC81rs2H7Cf6EIR7VWS3omC-2kwzaThHv16k/edit#gid=0"",""NSE Input VaR+ELM!D:J""),7,0),100)"),22.04)</f>
        <v>22.04</v>
      </c>
      <c r="E639" s="7">
        <f t="shared" si="1"/>
        <v>77.96</v>
      </c>
      <c r="F639" s="9" t="s">
        <v>10</v>
      </c>
      <c r="G639" s="7"/>
    </row>
    <row r="640">
      <c r="A640" s="7">
        <v>634.0</v>
      </c>
      <c r="B640" s="8" t="s">
        <v>1276</v>
      </c>
      <c r="C640" s="8" t="s">
        <v>1277</v>
      </c>
      <c r="D640" s="8">
        <f>IFERROR(__xludf.DUMMYFUNCTION("IFERROR(VLOOKUP(C640,IMPORTRANGE(""https://docs.google.com/spreadsheets/d/10KlTSftfC81rs2H7Cf6EIR7VWS3omC-2kwzaThHv16k/edit#gid=0"",""NSE Input VaR+ELM!D:J""),7,0),100)"),19.57)</f>
        <v>19.57</v>
      </c>
      <c r="E640" s="7">
        <f t="shared" si="1"/>
        <v>80.43</v>
      </c>
      <c r="F640" s="9" t="s">
        <v>10</v>
      </c>
      <c r="G640" s="7"/>
    </row>
    <row r="641">
      <c r="A641" s="7">
        <v>635.0</v>
      </c>
      <c r="B641" s="8" t="s">
        <v>1278</v>
      </c>
      <c r="C641" s="8" t="s">
        <v>1279</v>
      </c>
      <c r="D641" s="8">
        <f>IFERROR(__xludf.DUMMYFUNCTION("IFERROR(VLOOKUP(C641,IMPORTRANGE(""https://docs.google.com/spreadsheets/d/10KlTSftfC81rs2H7Cf6EIR7VWS3omC-2kwzaThHv16k/edit#gid=0"",""NSE Input VaR+ELM!D:J""),7,0),100)"),25.03)</f>
        <v>25.03</v>
      </c>
      <c r="E641" s="7">
        <f t="shared" si="1"/>
        <v>74.97</v>
      </c>
      <c r="F641" s="9" t="s">
        <v>10</v>
      </c>
      <c r="G641" s="7"/>
    </row>
    <row r="642">
      <c r="A642" s="7">
        <v>636.0</v>
      </c>
      <c r="B642" s="8" t="s">
        <v>1280</v>
      </c>
      <c r="C642" s="8" t="s">
        <v>1281</v>
      </c>
      <c r="D642" s="8">
        <f>IFERROR(__xludf.DUMMYFUNCTION("IFERROR(VLOOKUP(C642,IMPORTRANGE(""https://docs.google.com/spreadsheets/d/10KlTSftfC81rs2H7Cf6EIR7VWS3omC-2kwzaThHv16k/edit#gid=0"",""NSE Input VaR+ELM!D:J""),7,0),100)"),22.03)</f>
        <v>22.03</v>
      </c>
      <c r="E642" s="7">
        <f t="shared" si="1"/>
        <v>77.97</v>
      </c>
      <c r="F642" s="9" t="s">
        <v>10</v>
      </c>
      <c r="G642" s="7"/>
    </row>
    <row r="643">
      <c r="A643" s="7">
        <v>637.0</v>
      </c>
      <c r="B643" s="8" t="s">
        <v>1282</v>
      </c>
      <c r="C643" s="8" t="s">
        <v>1283</v>
      </c>
      <c r="D643" s="8">
        <f>IFERROR(__xludf.DUMMYFUNCTION("IFERROR(VLOOKUP(C643,IMPORTRANGE(""https://docs.google.com/spreadsheets/d/10KlTSftfC81rs2H7Cf6EIR7VWS3omC-2kwzaThHv16k/edit#gid=0"",""NSE Input VaR+ELM!D:J""),7,0),100)"),24.26)</f>
        <v>24.26</v>
      </c>
      <c r="E643" s="7">
        <f t="shared" si="1"/>
        <v>75.74</v>
      </c>
      <c r="F643" s="9" t="s">
        <v>217</v>
      </c>
      <c r="G643" s="7"/>
    </row>
    <row r="644">
      <c r="A644" s="7">
        <v>638.0</v>
      </c>
      <c r="B644" s="8" t="s">
        <v>1284</v>
      </c>
      <c r="C644" s="8" t="s">
        <v>1285</v>
      </c>
      <c r="D644" s="8">
        <f>IFERROR(__xludf.DUMMYFUNCTION("IFERROR(VLOOKUP(C644,IMPORTRANGE(""https://docs.google.com/spreadsheets/d/10KlTSftfC81rs2H7Cf6EIR7VWS3omC-2kwzaThHv16k/edit#gid=0"",""NSE Input VaR+ELM!D:J""),7,0),100)"),22.01)</f>
        <v>22.01</v>
      </c>
      <c r="E644" s="7">
        <f t="shared" si="1"/>
        <v>77.99</v>
      </c>
      <c r="F644" s="9" t="s">
        <v>10</v>
      </c>
      <c r="G644" s="7"/>
    </row>
    <row r="645">
      <c r="A645" s="7">
        <v>639.0</v>
      </c>
      <c r="B645" s="8" t="s">
        <v>1286</v>
      </c>
      <c r="C645" s="8" t="s">
        <v>1287</v>
      </c>
      <c r="D645" s="8">
        <f>IFERROR(__xludf.DUMMYFUNCTION("IFERROR(VLOOKUP(C645,IMPORTRANGE(""https://docs.google.com/spreadsheets/d/10KlTSftfC81rs2H7Cf6EIR7VWS3omC-2kwzaThHv16k/edit#gid=0"",""NSE Input VaR+ELM!D:J""),7,0),100)"),18.97)</f>
        <v>18.97</v>
      </c>
      <c r="E645" s="7">
        <f t="shared" si="1"/>
        <v>81.03</v>
      </c>
      <c r="F645" s="9" t="s">
        <v>10</v>
      </c>
      <c r="G645" s="7"/>
    </row>
    <row r="646">
      <c r="A646" s="7">
        <v>640.0</v>
      </c>
      <c r="B646" s="8" t="s">
        <v>1288</v>
      </c>
      <c r="C646" s="8" t="s">
        <v>1289</v>
      </c>
      <c r="D646" s="8">
        <f>IFERROR(__xludf.DUMMYFUNCTION("IFERROR(VLOOKUP(C646,IMPORTRANGE(""https://docs.google.com/spreadsheets/d/10KlTSftfC81rs2H7Cf6EIR7VWS3omC-2kwzaThHv16k/edit#gid=0"",""NSE Input VaR+ELM!D:J""),7,0),100)"),26.12)</f>
        <v>26.12</v>
      </c>
      <c r="E646" s="7">
        <f t="shared" si="1"/>
        <v>73.88</v>
      </c>
      <c r="F646" s="9" t="s">
        <v>10</v>
      </c>
      <c r="G646" s="7"/>
    </row>
    <row r="647">
      <c r="A647" s="7">
        <v>641.0</v>
      </c>
      <c r="B647" s="8" t="s">
        <v>1290</v>
      </c>
      <c r="C647" s="8" t="s">
        <v>1291</v>
      </c>
      <c r="D647" s="8">
        <f>IFERROR(__xludf.DUMMYFUNCTION("IFERROR(VLOOKUP(C647,IMPORTRANGE(""https://docs.google.com/spreadsheets/d/10KlTSftfC81rs2H7Cf6EIR7VWS3omC-2kwzaThHv16k/edit#gid=0"",""NSE Input VaR+ELM!D:J""),7,0),100)"),29.9)</f>
        <v>29.9</v>
      </c>
      <c r="E647" s="7">
        <f t="shared" si="1"/>
        <v>70.1</v>
      </c>
      <c r="F647" s="9" t="s">
        <v>10</v>
      </c>
      <c r="G647" s="7"/>
    </row>
    <row r="648">
      <c r="A648" s="7">
        <v>642.0</v>
      </c>
      <c r="B648" s="8" t="s">
        <v>1292</v>
      </c>
      <c r="C648" s="8" t="s">
        <v>1293</v>
      </c>
      <c r="D648" s="8">
        <f>IFERROR(__xludf.DUMMYFUNCTION("IFERROR(VLOOKUP(C648,IMPORTRANGE(""https://docs.google.com/spreadsheets/d/10KlTSftfC81rs2H7Cf6EIR7VWS3omC-2kwzaThHv16k/edit#gid=0"",""NSE Input VaR+ELM!D:J""),7,0),100)"),31.32)</f>
        <v>31.32</v>
      </c>
      <c r="E648" s="7">
        <f t="shared" si="1"/>
        <v>68.68</v>
      </c>
      <c r="F648" s="9" t="s">
        <v>10</v>
      </c>
      <c r="G648" s="7"/>
    </row>
    <row r="649">
      <c r="A649" s="7">
        <v>643.0</v>
      </c>
      <c r="B649" s="8" t="s">
        <v>1294</v>
      </c>
      <c r="C649" s="8" t="s">
        <v>1295</v>
      </c>
      <c r="D649" s="8">
        <f>IFERROR(__xludf.DUMMYFUNCTION("IFERROR(VLOOKUP(C649,IMPORTRANGE(""https://docs.google.com/spreadsheets/d/10KlTSftfC81rs2H7Cf6EIR7VWS3omC-2kwzaThHv16k/edit#gid=0"",""NSE Input VaR+ELM!D:J""),7,0),100)"),26.39)</f>
        <v>26.39</v>
      </c>
      <c r="E649" s="7">
        <f t="shared" si="1"/>
        <v>73.61</v>
      </c>
      <c r="F649" s="9" t="s">
        <v>10</v>
      </c>
      <c r="G649" s="7"/>
    </row>
    <row r="650">
      <c r="A650" s="7">
        <v>644.0</v>
      </c>
      <c r="B650" s="8" t="s">
        <v>1296</v>
      </c>
      <c r="C650" s="8" t="s">
        <v>1297</v>
      </c>
      <c r="D650" s="8">
        <f>IFERROR(__xludf.DUMMYFUNCTION("IFERROR(VLOOKUP(C650,IMPORTRANGE(""https://docs.google.com/spreadsheets/d/10KlTSftfC81rs2H7Cf6EIR7VWS3omC-2kwzaThHv16k/edit#gid=0"",""NSE Input VaR+ELM!D:J""),7,0),100)"),25.23)</f>
        <v>25.23</v>
      </c>
      <c r="E650" s="7">
        <f t="shared" si="1"/>
        <v>74.77</v>
      </c>
      <c r="F650" s="9" t="s">
        <v>10</v>
      </c>
      <c r="G650" s="7"/>
    </row>
    <row r="651">
      <c r="A651" s="7">
        <v>645.0</v>
      </c>
      <c r="B651" s="8" t="s">
        <v>1298</v>
      </c>
      <c r="C651" s="8" t="s">
        <v>1299</v>
      </c>
      <c r="D651" s="8">
        <f>IFERROR(__xludf.DUMMYFUNCTION("IFERROR(VLOOKUP(C651,IMPORTRANGE(""https://docs.google.com/spreadsheets/d/10KlTSftfC81rs2H7Cf6EIR7VWS3omC-2kwzaThHv16k/edit#gid=0"",""NSE Input VaR+ELM!D:J""),7,0),100)"),24.59)</f>
        <v>24.59</v>
      </c>
      <c r="E651" s="7">
        <f t="shared" si="1"/>
        <v>75.41</v>
      </c>
      <c r="F651" s="9" t="s">
        <v>10</v>
      </c>
      <c r="G651" s="7"/>
    </row>
    <row r="652">
      <c r="A652" s="7">
        <v>646.0</v>
      </c>
      <c r="B652" s="8" t="s">
        <v>1300</v>
      </c>
      <c r="C652" s="8" t="s">
        <v>1301</v>
      </c>
      <c r="D652" s="8">
        <f>IFERROR(__xludf.DUMMYFUNCTION("IFERROR(VLOOKUP(C652,IMPORTRANGE(""https://docs.google.com/spreadsheets/d/10KlTSftfC81rs2H7Cf6EIR7VWS3omC-2kwzaThHv16k/edit#gid=0"",""NSE Input VaR+ELM!D:J""),7,0),100)"),18.09)</f>
        <v>18.09</v>
      </c>
      <c r="E652" s="7">
        <f t="shared" si="1"/>
        <v>81.91</v>
      </c>
      <c r="F652" s="9" t="s">
        <v>217</v>
      </c>
      <c r="G652" s="7"/>
    </row>
    <row r="653">
      <c r="A653" s="7">
        <v>647.0</v>
      </c>
      <c r="B653" s="8" t="s">
        <v>1302</v>
      </c>
      <c r="C653" s="8" t="s">
        <v>1303</v>
      </c>
      <c r="D653" s="8">
        <f>IFERROR(__xludf.DUMMYFUNCTION("IFERROR(VLOOKUP(C653,IMPORTRANGE(""https://docs.google.com/spreadsheets/d/10KlTSftfC81rs2H7Cf6EIR7VWS3omC-2kwzaThHv16k/edit#gid=0"",""NSE Input VaR+ELM!D:J""),7,0),100)"),25.98)</f>
        <v>25.98</v>
      </c>
      <c r="E653" s="7">
        <f t="shared" si="1"/>
        <v>74.02</v>
      </c>
      <c r="F653" s="9" t="s">
        <v>10</v>
      </c>
      <c r="G653" s="7"/>
    </row>
    <row r="654">
      <c r="A654" s="7">
        <v>648.0</v>
      </c>
      <c r="B654" s="8" t="s">
        <v>1304</v>
      </c>
      <c r="C654" s="8" t="s">
        <v>1305</v>
      </c>
      <c r="D654" s="8">
        <f>IFERROR(__xludf.DUMMYFUNCTION("IFERROR(VLOOKUP(C654,IMPORTRANGE(""https://docs.google.com/spreadsheets/d/10KlTSftfC81rs2H7Cf6EIR7VWS3omC-2kwzaThHv16k/edit#gid=0"",""NSE Input VaR+ELM!D:J""),7,0),100)"),21.33)</f>
        <v>21.33</v>
      </c>
      <c r="E654" s="7">
        <f t="shared" si="1"/>
        <v>78.67</v>
      </c>
      <c r="F654" s="9" t="s">
        <v>10</v>
      </c>
      <c r="G654" s="7"/>
    </row>
    <row r="655">
      <c r="A655" s="7">
        <v>649.0</v>
      </c>
      <c r="B655" s="8" t="s">
        <v>1306</v>
      </c>
      <c r="C655" s="8" t="s">
        <v>1307</v>
      </c>
      <c r="D655" s="8">
        <f>IFERROR(__xludf.DUMMYFUNCTION("IFERROR(VLOOKUP(C655,IMPORTRANGE(""https://docs.google.com/spreadsheets/d/10KlTSftfC81rs2H7Cf6EIR7VWS3omC-2kwzaThHv16k/edit#gid=0"",""NSE Input VaR+ELM!D:J""),7,0),100)"),18.25)</f>
        <v>18.25</v>
      </c>
      <c r="E655" s="7">
        <f t="shared" si="1"/>
        <v>81.75</v>
      </c>
      <c r="F655" s="9" t="s">
        <v>10</v>
      </c>
      <c r="G655" s="7"/>
    </row>
    <row r="656">
      <c r="A656" s="7">
        <v>650.0</v>
      </c>
      <c r="B656" s="8" t="s">
        <v>1308</v>
      </c>
      <c r="C656" s="8" t="s">
        <v>1309</v>
      </c>
      <c r="D656" s="8">
        <f>IFERROR(__xludf.DUMMYFUNCTION("IFERROR(VLOOKUP(C656,IMPORTRANGE(""https://docs.google.com/spreadsheets/d/10KlTSftfC81rs2H7Cf6EIR7VWS3omC-2kwzaThHv16k/edit#gid=0"",""NSE Input VaR+ELM!D:J""),7,0),100)"),29.09)</f>
        <v>29.09</v>
      </c>
      <c r="E656" s="7">
        <f t="shared" si="1"/>
        <v>70.91</v>
      </c>
      <c r="F656" s="9" t="s">
        <v>10</v>
      </c>
      <c r="G656" s="7"/>
    </row>
    <row r="657">
      <c r="A657" s="7">
        <v>651.0</v>
      </c>
      <c r="B657" s="8" t="s">
        <v>1310</v>
      </c>
      <c r="C657" s="8" t="s">
        <v>1311</v>
      </c>
      <c r="D657" s="8">
        <f>IFERROR(__xludf.DUMMYFUNCTION("IFERROR(VLOOKUP(C657,IMPORTRANGE(""https://docs.google.com/spreadsheets/d/10KlTSftfC81rs2H7Cf6EIR7VWS3omC-2kwzaThHv16k/edit#gid=0"",""NSE Input VaR+ELM!D:J""),7,0),100)"),23.04)</f>
        <v>23.04</v>
      </c>
      <c r="E657" s="7">
        <f t="shared" si="1"/>
        <v>76.96</v>
      </c>
      <c r="F657" s="9" t="s">
        <v>10</v>
      </c>
      <c r="G657" s="7"/>
    </row>
    <row r="658">
      <c r="A658" s="7">
        <v>652.0</v>
      </c>
      <c r="B658" s="8" t="s">
        <v>1312</v>
      </c>
      <c r="C658" s="8" t="s">
        <v>1313</v>
      </c>
      <c r="D658" s="8">
        <f>IFERROR(__xludf.DUMMYFUNCTION("IFERROR(VLOOKUP(C658,IMPORTRANGE(""https://docs.google.com/spreadsheets/d/10KlTSftfC81rs2H7Cf6EIR7VWS3omC-2kwzaThHv16k/edit#gid=0"",""NSE Input VaR+ELM!D:J""),7,0),100)"),18.62)</f>
        <v>18.62</v>
      </c>
      <c r="E658" s="7">
        <f t="shared" si="1"/>
        <v>81.38</v>
      </c>
      <c r="F658" s="9" t="s">
        <v>10</v>
      </c>
      <c r="G658" s="7"/>
    </row>
    <row r="659">
      <c r="A659" s="7">
        <v>653.0</v>
      </c>
      <c r="B659" s="8" t="s">
        <v>1314</v>
      </c>
      <c r="C659" s="8" t="s">
        <v>1315</v>
      </c>
      <c r="D659" s="8">
        <f>IFERROR(__xludf.DUMMYFUNCTION("IFERROR(VLOOKUP(C659,IMPORTRANGE(""https://docs.google.com/spreadsheets/d/10KlTSftfC81rs2H7Cf6EIR7VWS3omC-2kwzaThHv16k/edit#gid=0"",""NSE Input VaR+ELM!D:J""),7,0),100)"),24.32)</f>
        <v>24.32</v>
      </c>
      <c r="E659" s="7">
        <f t="shared" si="1"/>
        <v>75.68</v>
      </c>
      <c r="F659" s="9" t="s">
        <v>10</v>
      </c>
      <c r="G659" s="7"/>
    </row>
    <row r="660">
      <c r="A660" s="7">
        <v>654.0</v>
      </c>
      <c r="B660" s="8" t="s">
        <v>1316</v>
      </c>
      <c r="C660" s="8" t="s">
        <v>1317</v>
      </c>
      <c r="D660" s="8">
        <f>IFERROR(__xludf.DUMMYFUNCTION("IFERROR(VLOOKUP(C660,IMPORTRANGE(""https://docs.google.com/spreadsheets/d/10KlTSftfC81rs2H7Cf6EIR7VWS3omC-2kwzaThHv16k/edit#gid=0"",""NSE Input VaR+ELM!D:J""),7,0),100)"),50.0)</f>
        <v>50</v>
      </c>
      <c r="E660" s="7">
        <f t="shared" si="1"/>
        <v>50</v>
      </c>
      <c r="F660" s="9" t="s">
        <v>10</v>
      </c>
      <c r="G660" s="7"/>
    </row>
    <row r="661">
      <c r="A661" s="7">
        <v>655.0</v>
      </c>
      <c r="B661" s="8" t="s">
        <v>1318</v>
      </c>
      <c r="C661" s="8" t="s">
        <v>1319</v>
      </c>
      <c r="D661" s="8">
        <f>IFERROR(__xludf.DUMMYFUNCTION("IFERROR(VLOOKUP(C661,IMPORTRANGE(""https://docs.google.com/spreadsheets/d/10KlTSftfC81rs2H7Cf6EIR7VWS3omC-2kwzaThHv16k/edit#gid=0"",""NSE Input VaR+ELM!D:J""),7,0),100)"),15.01)</f>
        <v>15.01</v>
      </c>
      <c r="E661" s="7">
        <f t="shared" si="1"/>
        <v>84.99</v>
      </c>
      <c r="F661" s="9" t="s">
        <v>10</v>
      </c>
      <c r="G661" s="7"/>
    </row>
    <row r="662">
      <c r="A662" s="7">
        <v>656.0</v>
      </c>
      <c r="B662" s="8" t="s">
        <v>1320</v>
      </c>
      <c r="C662" s="8" t="s">
        <v>1321</v>
      </c>
      <c r="D662" s="8">
        <f>IFERROR(__xludf.DUMMYFUNCTION("IFERROR(VLOOKUP(C662,IMPORTRANGE(""https://docs.google.com/spreadsheets/d/10KlTSftfC81rs2H7Cf6EIR7VWS3omC-2kwzaThHv16k/edit#gid=0"",""NSE Input VaR+ELM!D:J""),7,0),100)"),30.13)</f>
        <v>30.13</v>
      </c>
      <c r="E662" s="7">
        <f t="shared" si="1"/>
        <v>69.87</v>
      </c>
      <c r="F662" s="9" t="s">
        <v>10</v>
      </c>
      <c r="G662" s="7"/>
    </row>
    <row r="663">
      <c r="A663" s="7">
        <v>657.0</v>
      </c>
      <c r="B663" s="8" t="s">
        <v>1322</v>
      </c>
      <c r="C663" s="8" t="s">
        <v>1323</v>
      </c>
      <c r="D663" s="8">
        <f>IFERROR(__xludf.DUMMYFUNCTION("IFERROR(VLOOKUP(C663,IMPORTRANGE(""https://docs.google.com/spreadsheets/d/10KlTSftfC81rs2H7Cf6EIR7VWS3omC-2kwzaThHv16k/edit#gid=0"",""NSE Input VaR+ELM!D:J""),7,0),100)"),17.05)</f>
        <v>17.05</v>
      </c>
      <c r="E663" s="7">
        <f t="shared" si="1"/>
        <v>82.95</v>
      </c>
      <c r="F663" s="9" t="s">
        <v>10</v>
      </c>
      <c r="G663" s="7"/>
    </row>
    <row r="664">
      <c r="A664" s="7">
        <v>658.0</v>
      </c>
      <c r="B664" s="8" t="s">
        <v>1324</v>
      </c>
      <c r="C664" s="8" t="s">
        <v>1325</v>
      </c>
      <c r="D664" s="8">
        <f>IFERROR(__xludf.DUMMYFUNCTION("IFERROR(VLOOKUP(C664,IMPORTRANGE(""https://docs.google.com/spreadsheets/d/10KlTSftfC81rs2H7Cf6EIR7VWS3omC-2kwzaThHv16k/edit#gid=0"",""NSE Input VaR+ELM!D:J""),7,0),100)"),22.99)</f>
        <v>22.99</v>
      </c>
      <c r="E664" s="7">
        <f t="shared" si="1"/>
        <v>77.01</v>
      </c>
      <c r="F664" s="9" t="s">
        <v>10</v>
      </c>
      <c r="G664" s="7"/>
    </row>
    <row r="665">
      <c r="A665" s="7">
        <v>659.0</v>
      </c>
      <c r="B665" s="8" t="s">
        <v>1326</v>
      </c>
      <c r="C665" s="8" t="s">
        <v>1327</v>
      </c>
      <c r="D665" s="8">
        <f>IFERROR(__xludf.DUMMYFUNCTION("IFERROR(VLOOKUP(C665,IMPORTRANGE(""https://docs.google.com/spreadsheets/d/10KlTSftfC81rs2H7Cf6EIR7VWS3omC-2kwzaThHv16k/edit#gid=0"",""NSE Input VaR+ELM!D:J""),7,0),100)"),16.05)</f>
        <v>16.05</v>
      </c>
      <c r="E665" s="7">
        <f t="shared" si="1"/>
        <v>83.95</v>
      </c>
      <c r="F665" s="9" t="s">
        <v>10</v>
      </c>
      <c r="G665" s="7"/>
    </row>
    <row r="666">
      <c r="A666" s="7">
        <v>660.0</v>
      </c>
      <c r="B666" s="8" t="s">
        <v>1328</v>
      </c>
      <c r="C666" s="8" t="s">
        <v>1329</v>
      </c>
      <c r="D666" s="8">
        <f>IFERROR(__xludf.DUMMYFUNCTION("IFERROR(VLOOKUP(C666,IMPORTRANGE(""https://docs.google.com/spreadsheets/d/10KlTSftfC81rs2H7Cf6EIR7VWS3omC-2kwzaThHv16k/edit#gid=0"",""NSE Input VaR+ELM!D:J""),7,0),100)"),16.3)</f>
        <v>16.3</v>
      </c>
      <c r="E666" s="7">
        <f t="shared" si="1"/>
        <v>83.7</v>
      </c>
      <c r="F666" s="9" t="s">
        <v>10</v>
      </c>
      <c r="G666" s="7"/>
    </row>
    <row r="667">
      <c r="A667" s="7">
        <v>661.0</v>
      </c>
      <c r="B667" s="8" t="s">
        <v>1330</v>
      </c>
      <c r="C667" s="8" t="s">
        <v>1331</v>
      </c>
      <c r="D667" s="8">
        <f>IFERROR(__xludf.DUMMYFUNCTION("IFERROR(VLOOKUP(C667,IMPORTRANGE(""https://docs.google.com/spreadsheets/d/10KlTSftfC81rs2H7Cf6EIR7VWS3omC-2kwzaThHv16k/edit#gid=0"",""NSE Input VaR+ELM!D:J""),7,0),100)"),100.0)</f>
        <v>100</v>
      </c>
      <c r="E667" s="7">
        <f t="shared" si="1"/>
        <v>0</v>
      </c>
      <c r="F667" s="9" t="s">
        <v>217</v>
      </c>
      <c r="G667" s="7"/>
    </row>
    <row r="668">
      <c r="A668" s="7">
        <v>662.0</v>
      </c>
      <c r="B668" s="8" t="s">
        <v>1332</v>
      </c>
      <c r="C668" s="8" t="s">
        <v>1333</v>
      </c>
      <c r="D668" s="8">
        <f>IFERROR(__xludf.DUMMYFUNCTION("IFERROR(VLOOKUP(C668,IMPORTRANGE(""https://docs.google.com/spreadsheets/d/10KlTSftfC81rs2H7Cf6EIR7VWS3omC-2kwzaThHv16k/edit#gid=0"",""NSE Input VaR+ELM!D:J""),7,0),100)"),21.56)</f>
        <v>21.56</v>
      </c>
      <c r="E668" s="7">
        <f t="shared" si="1"/>
        <v>78.44</v>
      </c>
      <c r="F668" s="9" t="s">
        <v>10</v>
      </c>
      <c r="G668" s="7"/>
    </row>
    <row r="669">
      <c r="A669" s="7">
        <v>663.0</v>
      </c>
      <c r="B669" s="8" t="s">
        <v>1334</v>
      </c>
      <c r="C669" s="8" t="s">
        <v>1335</v>
      </c>
      <c r="D669" s="8">
        <f>IFERROR(__xludf.DUMMYFUNCTION("IFERROR(VLOOKUP(C669,IMPORTRANGE(""https://docs.google.com/spreadsheets/d/10KlTSftfC81rs2H7Cf6EIR7VWS3omC-2kwzaThHv16k/edit#gid=0"",""NSE Input VaR+ELM!D:J""),7,0),100)"),17.37)</f>
        <v>17.37</v>
      </c>
      <c r="E669" s="7">
        <f t="shared" si="1"/>
        <v>82.63</v>
      </c>
      <c r="F669" s="9" t="s">
        <v>10</v>
      </c>
      <c r="G669" s="7"/>
    </row>
    <row r="670">
      <c r="A670" s="7">
        <v>664.0</v>
      </c>
      <c r="B670" s="8" t="s">
        <v>1336</v>
      </c>
      <c r="C670" s="8" t="s">
        <v>1337</v>
      </c>
      <c r="D670" s="8">
        <f>IFERROR(__xludf.DUMMYFUNCTION("IFERROR(VLOOKUP(C670,IMPORTRANGE(""https://docs.google.com/spreadsheets/d/10KlTSftfC81rs2H7Cf6EIR7VWS3omC-2kwzaThHv16k/edit#gid=0"",""NSE Input VaR+ELM!D:J""),7,0),100)"),21.02)</f>
        <v>21.02</v>
      </c>
      <c r="E670" s="7">
        <f t="shared" si="1"/>
        <v>78.98</v>
      </c>
      <c r="F670" s="9" t="s">
        <v>10</v>
      </c>
      <c r="G670" s="7"/>
    </row>
    <row r="671">
      <c r="A671" s="7">
        <v>665.0</v>
      </c>
      <c r="B671" s="8" t="s">
        <v>1338</v>
      </c>
      <c r="C671" s="8" t="s">
        <v>1339</v>
      </c>
      <c r="D671" s="8">
        <f>IFERROR(__xludf.DUMMYFUNCTION("IFERROR(VLOOKUP(C671,IMPORTRANGE(""https://docs.google.com/spreadsheets/d/10KlTSftfC81rs2H7Cf6EIR7VWS3omC-2kwzaThHv16k/edit#gid=0"",""NSE Input VaR+ELM!D:J""),7,0),100)"),23.57)</f>
        <v>23.57</v>
      </c>
      <c r="E671" s="7">
        <f t="shared" si="1"/>
        <v>76.43</v>
      </c>
      <c r="F671" s="9" t="s">
        <v>217</v>
      </c>
      <c r="G671" s="7"/>
    </row>
    <row r="672">
      <c r="A672" s="7">
        <v>666.0</v>
      </c>
      <c r="B672" s="8" t="s">
        <v>1340</v>
      </c>
      <c r="C672" s="8" t="s">
        <v>1341</v>
      </c>
      <c r="D672" s="8">
        <f>IFERROR(__xludf.DUMMYFUNCTION("IFERROR(VLOOKUP(C672,IMPORTRANGE(""https://docs.google.com/spreadsheets/d/10KlTSftfC81rs2H7Cf6EIR7VWS3omC-2kwzaThHv16k/edit#gid=0"",""NSE Input VaR+ELM!D:J""),7,0),100)"),20.27)</f>
        <v>20.27</v>
      </c>
      <c r="E672" s="7">
        <f t="shared" si="1"/>
        <v>79.73</v>
      </c>
      <c r="F672" s="9" t="s">
        <v>10</v>
      </c>
      <c r="G672" s="7"/>
    </row>
    <row r="673">
      <c r="A673" s="7">
        <v>667.0</v>
      </c>
      <c r="B673" s="8" t="s">
        <v>1342</v>
      </c>
      <c r="C673" s="8" t="s">
        <v>1343</v>
      </c>
      <c r="D673" s="8">
        <f>IFERROR(__xludf.DUMMYFUNCTION("IFERROR(VLOOKUP(C673,IMPORTRANGE(""https://docs.google.com/spreadsheets/d/10KlTSftfC81rs2H7Cf6EIR7VWS3omC-2kwzaThHv16k/edit#gid=0"",""NSE Input VaR+ELM!D:J""),7,0),100)"),26.35)</f>
        <v>26.35</v>
      </c>
      <c r="E673" s="7">
        <f t="shared" si="1"/>
        <v>73.65</v>
      </c>
      <c r="F673" s="9" t="s">
        <v>10</v>
      </c>
      <c r="G673" s="7"/>
    </row>
    <row r="674">
      <c r="A674" s="7">
        <v>668.0</v>
      </c>
      <c r="B674" s="8" t="s">
        <v>1344</v>
      </c>
      <c r="C674" s="8" t="s">
        <v>1345</v>
      </c>
      <c r="D674" s="8">
        <f>IFERROR(__xludf.DUMMYFUNCTION("IFERROR(VLOOKUP(C674,IMPORTRANGE(""https://docs.google.com/spreadsheets/d/10KlTSftfC81rs2H7Cf6EIR7VWS3omC-2kwzaThHv16k/edit#gid=0"",""NSE Input VaR+ELM!D:J""),7,0),100)"),27.98)</f>
        <v>27.98</v>
      </c>
      <c r="E674" s="7">
        <f t="shared" si="1"/>
        <v>72.02</v>
      </c>
      <c r="F674" s="9" t="s">
        <v>217</v>
      </c>
      <c r="G674" s="7"/>
    </row>
    <row r="675">
      <c r="A675" s="7">
        <v>669.0</v>
      </c>
      <c r="B675" s="8" t="s">
        <v>1346</v>
      </c>
      <c r="C675" s="8" t="s">
        <v>1347</v>
      </c>
      <c r="D675" s="8">
        <f>IFERROR(__xludf.DUMMYFUNCTION("IFERROR(VLOOKUP(C675,IMPORTRANGE(""https://docs.google.com/spreadsheets/d/10KlTSftfC81rs2H7Cf6EIR7VWS3omC-2kwzaThHv16k/edit#gid=0"",""NSE Input VaR+ELM!D:J""),7,0),100)"),18.01)</f>
        <v>18.01</v>
      </c>
      <c r="E675" s="7">
        <f t="shared" si="1"/>
        <v>81.99</v>
      </c>
      <c r="F675" s="9" t="s">
        <v>10</v>
      </c>
      <c r="G675" s="7"/>
    </row>
    <row r="676">
      <c r="A676" s="7">
        <v>670.0</v>
      </c>
      <c r="B676" s="8" t="s">
        <v>1348</v>
      </c>
      <c r="C676" s="8" t="s">
        <v>1349</v>
      </c>
      <c r="D676" s="8">
        <f>IFERROR(__xludf.DUMMYFUNCTION("IFERROR(VLOOKUP(C676,IMPORTRANGE(""https://docs.google.com/spreadsheets/d/10KlTSftfC81rs2H7Cf6EIR7VWS3omC-2kwzaThHv16k/edit#gid=0"",""NSE Input VaR+ELM!D:J""),7,0),100)"),21.82)</f>
        <v>21.82</v>
      </c>
      <c r="E676" s="7">
        <f t="shared" si="1"/>
        <v>78.18</v>
      </c>
      <c r="F676" s="9" t="s">
        <v>10</v>
      </c>
      <c r="G676" s="7"/>
    </row>
    <row r="677">
      <c r="A677" s="7">
        <v>671.0</v>
      </c>
      <c r="B677" s="8" t="s">
        <v>1350</v>
      </c>
      <c r="C677" s="8" t="s">
        <v>1351</v>
      </c>
      <c r="D677" s="8">
        <f>IFERROR(__xludf.DUMMYFUNCTION("IFERROR(VLOOKUP(C677,IMPORTRANGE(""https://docs.google.com/spreadsheets/d/10KlTSftfC81rs2H7Cf6EIR7VWS3omC-2kwzaThHv16k/edit#gid=0"",""NSE Input VaR+ELM!D:J""),7,0),100)"),27.44)</f>
        <v>27.44</v>
      </c>
      <c r="E677" s="7">
        <f t="shared" si="1"/>
        <v>72.56</v>
      </c>
      <c r="F677" s="9" t="s">
        <v>10</v>
      </c>
      <c r="G677" s="7"/>
    </row>
    <row r="678">
      <c r="A678" s="7">
        <v>672.0</v>
      </c>
      <c r="B678" s="8" t="s">
        <v>1352</v>
      </c>
      <c r="C678" s="8" t="s">
        <v>1353</v>
      </c>
      <c r="D678" s="8">
        <f>IFERROR(__xludf.DUMMYFUNCTION("IFERROR(VLOOKUP(C678,IMPORTRANGE(""https://docs.google.com/spreadsheets/d/10KlTSftfC81rs2H7Cf6EIR7VWS3omC-2kwzaThHv16k/edit#gid=0"",""NSE Input VaR+ELM!D:J""),7,0),100)"),19.2)</f>
        <v>19.2</v>
      </c>
      <c r="E678" s="7">
        <f t="shared" si="1"/>
        <v>80.8</v>
      </c>
      <c r="F678" s="9" t="s">
        <v>10</v>
      </c>
      <c r="G678" s="7"/>
    </row>
    <row r="679">
      <c r="A679" s="7">
        <v>673.0</v>
      </c>
      <c r="B679" s="8" t="s">
        <v>1354</v>
      </c>
      <c r="C679" s="8" t="s">
        <v>1355</v>
      </c>
      <c r="D679" s="8">
        <f>IFERROR(__xludf.DUMMYFUNCTION("IFERROR(VLOOKUP(C679,IMPORTRANGE(""https://docs.google.com/spreadsheets/d/10KlTSftfC81rs2H7Cf6EIR7VWS3omC-2kwzaThHv16k/edit#gid=0"",""NSE Input VaR+ELM!D:J""),7,0),100)"),24.04)</f>
        <v>24.04</v>
      </c>
      <c r="E679" s="7">
        <f t="shared" si="1"/>
        <v>75.96</v>
      </c>
      <c r="F679" s="9" t="s">
        <v>10</v>
      </c>
      <c r="G679" s="7"/>
    </row>
    <row r="680">
      <c r="A680" s="7">
        <v>674.0</v>
      </c>
      <c r="B680" s="8" t="s">
        <v>1356</v>
      </c>
      <c r="C680" s="8" t="s">
        <v>1357</v>
      </c>
      <c r="D680" s="8">
        <f>IFERROR(__xludf.DUMMYFUNCTION("IFERROR(VLOOKUP(C680,IMPORTRANGE(""https://docs.google.com/spreadsheets/d/10KlTSftfC81rs2H7Cf6EIR7VWS3omC-2kwzaThHv16k/edit#gid=0"",""NSE Input VaR+ELM!D:J""),7,0),100)"),28.89)</f>
        <v>28.89</v>
      </c>
      <c r="E680" s="7">
        <f t="shared" si="1"/>
        <v>71.11</v>
      </c>
      <c r="F680" s="9" t="s">
        <v>10</v>
      </c>
      <c r="G680" s="7"/>
    </row>
    <row r="681">
      <c r="A681" s="7">
        <v>675.0</v>
      </c>
      <c r="B681" s="8" t="s">
        <v>1358</v>
      </c>
      <c r="C681" s="8" t="s">
        <v>1359</v>
      </c>
      <c r="D681" s="8">
        <f>IFERROR(__xludf.DUMMYFUNCTION("IFERROR(VLOOKUP(C681,IMPORTRANGE(""https://docs.google.com/spreadsheets/d/10KlTSftfC81rs2H7Cf6EIR7VWS3omC-2kwzaThHv16k/edit#gid=0"",""NSE Input VaR+ELM!D:J""),7,0),100)"),16.05)</f>
        <v>16.05</v>
      </c>
      <c r="E681" s="7">
        <f t="shared" si="1"/>
        <v>83.95</v>
      </c>
      <c r="F681" s="9" t="s">
        <v>217</v>
      </c>
      <c r="G681" s="7"/>
    </row>
    <row r="682">
      <c r="A682" s="7">
        <v>676.0</v>
      </c>
      <c r="B682" s="8" t="s">
        <v>1360</v>
      </c>
      <c r="C682" s="8" t="s">
        <v>1361</v>
      </c>
      <c r="D682" s="8">
        <f>IFERROR(__xludf.DUMMYFUNCTION("IFERROR(VLOOKUP(C682,IMPORTRANGE(""https://docs.google.com/spreadsheets/d/10KlTSftfC81rs2H7Cf6EIR7VWS3omC-2kwzaThHv16k/edit#gid=0"",""NSE Input VaR+ELM!D:J""),7,0),100)"),15.77)</f>
        <v>15.77</v>
      </c>
      <c r="E682" s="7">
        <f t="shared" si="1"/>
        <v>84.23</v>
      </c>
      <c r="F682" s="9" t="s">
        <v>10</v>
      </c>
      <c r="G682" s="7"/>
    </row>
    <row r="683">
      <c r="A683" s="7">
        <v>677.0</v>
      </c>
      <c r="B683" s="8" t="s">
        <v>1362</v>
      </c>
      <c r="C683" s="8" t="s">
        <v>1363</v>
      </c>
      <c r="D683" s="8">
        <f>IFERROR(__xludf.DUMMYFUNCTION("IFERROR(VLOOKUP(C683,IMPORTRANGE(""https://docs.google.com/spreadsheets/d/10KlTSftfC81rs2H7Cf6EIR7VWS3omC-2kwzaThHv16k/edit#gid=0"",""NSE Input VaR+ELM!D:J""),7,0),100)"),50.0)</f>
        <v>50</v>
      </c>
      <c r="E683" s="7">
        <f t="shared" si="1"/>
        <v>50</v>
      </c>
      <c r="F683" s="9" t="s">
        <v>217</v>
      </c>
      <c r="G683" s="7"/>
    </row>
    <row r="684">
      <c r="A684" s="7">
        <v>678.0</v>
      </c>
      <c r="B684" s="8" t="s">
        <v>1364</v>
      </c>
      <c r="C684" s="8" t="s">
        <v>1365</v>
      </c>
      <c r="D684" s="8">
        <f>IFERROR(__xludf.DUMMYFUNCTION("IFERROR(VLOOKUP(C684,IMPORTRANGE(""https://docs.google.com/spreadsheets/d/10KlTSftfC81rs2H7Cf6EIR7VWS3omC-2kwzaThHv16k/edit#gid=0"",""NSE Input VaR+ELM!D:J""),7,0),100)"),26.21)</f>
        <v>26.21</v>
      </c>
      <c r="E684" s="7">
        <f t="shared" si="1"/>
        <v>73.79</v>
      </c>
      <c r="F684" s="9" t="s">
        <v>10</v>
      </c>
      <c r="G684" s="7"/>
    </row>
    <row r="685">
      <c r="A685" s="7">
        <v>679.0</v>
      </c>
      <c r="B685" s="8" t="s">
        <v>1366</v>
      </c>
      <c r="C685" s="8" t="s">
        <v>1367</v>
      </c>
      <c r="D685" s="8">
        <f>IFERROR(__xludf.DUMMYFUNCTION("IFERROR(VLOOKUP(C685,IMPORTRANGE(""https://docs.google.com/spreadsheets/d/10KlTSftfC81rs2H7Cf6EIR7VWS3omC-2kwzaThHv16k/edit#gid=0"",""NSE Input VaR+ELM!D:J""),7,0),100)"),22.68)</f>
        <v>22.68</v>
      </c>
      <c r="E685" s="7">
        <f t="shared" si="1"/>
        <v>77.32</v>
      </c>
      <c r="F685" s="9" t="s">
        <v>10</v>
      </c>
      <c r="G685" s="7"/>
    </row>
    <row r="686">
      <c r="A686" s="7">
        <v>680.0</v>
      </c>
      <c r="B686" s="8" t="s">
        <v>1368</v>
      </c>
      <c r="C686" s="8" t="s">
        <v>1369</v>
      </c>
      <c r="D686" s="8">
        <f>IFERROR(__xludf.DUMMYFUNCTION("IFERROR(VLOOKUP(C686,IMPORTRANGE(""https://docs.google.com/spreadsheets/d/10KlTSftfC81rs2H7Cf6EIR7VWS3omC-2kwzaThHv16k/edit#gid=0"",""NSE Input VaR+ELM!D:J""),7,0),100)"),22.4)</f>
        <v>22.4</v>
      </c>
      <c r="E686" s="7">
        <f t="shared" si="1"/>
        <v>77.6</v>
      </c>
      <c r="F686" s="9" t="s">
        <v>10</v>
      </c>
      <c r="G686" s="7"/>
    </row>
    <row r="687">
      <c r="A687" s="7">
        <v>681.0</v>
      </c>
      <c r="B687" s="8" t="s">
        <v>1370</v>
      </c>
      <c r="C687" s="8" t="s">
        <v>1371</v>
      </c>
      <c r="D687" s="8">
        <f>IFERROR(__xludf.DUMMYFUNCTION("IFERROR(VLOOKUP(C687,IMPORTRANGE(""https://docs.google.com/spreadsheets/d/10KlTSftfC81rs2H7Cf6EIR7VWS3omC-2kwzaThHv16k/edit#gid=0"",""NSE Input VaR+ELM!D:J""),7,0),100)"),23.43)</f>
        <v>23.43</v>
      </c>
      <c r="E687" s="7">
        <f t="shared" si="1"/>
        <v>76.57</v>
      </c>
      <c r="F687" s="9" t="s">
        <v>10</v>
      </c>
      <c r="G687" s="7"/>
    </row>
    <row r="688">
      <c r="A688" s="7">
        <v>682.0</v>
      </c>
      <c r="B688" s="8" t="s">
        <v>1372</v>
      </c>
      <c r="C688" s="8" t="s">
        <v>1373</v>
      </c>
      <c r="D688" s="8">
        <f>IFERROR(__xludf.DUMMYFUNCTION("IFERROR(VLOOKUP(C688,IMPORTRANGE(""https://docs.google.com/spreadsheets/d/10KlTSftfC81rs2H7Cf6EIR7VWS3omC-2kwzaThHv16k/edit#gid=0"",""NSE Input VaR+ELM!D:J""),7,0),100)"),50.0)</f>
        <v>50</v>
      </c>
      <c r="E688" s="7">
        <f t="shared" si="1"/>
        <v>50</v>
      </c>
      <c r="F688" s="9" t="s">
        <v>10</v>
      </c>
      <c r="G688" s="7"/>
    </row>
    <row r="689">
      <c r="A689" s="7">
        <v>683.0</v>
      </c>
      <c r="B689" s="8" t="s">
        <v>1374</v>
      </c>
      <c r="C689" s="8" t="s">
        <v>1375</v>
      </c>
      <c r="D689" s="8">
        <f>IFERROR(__xludf.DUMMYFUNCTION("IFERROR(VLOOKUP(C689,IMPORTRANGE(""https://docs.google.com/spreadsheets/d/10KlTSftfC81rs2H7Cf6EIR7VWS3omC-2kwzaThHv16k/edit#gid=0"",""NSE Input VaR+ELM!D:J""),7,0),100)"),19.86)</f>
        <v>19.86</v>
      </c>
      <c r="E689" s="7">
        <f t="shared" si="1"/>
        <v>80.14</v>
      </c>
      <c r="F689" s="9" t="s">
        <v>217</v>
      </c>
      <c r="G689" s="7"/>
    </row>
    <row r="690">
      <c r="A690" s="7">
        <v>684.0</v>
      </c>
      <c r="B690" s="8" t="s">
        <v>1376</v>
      </c>
      <c r="C690" s="8" t="s">
        <v>1377</v>
      </c>
      <c r="D690" s="8">
        <f>IFERROR(__xludf.DUMMYFUNCTION("IFERROR(VLOOKUP(C690,IMPORTRANGE(""https://docs.google.com/spreadsheets/d/10KlTSftfC81rs2H7Cf6EIR7VWS3omC-2kwzaThHv16k/edit#gid=0"",""NSE Input VaR+ELM!D:J""),7,0),100)"),25.55)</f>
        <v>25.55</v>
      </c>
      <c r="E690" s="7">
        <f t="shared" si="1"/>
        <v>74.45</v>
      </c>
      <c r="F690" s="9" t="s">
        <v>10</v>
      </c>
      <c r="G690" s="7"/>
    </row>
    <row r="691">
      <c r="A691" s="7">
        <v>685.0</v>
      </c>
      <c r="B691" s="8" t="s">
        <v>1378</v>
      </c>
      <c r="C691" s="8" t="s">
        <v>1379</v>
      </c>
      <c r="D691" s="8">
        <f>IFERROR(__xludf.DUMMYFUNCTION("IFERROR(VLOOKUP(C691,IMPORTRANGE(""https://docs.google.com/spreadsheets/d/10KlTSftfC81rs2H7Cf6EIR7VWS3omC-2kwzaThHv16k/edit#gid=0"",""NSE Input VaR+ELM!D:J""),7,0),100)"),23.3)</f>
        <v>23.3</v>
      </c>
      <c r="E691" s="7">
        <f t="shared" si="1"/>
        <v>76.7</v>
      </c>
      <c r="F691" s="9" t="s">
        <v>10</v>
      </c>
      <c r="G691" s="7"/>
    </row>
    <row r="692">
      <c r="A692" s="7">
        <v>686.0</v>
      </c>
      <c r="B692" s="8" t="s">
        <v>1380</v>
      </c>
      <c r="C692" s="8" t="s">
        <v>1381</v>
      </c>
      <c r="D692" s="8">
        <f>IFERROR(__xludf.DUMMYFUNCTION("IFERROR(VLOOKUP(C692,IMPORTRANGE(""https://docs.google.com/spreadsheets/d/10KlTSftfC81rs2H7Cf6EIR7VWS3omC-2kwzaThHv16k/edit#gid=0"",""NSE Input VaR+ELM!D:J""),7,0),100)"),29.54)</f>
        <v>29.54</v>
      </c>
      <c r="E692" s="7">
        <f t="shared" si="1"/>
        <v>70.46</v>
      </c>
      <c r="F692" s="9" t="s">
        <v>10</v>
      </c>
      <c r="G692" s="7"/>
    </row>
    <row r="693">
      <c r="A693" s="7">
        <v>687.0</v>
      </c>
      <c r="B693" s="8" t="s">
        <v>1382</v>
      </c>
      <c r="C693" s="8" t="s">
        <v>1383</v>
      </c>
      <c r="D693" s="8">
        <f>IFERROR(__xludf.DUMMYFUNCTION("IFERROR(VLOOKUP(C693,IMPORTRANGE(""https://docs.google.com/spreadsheets/d/10KlTSftfC81rs2H7Cf6EIR7VWS3omC-2kwzaThHv16k/edit#gid=0"",""NSE Input VaR+ELM!D:J""),7,0),100)"),17.37)</f>
        <v>17.37</v>
      </c>
      <c r="E693" s="7">
        <f t="shared" si="1"/>
        <v>82.63</v>
      </c>
      <c r="F693" s="9" t="s">
        <v>10</v>
      </c>
      <c r="G693" s="7"/>
    </row>
    <row r="694">
      <c r="A694" s="7">
        <v>688.0</v>
      </c>
      <c r="B694" s="8" t="s">
        <v>1384</v>
      </c>
      <c r="C694" s="8" t="s">
        <v>1385</v>
      </c>
      <c r="D694" s="8">
        <f>IFERROR(__xludf.DUMMYFUNCTION("IFERROR(VLOOKUP(C694,IMPORTRANGE(""https://docs.google.com/spreadsheets/d/10KlTSftfC81rs2H7Cf6EIR7VWS3omC-2kwzaThHv16k/edit#gid=0"",""NSE Input VaR+ELM!D:J""),7,0),100)"),20.15)</f>
        <v>20.15</v>
      </c>
      <c r="E694" s="7">
        <f t="shared" si="1"/>
        <v>79.85</v>
      </c>
      <c r="F694" s="9" t="s">
        <v>10</v>
      </c>
      <c r="G694" s="7"/>
    </row>
    <row r="695">
      <c r="A695" s="7">
        <v>689.0</v>
      </c>
      <c r="B695" s="8" t="s">
        <v>1386</v>
      </c>
      <c r="C695" s="8" t="s">
        <v>1387</v>
      </c>
      <c r="D695" s="8">
        <f>IFERROR(__xludf.DUMMYFUNCTION("IFERROR(VLOOKUP(C695,IMPORTRANGE(""https://docs.google.com/spreadsheets/d/10KlTSftfC81rs2H7Cf6EIR7VWS3omC-2kwzaThHv16k/edit#gid=0"",""NSE Input VaR+ELM!D:J""),7,0),100)"),24.65)</f>
        <v>24.65</v>
      </c>
      <c r="E695" s="7">
        <f t="shared" si="1"/>
        <v>75.35</v>
      </c>
      <c r="F695" s="9" t="s">
        <v>10</v>
      </c>
      <c r="G695" s="7"/>
    </row>
    <row r="696">
      <c r="A696" s="7">
        <v>690.0</v>
      </c>
      <c r="B696" s="8" t="s">
        <v>1388</v>
      </c>
      <c r="C696" s="8" t="s">
        <v>1389</v>
      </c>
      <c r="D696" s="8">
        <f>IFERROR(__xludf.DUMMYFUNCTION("IFERROR(VLOOKUP(C696,IMPORTRANGE(""https://docs.google.com/spreadsheets/d/10KlTSftfC81rs2H7Cf6EIR7VWS3omC-2kwzaThHv16k/edit#gid=0"",""NSE Input VaR+ELM!D:J""),7,0),100)"),26.12)</f>
        <v>26.12</v>
      </c>
      <c r="E696" s="7">
        <f t="shared" si="1"/>
        <v>73.88</v>
      </c>
      <c r="F696" s="9" t="s">
        <v>10</v>
      </c>
      <c r="G696" s="7"/>
    </row>
    <row r="697">
      <c r="A697" s="7">
        <v>691.0</v>
      </c>
      <c r="B697" s="8" t="s">
        <v>1390</v>
      </c>
      <c r="C697" s="8" t="s">
        <v>1391</v>
      </c>
      <c r="D697" s="8">
        <f>IFERROR(__xludf.DUMMYFUNCTION("IFERROR(VLOOKUP(C697,IMPORTRANGE(""https://docs.google.com/spreadsheets/d/10KlTSftfC81rs2H7Cf6EIR7VWS3omC-2kwzaThHv16k/edit#gid=0"",""NSE Input VaR+ELM!D:J""),7,0),100)"),28.12)</f>
        <v>28.12</v>
      </c>
      <c r="E697" s="7">
        <f t="shared" si="1"/>
        <v>71.88</v>
      </c>
      <c r="F697" s="9" t="s">
        <v>10</v>
      </c>
      <c r="G697" s="7"/>
    </row>
    <row r="698">
      <c r="A698" s="7">
        <v>692.0</v>
      </c>
      <c r="B698" s="8" t="s">
        <v>1392</v>
      </c>
      <c r="C698" s="8" t="s">
        <v>1393</v>
      </c>
      <c r="D698" s="8">
        <f>IFERROR(__xludf.DUMMYFUNCTION("IFERROR(VLOOKUP(C698,IMPORTRANGE(""https://docs.google.com/spreadsheets/d/10KlTSftfC81rs2H7Cf6EIR7VWS3omC-2kwzaThHv16k/edit#gid=0"",""NSE Input VaR+ELM!D:J""),7,0),100)"),30.24)</f>
        <v>30.24</v>
      </c>
      <c r="E698" s="7">
        <f t="shared" si="1"/>
        <v>69.76</v>
      </c>
      <c r="F698" s="9" t="s">
        <v>10</v>
      </c>
      <c r="G698" s="7"/>
    </row>
    <row r="699">
      <c r="A699" s="7">
        <v>693.0</v>
      </c>
      <c r="B699" s="8" t="s">
        <v>1394</v>
      </c>
      <c r="C699" s="8" t="s">
        <v>1395</v>
      </c>
      <c r="D699" s="8">
        <f>IFERROR(__xludf.DUMMYFUNCTION("IFERROR(VLOOKUP(C699,IMPORTRANGE(""https://docs.google.com/spreadsheets/d/10KlTSftfC81rs2H7Cf6EIR7VWS3omC-2kwzaThHv16k/edit#gid=0"",""NSE Input VaR+ELM!D:J""),7,0),100)"),14.32)</f>
        <v>14.32</v>
      </c>
      <c r="E699" s="7">
        <f t="shared" si="1"/>
        <v>85.68</v>
      </c>
      <c r="F699" s="9" t="s">
        <v>217</v>
      </c>
      <c r="G699" s="7"/>
    </row>
    <row r="700">
      <c r="A700" s="7">
        <v>694.0</v>
      </c>
      <c r="B700" s="8" t="s">
        <v>1396</v>
      </c>
      <c r="C700" s="8" t="s">
        <v>1397</v>
      </c>
      <c r="D700" s="8">
        <f>IFERROR(__xludf.DUMMYFUNCTION("IFERROR(VLOOKUP(C700,IMPORTRANGE(""https://docs.google.com/spreadsheets/d/10KlTSftfC81rs2H7Cf6EIR7VWS3omC-2kwzaThHv16k/edit#gid=0"",""NSE Input VaR+ELM!D:J""),7,0),100)"),35.0)</f>
        <v>35</v>
      </c>
      <c r="E700" s="7">
        <f t="shared" si="1"/>
        <v>65</v>
      </c>
      <c r="F700" s="9" t="s">
        <v>10</v>
      </c>
      <c r="G700" s="7"/>
    </row>
    <row r="701">
      <c r="A701" s="7">
        <v>695.0</v>
      </c>
      <c r="B701" s="8" t="s">
        <v>1398</v>
      </c>
      <c r="C701" s="8" t="s">
        <v>1399</v>
      </c>
      <c r="D701" s="8">
        <f>IFERROR(__xludf.DUMMYFUNCTION("IFERROR(VLOOKUP(C701,IMPORTRANGE(""https://docs.google.com/spreadsheets/d/10KlTSftfC81rs2H7Cf6EIR7VWS3omC-2kwzaThHv16k/edit#gid=0"",""NSE Input VaR+ELM!D:J""),7,0),100)"),23.26)</f>
        <v>23.26</v>
      </c>
      <c r="E701" s="7">
        <f t="shared" si="1"/>
        <v>76.74</v>
      </c>
      <c r="F701" s="9" t="s">
        <v>10</v>
      </c>
      <c r="G701" s="7"/>
    </row>
    <row r="702">
      <c r="A702" s="7">
        <v>696.0</v>
      </c>
      <c r="B702" s="8" t="s">
        <v>1400</v>
      </c>
      <c r="C702" s="8" t="s">
        <v>1401</v>
      </c>
      <c r="D702" s="8">
        <f>IFERROR(__xludf.DUMMYFUNCTION("IFERROR(VLOOKUP(C702,IMPORTRANGE(""https://docs.google.com/spreadsheets/d/10KlTSftfC81rs2H7Cf6EIR7VWS3omC-2kwzaThHv16k/edit#gid=0"",""NSE Input VaR+ELM!D:J""),7,0),100)"),21.27)</f>
        <v>21.27</v>
      </c>
      <c r="E702" s="7">
        <f t="shared" si="1"/>
        <v>78.73</v>
      </c>
      <c r="F702" s="9" t="s">
        <v>10</v>
      </c>
      <c r="G702" s="7"/>
    </row>
    <row r="703">
      <c r="A703" s="7">
        <v>697.0</v>
      </c>
      <c r="B703" s="8" t="s">
        <v>1402</v>
      </c>
      <c r="C703" s="8" t="s">
        <v>1403</v>
      </c>
      <c r="D703" s="8">
        <f>IFERROR(__xludf.DUMMYFUNCTION("IFERROR(VLOOKUP(C703,IMPORTRANGE(""https://docs.google.com/spreadsheets/d/10KlTSftfC81rs2H7Cf6EIR7VWS3omC-2kwzaThHv16k/edit#gid=0"",""NSE Input VaR+ELM!D:J""),7,0),100)"),23.91)</f>
        <v>23.91</v>
      </c>
      <c r="E703" s="7">
        <f t="shared" si="1"/>
        <v>76.09</v>
      </c>
      <c r="F703" s="9" t="s">
        <v>10</v>
      </c>
      <c r="G703" s="7"/>
    </row>
    <row r="704">
      <c r="A704" s="7">
        <v>698.0</v>
      </c>
      <c r="B704" s="8" t="s">
        <v>1404</v>
      </c>
      <c r="C704" s="8" t="s">
        <v>1405</v>
      </c>
      <c r="D704" s="8">
        <f>IFERROR(__xludf.DUMMYFUNCTION("IFERROR(VLOOKUP(C704,IMPORTRANGE(""https://docs.google.com/spreadsheets/d/10KlTSftfC81rs2H7Cf6EIR7VWS3omC-2kwzaThHv16k/edit#gid=0"",""NSE Input VaR+ELM!D:J""),7,0),100)"),29.66)</f>
        <v>29.66</v>
      </c>
      <c r="E704" s="7">
        <f t="shared" si="1"/>
        <v>70.34</v>
      </c>
      <c r="F704" s="9" t="s">
        <v>217</v>
      </c>
      <c r="G704" s="7"/>
    </row>
    <row r="705">
      <c r="A705" s="7">
        <v>699.0</v>
      </c>
      <c r="B705" s="8" t="s">
        <v>1406</v>
      </c>
      <c r="C705" s="8" t="s">
        <v>1407</v>
      </c>
      <c r="D705" s="8">
        <f>IFERROR(__xludf.DUMMYFUNCTION("IFERROR(VLOOKUP(C705,IMPORTRANGE(""https://docs.google.com/spreadsheets/d/10KlTSftfC81rs2H7Cf6EIR7VWS3omC-2kwzaThHv16k/edit#gid=0"",""NSE Input VaR+ELM!D:J""),7,0),100)"),26.66)</f>
        <v>26.66</v>
      </c>
      <c r="E705" s="7">
        <f t="shared" si="1"/>
        <v>73.34</v>
      </c>
      <c r="F705" s="9" t="s">
        <v>10</v>
      </c>
      <c r="G705" s="7"/>
    </row>
    <row r="706">
      <c r="A706" s="7">
        <v>700.0</v>
      </c>
      <c r="B706" s="8" t="s">
        <v>1408</v>
      </c>
      <c r="C706" s="8" t="s">
        <v>1409</v>
      </c>
      <c r="D706" s="8">
        <f>IFERROR(__xludf.DUMMYFUNCTION("IFERROR(VLOOKUP(C706,IMPORTRANGE(""https://docs.google.com/spreadsheets/d/10KlTSftfC81rs2H7Cf6EIR7VWS3omC-2kwzaThHv16k/edit#gid=0"",""NSE Input VaR+ELM!D:J""),7,0),100)"),100.0)</f>
        <v>100</v>
      </c>
      <c r="E706" s="7">
        <f t="shared" si="1"/>
        <v>0</v>
      </c>
      <c r="F706" s="9" t="s">
        <v>217</v>
      </c>
      <c r="G706" s="7"/>
    </row>
    <row r="707">
      <c r="A707" s="7">
        <v>701.0</v>
      </c>
      <c r="B707" s="8" t="s">
        <v>1410</v>
      </c>
      <c r="C707" s="8" t="s">
        <v>1411</v>
      </c>
      <c r="D707" s="8">
        <f>IFERROR(__xludf.DUMMYFUNCTION("IFERROR(VLOOKUP(C707,IMPORTRANGE(""https://docs.google.com/spreadsheets/d/10KlTSftfC81rs2H7Cf6EIR7VWS3omC-2kwzaThHv16k/edit#gid=0"",""NSE Input VaR+ELM!D:J""),7,0),100)"),16.58)</f>
        <v>16.58</v>
      </c>
      <c r="E707" s="7">
        <f t="shared" si="1"/>
        <v>83.42</v>
      </c>
      <c r="F707" s="9" t="s">
        <v>10</v>
      </c>
      <c r="G707" s="7"/>
    </row>
    <row r="708">
      <c r="A708" s="7">
        <v>702.0</v>
      </c>
      <c r="B708" s="8" t="s">
        <v>1412</v>
      </c>
      <c r="C708" s="8" t="s">
        <v>1413</v>
      </c>
      <c r="D708" s="8">
        <f>IFERROR(__xludf.DUMMYFUNCTION("IFERROR(VLOOKUP(C708,IMPORTRANGE(""https://docs.google.com/spreadsheets/d/10KlTSftfC81rs2H7Cf6EIR7VWS3omC-2kwzaThHv16k/edit#gid=0"",""NSE Input VaR+ELM!D:J""),7,0),100)"),18.22)</f>
        <v>18.22</v>
      </c>
      <c r="E708" s="7">
        <f t="shared" si="1"/>
        <v>81.78</v>
      </c>
      <c r="F708" s="9" t="s">
        <v>10</v>
      </c>
      <c r="G708" s="7"/>
    </row>
    <row r="709">
      <c r="A709" s="7">
        <v>703.0</v>
      </c>
      <c r="B709" s="8" t="s">
        <v>1414</v>
      </c>
      <c r="C709" s="8" t="s">
        <v>1415</v>
      </c>
      <c r="D709" s="8">
        <f>IFERROR(__xludf.DUMMYFUNCTION("IFERROR(VLOOKUP(C709,IMPORTRANGE(""https://docs.google.com/spreadsheets/d/10KlTSftfC81rs2H7Cf6EIR7VWS3omC-2kwzaThHv16k/edit#gid=0"",""NSE Input VaR+ELM!D:J""),7,0),100)"),16.93)</f>
        <v>16.93</v>
      </c>
      <c r="E709" s="7">
        <f t="shared" si="1"/>
        <v>83.07</v>
      </c>
      <c r="F709" s="9" t="s">
        <v>10</v>
      </c>
      <c r="G709" s="7"/>
    </row>
    <row r="710">
      <c r="A710" s="7">
        <v>704.0</v>
      </c>
      <c r="B710" s="8" t="s">
        <v>1416</v>
      </c>
      <c r="C710" s="8" t="s">
        <v>1417</v>
      </c>
      <c r="D710" s="8">
        <f>IFERROR(__xludf.DUMMYFUNCTION("IFERROR(VLOOKUP(C710,IMPORTRANGE(""https://docs.google.com/spreadsheets/d/10KlTSftfC81rs2H7Cf6EIR7VWS3omC-2kwzaThHv16k/edit#gid=0"",""NSE Input VaR+ELM!D:J""),7,0),100)"),17.61)</f>
        <v>17.61</v>
      </c>
      <c r="E710" s="7">
        <f t="shared" si="1"/>
        <v>82.39</v>
      </c>
      <c r="F710" s="9" t="s">
        <v>10</v>
      </c>
      <c r="G710" s="7"/>
    </row>
    <row r="711">
      <c r="A711" s="7">
        <v>705.0</v>
      </c>
      <c r="B711" s="8" t="s">
        <v>1418</v>
      </c>
      <c r="C711" s="8" t="s">
        <v>1419</v>
      </c>
      <c r="D711" s="8">
        <f>IFERROR(__xludf.DUMMYFUNCTION("IFERROR(VLOOKUP(C711,IMPORTRANGE(""https://docs.google.com/spreadsheets/d/10KlTSftfC81rs2H7Cf6EIR7VWS3omC-2kwzaThHv16k/edit#gid=0"",""NSE Input VaR+ELM!D:J""),7,0),100)"),17.66)</f>
        <v>17.66</v>
      </c>
      <c r="E711" s="7">
        <f t="shared" si="1"/>
        <v>82.34</v>
      </c>
      <c r="F711" s="9" t="s">
        <v>10</v>
      </c>
      <c r="G711" s="7"/>
    </row>
    <row r="712">
      <c r="A712" s="7">
        <v>706.0</v>
      </c>
      <c r="B712" s="8" t="s">
        <v>1420</v>
      </c>
      <c r="C712" s="8" t="s">
        <v>1421</v>
      </c>
      <c r="D712" s="8">
        <f>IFERROR(__xludf.DUMMYFUNCTION("IFERROR(VLOOKUP(C712,IMPORTRANGE(""https://docs.google.com/spreadsheets/d/10KlTSftfC81rs2H7Cf6EIR7VWS3omC-2kwzaThHv16k/edit#gid=0"",""NSE Input VaR+ELM!D:J""),7,0),100)"),75.0)</f>
        <v>75</v>
      </c>
      <c r="E712" s="7">
        <f t="shared" si="1"/>
        <v>25</v>
      </c>
      <c r="F712" s="9" t="s">
        <v>10</v>
      </c>
      <c r="G712" s="7"/>
    </row>
    <row r="713">
      <c r="A713" s="7">
        <v>707.0</v>
      </c>
      <c r="B713" s="8" t="s">
        <v>1422</v>
      </c>
      <c r="C713" s="8" t="s">
        <v>1423</v>
      </c>
      <c r="D713" s="8">
        <f>IFERROR(__xludf.DUMMYFUNCTION("IFERROR(VLOOKUP(C713,IMPORTRANGE(""https://docs.google.com/spreadsheets/d/10KlTSftfC81rs2H7Cf6EIR7VWS3omC-2kwzaThHv16k/edit#gid=0"",""NSE Input VaR+ELM!D:J""),7,0),100)"),21.25)</f>
        <v>21.25</v>
      </c>
      <c r="E713" s="7">
        <f t="shared" si="1"/>
        <v>78.75</v>
      </c>
      <c r="F713" s="9" t="s">
        <v>10</v>
      </c>
      <c r="G713" s="7"/>
    </row>
    <row r="714">
      <c r="A714" s="7">
        <v>708.0</v>
      </c>
      <c r="B714" s="8" t="s">
        <v>1424</v>
      </c>
      <c r="C714" s="8" t="s">
        <v>1425</v>
      </c>
      <c r="D714" s="8">
        <f>IFERROR(__xludf.DUMMYFUNCTION("IFERROR(VLOOKUP(C714,IMPORTRANGE(""https://docs.google.com/spreadsheets/d/10KlTSftfC81rs2H7Cf6EIR7VWS3omC-2kwzaThHv16k/edit#gid=0"",""NSE Input VaR+ELM!D:J""),7,0),100)"),20.16)</f>
        <v>20.16</v>
      </c>
      <c r="E714" s="7">
        <f t="shared" si="1"/>
        <v>79.84</v>
      </c>
      <c r="F714" s="9" t="s">
        <v>10</v>
      </c>
      <c r="G714" s="7"/>
    </row>
    <row r="715">
      <c r="A715" s="7">
        <v>709.0</v>
      </c>
      <c r="B715" s="8" t="s">
        <v>1426</v>
      </c>
      <c r="C715" s="8" t="s">
        <v>1427</v>
      </c>
      <c r="D715" s="8">
        <f>IFERROR(__xludf.DUMMYFUNCTION("IFERROR(VLOOKUP(C715,IMPORTRANGE(""https://docs.google.com/spreadsheets/d/10KlTSftfC81rs2H7Cf6EIR7VWS3omC-2kwzaThHv16k/edit#gid=0"",""NSE Input VaR+ELM!D:J""),7,0),100)"),16.59)</f>
        <v>16.59</v>
      </c>
      <c r="E715" s="7">
        <f t="shared" si="1"/>
        <v>83.41</v>
      </c>
      <c r="F715" s="9" t="s">
        <v>10</v>
      </c>
      <c r="G715" s="7"/>
    </row>
    <row r="716">
      <c r="A716" s="7">
        <v>710.0</v>
      </c>
      <c r="B716" s="8" t="s">
        <v>1428</v>
      </c>
      <c r="C716" s="8" t="s">
        <v>1429</v>
      </c>
      <c r="D716" s="8">
        <f>IFERROR(__xludf.DUMMYFUNCTION("IFERROR(VLOOKUP(C716,IMPORTRANGE(""https://docs.google.com/spreadsheets/d/10KlTSftfC81rs2H7Cf6EIR7VWS3omC-2kwzaThHv16k/edit#gid=0"",""NSE Input VaR+ELM!D:J""),7,0),100)"),20.73)</f>
        <v>20.73</v>
      </c>
      <c r="E716" s="7">
        <f t="shared" si="1"/>
        <v>79.27</v>
      </c>
      <c r="F716" s="9" t="s">
        <v>10</v>
      </c>
      <c r="G716" s="7"/>
    </row>
    <row r="717">
      <c r="A717" s="7">
        <v>711.0</v>
      </c>
      <c r="B717" s="8" t="s">
        <v>1430</v>
      </c>
      <c r="C717" s="8" t="s">
        <v>1431</v>
      </c>
      <c r="D717" s="8">
        <f>IFERROR(__xludf.DUMMYFUNCTION("IFERROR(VLOOKUP(C717,IMPORTRANGE(""https://docs.google.com/spreadsheets/d/10KlTSftfC81rs2H7Cf6EIR7VWS3omC-2kwzaThHv16k/edit#gid=0"",""NSE Input VaR+ELM!D:J""),7,0),100)"),20.37)</f>
        <v>20.37</v>
      </c>
      <c r="E717" s="7">
        <f t="shared" si="1"/>
        <v>79.63</v>
      </c>
      <c r="F717" s="9" t="s">
        <v>10</v>
      </c>
      <c r="G717" s="7"/>
    </row>
    <row r="718">
      <c r="A718" s="7">
        <v>712.0</v>
      </c>
      <c r="B718" s="8" t="s">
        <v>1432</v>
      </c>
      <c r="C718" s="8" t="s">
        <v>1433</v>
      </c>
      <c r="D718" s="8">
        <f>IFERROR(__xludf.DUMMYFUNCTION("IFERROR(VLOOKUP(C718,IMPORTRANGE(""https://docs.google.com/spreadsheets/d/10KlTSftfC81rs2H7Cf6EIR7VWS3omC-2kwzaThHv16k/edit#gid=0"",""NSE Input VaR+ELM!D:J""),7,0),100)"),18.41)</f>
        <v>18.41</v>
      </c>
      <c r="E718" s="7">
        <f t="shared" si="1"/>
        <v>81.59</v>
      </c>
      <c r="F718" s="9" t="s">
        <v>10</v>
      </c>
      <c r="G718" s="7"/>
    </row>
    <row r="719">
      <c r="A719" s="7">
        <v>713.0</v>
      </c>
      <c r="B719" s="8" t="s">
        <v>1434</v>
      </c>
      <c r="C719" s="8" t="s">
        <v>1435</v>
      </c>
      <c r="D719" s="8">
        <f>IFERROR(__xludf.DUMMYFUNCTION("IFERROR(VLOOKUP(C719,IMPORTRANGE(""https://docs.google.com/spreadsheets/d/10KlTSftfC81rs2H7Cf6EIR7VWS3omC-2kwzaThHv16k/edit#gid=0"",""NSE Input VaR+ELM!D:J""),7,0),100)"),18.03)</f>
        <v>18.03</v>
      </c>
      <c r="E719" s="7">
        <f t="shared" si="1"/>
        <v>81.97</v>
      </c>
      <c r="F719" s="9" t="s">
        <v>10</v>
      </c>
      <c r="G719" s="7"/>
    </row>
    <row r="720">
      <c r="A720" s="7">
        <v>714.0</v>
      </c>
      <c r="B720" s="8" t="s">
        <v>1436</v>
      </c>
      <c r="C720" s="8" t="s">
        <v>1437</v>
      </c>
      <c r="D720" s="8">
        <f>IFERROR(__xludf.DUMMYFUNCTION("IFERROR(VLOOKUP(C720,IMPORTRANGE(""https://docs.google.com/spreadsheets/d/10KlTSftfC81rs2H7Cf6EIR7VWS3omC-2kwzaThHv16k/edit#gid=0"",""NSE Input VaR+ELM!D:J""),7,0),100)"),23.4)</f>
        <v>23.4</v>
      </c>
      <c r="E720" s="7">
        <f t="shared" si="1"/>
        <v>76.6</v>
      </c>
      <c r="F720" s="9" t="s">
        <v>10</v>
      </c>
      <c r="G720" s="7"/>
    </row>
    <row r="721">
      <c r="A721" s="7">
        <v>715.0</v>
      </c>
      <c r="B721" s="8" t="s">
        <v>1438</v>
      </c>
      <c r="C721" s="8" t="s">
        <v>1439</v>
      </c>
      <c r="D721" s="8">
        <f>IFERROR(__xludf.DUMMYFUNCTION("IFERROR(VLOOKUP(C721,IMPORTRANGE(""https://docs.google.com/spreadsheets/d/10KlTSftfC81rs2H7Cf6EIR7VWS3omC-2kwzaThHv16k/edit#gid=0"",""NSE Input VaR+ELM!D:J""),7,0),100)"),22.0)</f>
        <v>22</v>
      </c>
      <c r="E721" s="7">
        <f t="shared" si="1"/>
        <v>78</v>
      </c>
      <c r="F721" s="9" t="s">
        <v>10</v>
      </c>
      <c r="G721" s="7"/>
    </row>
    <row r="722">
      <c r="A722" s="7">
        <v>716.0</v>
      </c>
      <c r="B722" s="8" t="s">
        <v>1440</v>
      </c>
      <c r="C722" s="8" t="s">
        <v>1441</v>
      </c>
      <c r="D722" s="8">
        <f>IFERROR(__xludf.DUMMYFUNCTION("IFERROR(VLOOKUP(C722,IMPORTRANGE(""https://docs.google.com/spreadsheets/d/10KlTSftfC81rs2H7Cf6EIR7VWS3omC-2kwzaThHv16k/edit#gid=0"",""NSE Input VaR+ELM!D:J""),7,0),100)"),26.3)</f>
        <v>26.3</v>
      </c>
      <c r="E722" s="7">
        <f t="shared" si="1"/>
        <v>73.7</v>
      </c>
      <c r="F722" s="9" t="s">
        <v>10</v>
      </c>
      <c r="G722" s="7"/>
    </row>
    <row r="723">
      <c r="A723" s="7">
        <v>717.0</v>
      </c>
      <c r="B723" s="8" t="s">
        <v>1442</v>
      </c>
      <c r="C723" s="8" t="s">
        <v>1443</v>
      </c>
      <c r="D723" s="8">
        <f>IFERROR(__xludf.DUMMYFUNCTION("IFERROR(VLOOKUP(C723,IMPORTRANGE(""https://docs.google.com/spreadsheets/d/10KlTSftfC81rs2H7Cf6EIR7VWS3omC-2kwzaThHv16k/edit#gid=0"",""NSE Input VaR+ELM!D:J""),7,0),100)"),20.48)</f>
        <v>20.48</v>
      </c>
      <c r="E723" s="7">
        <f t="shared" si="1"/>
        <v>79.52</v>
      </c>
      <c r="F723" s="9" t="s">
        <v>10</v>
      </c>
      <c r="G723" s="7"/>
    </row>
    <row r="724">
      <c r="A724" s="7">
        <v>718.0</v>
      </c>
      <c r="B724" s="8" t="s">
        <v>1444</v>
      </c>
      <c r="C724" s="8" t="s">
        <v>1445</v>
      </c>
      <c r="D724" s="8">
        <f>IFERROR(__xludf.DUMMYFUNCTION("IFERROR(VLOOKUP(C724,IMPORTRANGE(""https://docs.google.com/spreadsheets/d/10KlTSftfC81rs2H7Cf6EIR7VWS3omC-2kwzaThHv16k/edit#gid=0"",""NSE Input VaR+ELM!D:J""),7,0),100)"),18.38)</f>
        <v>18.38</v>
      </c>
      <c r="E724" s="7">
        <f t="shared" si="1"/>
        <v>81.62</v>
      </c>
      <c r="F724" s="9" t="s">
        <v>10</v>
      </c>
      <c r="G724" s="7"/>
    </row>
    <row r="725">
      <c r="A725" s="7">
        <v>719.0</v>
      </c>
      <c r="B725" s="8" t="s">
        <v>1446</v>
      </c>
      <c r="C725" s="8" t="s">
        <v>1447</v>
      </c>
      <c r="D725" s="8">
        <f>IFERROR(__xludf.DUMMYFUNCTION("IFERROR(VLOOKUP(C725,IMPORTRANGE(""https://docs.google.com/spreadsheets/d/10KlTSftfC81rs2H7Cf6EIR7VWS3omC-2kwzaThHv16k/edit#gid=0"",""NSE Input VaR+ELM!D:J""),7,0),100)"),21.1)</f>
        <v>21.1</v>
      </c>
      <c r="E725" s="7">
        <f t="shared" si="1"/>
        <v>78.9</v>
      </c>
      <c r="F725" s="9" t="s">
        <v>217</v>
      </c>
      <c r="G725" s="7"/>
    </row>
    <row r="726">
      <c r="A726" s="7">
        <v>720.0</v>
      </c>
      <c r="B726" s="8" t="s">
        <v>1448</v>
      </c>
      <c r="C726" s="8" t="s">
        <v>1449</v>
      </c>
      <c r="D726" s="8">
        <f>IFERROR(__xludf.DUMMYFUNCTION("IFERROR(VLOOKUP(C726,IMPORTRANGE(""https://docs.google.com/spreadsheets/d/10KlTSftfC81rs2H7Cf6EIR7VWS3omC-2kwzaThHv16k/edit#gid=0"",""NSE Input VaR+ELM!D:J""),7,0),100)"),25.81)</f>
        <v>25.81</v>
      </c>
      <c r="E726" s="7">
        <f t="shared" si="1"/>
        <v>74.19</v>
      </c>
      <c r="F726" s="9" t="s">
        <v>10</v>
      </c>
      <c r="G726" s="7"/>
    </row>
    <row r="727">
      <c r="A727" s="7">
        <v>721.0</v>
      </c>
      <c r="B727" s="8" t="s">
        <v>1450</v>
      </c>
      <c r="C727" s="8" t="s">
        <v>1451</v>
      </c>
      <c r="D727" s="8">
        <f>IFERROR(__xludf.DUMMYFUNCTION("IFERROR(VLOOKUP(C727,IMPORTRANGE(""https://docs.google.com/spreadsheets/d/10KlTSftfC81rs2H7Cf6EIR7VWS3omC-2kwzaThHv16k/edit#gid=0"",""NSE Input VaR+ELM!D:J""),7,0),100)"),19.46)</f>
        <v>19.46</v>
      </c>
      <c r="E727" s="7">
        <f t="shared" si="1"/>
        <v>80.54</v>
      </c>
      <c r="F727" s="9" t="s">
        <v>217</v>
      </c>
      <c r="G727" s="7"/>
    </row>
    <row r="728">
      <c r="A728" s="7">
        <v>722.0</v>
      </c>
      <c r="B728" s="8" t="s">
        <v>1452</v>
      </c>
      <c r="C728" s="8" t="s">
        <v>1453</v>
      </c>
      <c r="D728" s="8">
        <f>IFERROR(__xludf.DUMMYFUNCTION("IFERROR(VLOOKUP(C728,IMPORTRANGE(""https://docs.google.com/spreadsheets/d/10KlTSftfC81rs2H7Cf6EIR7VWS3omC-2kwzaThHv16k/edit#gid=0"",""NSE Input VaR+ELM!D:J""),7,0),100)"),20.38)</f>
        <v>20.38</v>
      </c>
      <c r="E728" s="7">
        <f t="shared" si="1"/>
        <v>79.62</v>
      </c>
      <c r="F728" s="9" t="s">
        <v>10</v>
      </c>
      <c r="G728" s="7"/>
    </row>
    <row r="729">
      <c r="A729" s="7">
        <v>723.0</v>
      </c>
      <c r="B729" s="8" t="s">
        <v>1454</v>
      </c>
      <c r="C729" s="8" t="s">
        <v>1455</v>
      </c>
      <c r="D729" s="8">
        <f>IFERROR(__xludf.DUMMYFUNCTION("IFERROR(VLOOKUP(C729,IMPORTRANGE(""https://docs.google.com/spreadsheets/d/10KlTSftfC81rs2H7Cf6EIR7VWS3omC-2kwzaThHv16k/edit#gid=0"",""NSE Input VaR+ELM!D:J""),7,0),100)"),22.01)</f>
        <v>22.01</v>
      </c>
      <c r="E729" s="7">
        <f t="shared" si="1"/>
        <v>77.99</v>
      </c>
      <c r="F729" s="9" t="s">
        <v>10</v>
      </c>
      <c r="G729" s="7"/>
    </row>
    <row r="730">
      <c r="A730" s="7">
        <v>724.0</v>
      </c>
      <c r="B730" s="8" t="s">
        <v>1456</v>
      </c>
      <c r="C730" s="8" t="s">
        <v>1457</v>
      </c>
      <c r="D730" s="8">
        <f>IFERROR(__xludf.DUMMYFUNCTION("IFERROR(VLOOKUP(C730,IMPORTRANGE(""https://docs.google.com/spreadsheets/d/10KlTSftfC81rs2H7Cf6EIR7VWS3omC-2kwzaThHv16k/edit#gid=0"",""NSE Input VaR+ELM!D:J""),7,0),100)"),50.0)</f>
        <v>50</v>
      </c>
      <c r="E730" s="7">
        <f t="shared" si="1"/>
        <v>50</v>
      </c>
      <c r="F730" s="9" t="s">
        <v>10</v>
      </c>
      <c r="G730" s="7"/>
    </row>
    <row r="731">
      <c r="A731" s="7">
        <v>725.0</v>
      </c>
      <c r="B731" s="8" t="s">
        <v>1458</v>
      </c>
      <c r="C731" s="8" t="s">
        <v>1459</v>
      </c>
      <c r="D731" s="8">
        <f>IFERROR(__xludf.DUMMYFUNCTION("IFERROR(VLOOKUP(C731,IMPORTRANGE(""https://docs.google.com/spreadsheets/d/10KlTSftfC81rs2H7Cf6EIR7VWS3omC-2kwzaThHv16k/edit#gid=0"",""NSE Input VaR+ELM!D:J""),7,0),100)"),26.42)</f>
        <v>26.42</v>
      </c>
      <c r="E731" s="7">
        <f t="shared" si="1"/>
        <v>73.58</v>
      </c>
      <c r="F731" s="9" t="s">
        <v>217</v>
      </c>
      <c r="G731" s="7"/>
    </row>
    <row r="732">
      <c r="A732" s="7">
        <v>726.0</v>
      </c>
      <c r="B732" s="8" t="s">
        <v>1460</v>
      </c>
      <c r="C732" s="8" t="s">
        <v>1461</v>
      </c>
      <c r="D732" s="8">
        <f>IFERROR(__xludf.DUMMYFUNCTION("IFERROR(VLOOKUP(C732,IMPORTRANGE(""https://docs.google.com/spreadsheets/d/10KlTSftfC81rs2H7Cf6EIR7VWS3omC-2kwzaThHv16k/edit#gid=0"",""NSE Input VaR+ELM!D:J""),7,0),100)"),19.97)</f>
        <v>19.97</v>
      </c>
      <c r="E732" s="7">
        <f t="shared" si="1"/>
        <v>80.03</v>
      </c>
      <c r="F732" s="9" t="s">
        <v>10</v>
      </c>
      <c r="G732" s="7"/>
    </row>
    <row r="733">
      <c r="A733" s="7">
        <v>727.0</v>
      </c>
      <c r="B733" s="8" t="s">
        <v>1462</v>
      </c>
      <c r="C733" s="8" t="s">
        <v>1463</v>
      </c>
      <c r="D733" s="8">
        <f>IFERROR(__xludf.DUMMYFUNCTION("IFERROR(VLOOKUP(C733,IMPORTRANGE(""https://docs.google.com/spreadsheets/d/10KlTSftfC81rs2H7Cf6EIR7VWS3omC-2kwzaThHv16k/edit#gid=0"",""NSE Input VaR+ELM!D:J""),7,0),100)"),19.21)</f>
        <v>19.21</v>
      </c>
      <c r="E733" s="7">
        <f t="shared" si="1"/>
        <v>80.79</v>
      </c>
      <c r="F733" s="9" t="s">
        <v>10</v>
      </c>
      <c r="G733" s="7"/>
    </row>
    <row r="734">
      <c r="A734" s="7">
        <v>728.0</v>
      </c>
      <c r="B734" s="8" t="s">
        <v>1464</v>
      </c>
      <c r="C734" s="8" t="s">
        <v>1465</v>
      </c>
      <c r="D734" s="8">
        <f>IFERROR(__xludf.DUMMYFUNCTION("IFERROR(VLOOKUP(C734,IMPORTRANGE(""https://docs.google.com/spreadsheets/d/10KlTSftfC81rs2H7Cf6EIR7VWS3omC-2kwzaThHv16k/edit#gid=0"",""NSE Input VaR+ELM!D:J""),7,0),100)"),24.59)</f>
        <v>24.59</v>
      </c>
      <c r="E734" s="7">
        <f t="shared" si="1"/>
        <v>75.41</v>
      </c>
      <c r="F734" s="9" t="s">
        <v>10</v>
      </c>
      <c r="G734" s="7"/>
    </row>
    <row r="735">
      <c r="A735" s="7">
        <v>729.0</v>
      </c>
      <c r="B735" s="8" t="s">
        <v>1466</v>
      </c>
      <c r="C735" s="8" t="s">
        <v>1467</v>
      </c>
      <c r="D735" s="8">
        <f>IFERROR(__xludf.DUMMYFUNCTION("IFERROR(VLOOKUP(C735,IMPORTRANGE(""https://docs.google.com/spreadsheets/d/10KlTSftfC81rs2H7Cf6EIR7VWS3omC-2kwzaThHv16k/edit#gid=0"",""NSE Input VaR+ELM!D:J""),7,0),100)"),21.28)</f>
        <v>21.28</v>
      </c>
      <c r="E735" s="7">
        <f t="shared" si="1"/>
        <v>78.72</v>
      </c>
      <c r="F735" s="9" t="s">
        <v>10</v>
      </c>
      <c r="G735" s="7"/>
    </row>
    <row r="736">
      <c r="A736" s="7">
        <v>730.0</v>
      </c>
      <c r="B736" s="8" t="s">
        <v>1468</v>
      </c>
      <c r="C736" s="8" t="s">
        <v>1469</v>
      </c>
      <c r="D736" s="8">
        <f>IFERROR(__xludf.DUMMYFUNCTION("IFERROR(VLOOKUP(C736,IMPORTRANGE(""https://docs.google.com/spreadsheets/d/10KlTSftfC81rs2H7Cf6EIR7VWS3omC-2kwzaThHv16k/edit#gid=0"",""NSE Input VaR+ELM!D:J""),7,0),100)"),20.72)</f>
        <v>20.72</v>
      </c>
      <c r="E736" s="7">
        <f t="shared" si="1"/>
        <v>79.28</v>
      </c>
      <c r="F736" s="9" t="s">
        <v>10</v>
      </c>
      <c r="G736" s="7"/>
    </row>
    <row r="737">
      <c r="A737" s="7">
        <v>731.0</v>
      </c>
      <c r="B737" s="8" t="s">
        <v>1470</v>
      </c>
      <c r="C737" s="8" t="s">
        <v>1471</v>
      </c>
      <c r="D737" s="8">
        <f>IFERROR(__xludf.DUMMYFUNCTION("IFERROR(VLOOKUP(C737,IMPORTRANGE(""https://docs.google.com/spreadsheets/d/10KlTSftfC81rs2H7Cf6EIR7VWS3omC-2kwzaThHv16k/edit#gid=0"",""NSE Input VaR+ELM!D:J""),7,0),100)"),20.39)</f>
        <v>20.39</v>
      </c>
      <c r="E737" s="7">
        <f t="shared" si="1"/>
        <v>79.61</v>
      </c>
      <c r="F737" s="9" t="s">
        <v>10</v>
      </c>
      <c r="G737" s="7"/>
    </row>
    <row r="738">
      <c r="A738" s="7">
        <v>732.0</v>
      </c>
      <c r="B738" s="8" t="s">
        <v>1472</v>
      </c>
      <c r="C738" s="8" t="s">
        <v>1473</v>
      </c>
      <c r="D738" s="8">
        <f>IFERROR(__xludf.DUMMYFUNCTION("IFERROR(VLOOKUP(C738,IMPORTRANGE(""https://docs.google.com/spreadsheets/d/10KlTSftfC81rs2H7Cf6EIR7VWS3omC-2kwzaThHv16k/edit#gid=0"",""NSE Input VaR+ELM!D:J""),7,0),100)"),29.93)</f>
        <v>29.93</v>
      </c>
      <c r="E738" s="7">
        <f t="shared" si="1"/>
        <v>70.07</v>
      </c>
      <c r="F738" s="9" t="s">
        <v>217</v>
      </c>
      <c r="G738" s="7"/>
    </row>
    <row r="739">
      <c r="A739" s="7">
        <v>733.0</v>
      </c>
      <c r="B739" s="8" t="s">
        <v>1474</v>
      </c>
      <c r="C739" s="8" t="s">
        <v>1475</v>
      </c>
      <c r="D739" s="8">
        <f>IFERROR(__xludf.DUMMYFUNCTION("IFERROR(VLOOKUP(C739,IMPORTRANGE(""https://docs.google.com/spreadsheets/d/10KlTSftfC81rs2H7Cf6EIR7VWS3omC-2kwzaThHv16k/edit#gid=0"",""NSE Input VaR+ELM!D:J""),7,0),100)"),26.44)</f>
        <v>26.44</v>
      </c>
      <c r="E739" s="7">
        <f t="shared" si="1"/>
        <v>73.56</v>
      </c>
      <c r="F739" s="9" t="s">
        <v>217</v>
      </c>
      <c r="G739" s="7"/>
    </row>
    <row r="740">
      <c r="A740" s="7">
        <v>734.0</v>
      </c>
      <c r="B740" s="8" t="s">
        <v>1476</v>
      </c>
      <c r="C740" s="8" t="s">
        <v>1477</v>
      </c>
      <c r="D740" s="8">
        <f>IFERROR(__xludf.DUMMYFUNCTION("IFERROR(VLOOKUP(C740,IMPORTRANGE(""https://docs.google.com/spreadsheets/d/10KlTSftfC81rs2H7Cf6EIR7VWS3omC-2kwzaThHv16k/edit#gid=0"",""NSE Input VaR+ELM!D:J""),7,0),100)"),30.23)</f>
        <v>30.23</v>
      </c>
      <c r="E740" s="7">
        <f t="shared" si="1"/>
        <v>69.77</v>
      </c>
      <c r="F740" s="9" t="s">
        <v>10</v>
      </c>
      <c r="G740" s="7"/>
    </row>
    <row r="741">
      <c r="A741" s="7">
        <v>735.0</v>
      </c>
      <c r="B741" s="8" t="s">
        <v>1478</v>
      </c>
      <c r="C741" s="8" t="s">
        <v>1479</v>
      </c>
      <c r="D741" s="8">
        <f>IFERROR(__xludf.DUMMYFUNCTION("IFERROR(VLOOKUP(C741,IMPORTRANGE(""https://docs.google.com/spreadsheets/d/10KlTSftfC81rs2H7Cf6EIR7VWS3omC-2kwzaThHv16k/edit#gid=0"",""NSE Input VaR+ELM!D:J""),7,0),100)"),29.69)</f>
        <v>29.69</v>
      </c>
      <c r="E741" s="7">
        <f t="shared" si="1"/>
        <v>70.31</v>
      </c>
      <c r="F741" s="9" t="s">
        <v>10</v>
      </c>
      <c r="G741" s="7"/>
    </row>
    <row r="742">
      <c r="A742" s="7">
        <v>736.0</v>
      </c>
      <c r="B742" s="8" t="s">
        <v>1480</v>
      </c>
      <c r="C742" s="8" t="s">
        <v>1481</v>
      </c>
      <c r="D742" s="8">
        <f>IFERROR(__xludf.DUMMYFUNCTION("IFERROR(VLOOKUP(C742,IMPORTRANGE(""https://docs.google.com/spreadsheets/d/10KlTSftfC81rs2H7Cf6EIR7VWS3omC-2kwzaThHv16k/edit#gid=0"",""NSE Input VaR+ELM!D:J""),7,0),100)"),20.21)</f>
        <v>20.21</v>
      </c>
      <c r="E742" s="7">
        <f t="shared" si="1"/>
        <v>79.79</v>
      </c>
      <c r="F742" s="9" t="s">
        <v>10</v>
      </c>
      <c r="G742" s="7"/>
    </row>
    <row r="743">
      <c r="A743" s="7">
        <v>737.0</v>
      </c>
      <c r="B743" s="8" t="s">
        <v>1482</v>
      </c>
      <c r="C743" s="8" t="s">
        <v>1483</v>
      </c>
      <c r="D743" s="8">
        <f>IFERROR(__xludf.DUMMYFUNCTION("IFERROR(VLOOKUP(C743,IMPORTRANGE(""https://docs.google.com/spreadsheets/d/10KlTSftfC81rs2H7Cf6EIR7VWS3omC-2kwzaThHv16k/edit#gid=0"",""NSE Input VaR+ELM!D:J""),7,0),100)"),20.17)</f>
        <v>20.17</v>
      </c>
      <c r="E743" s="7">
        <f t="shared" si="1"/>
        <v>79.83</v>
      </c>
      <c r="F743" s="9" t="s">
        <v>10</v>
      </c>
      <c r="G743" s="7"/>
    </row>
    <row r="744">
      <c r="A744" s="7">
        <v>738.0</v>
      </c>
      <c r="B744" s="8" t="s">
        <v>1484</v>
      </c>
      <c r="C744" s="8" t="s">
        <v>1485</v>
      </c>
      <c r="D744" s="8">
        <f>IFERROR(__xludf.DUMMYFUNCTION("IFERROR(VLOOKUP(C744,IMPORTRANGE(""https://docs.google.com/spreadsheets/d/10KlTSftfC81rs2H7Cf6EIR7VWS3omC-2kwzaThHv16k/edit#gid=0"",""NSE Input VaR+ELM!D:J""),7,0),100)"),26.01)</f>
        <v>26.01</v>
      </c>
      <c r="E744" s="7">
        <f t="shared" si="1"/>
        <v>73.99</v>
      </c>
      <c r="F744" s="9" t="s">
        <v>10</v>
      </c>
      <c r="G744" s="7"/>
    </row>
    <row r="745">
      <c r="A745" s="7">
        <v>739.0</v>
      </c>
      <c r="B745" s="8" t="s">
        <v>1486</v>
      </c>
      <c r="C745" s="8" t="s">
        <v>1487</v>
      </c>
      <c r="D745" s="8">
        <f>IFERROR(__xludf.DUMMYFUNCTION("IFERROR(VLOOKUP(C745,IMPORTRANGE(""https://docs.google.com/spreadsheets/d/10KlTSftfC81rs2H7Cf6EIR7VWS3omC-2kwzaThHv16k/edit#gid=0"",""NSE Input VaR+ELM!D:J""),7,0),100)"),21.39)</f>
        <v>21.39</v>
      </c>
      <c r="E745" s="7">
        <f t="shared" si="1"/>
        <v>78.61</v>
      </c>
      <c r="F745" s="9" t="s">
        <v>10</v>
      </c>
      <c r="G745" s="7"/>
    </row>
    <row r="746">
      <c r="A746" s="7">
        <v>740.0</v>
      </c>
      <c r="B746" s="8" t="s">
        <v>1488</v>
      </c>
      <c r="C746" s="8" t="s">
        <v>1489</v>
      </c>
      <c r="D746" s="8">
        <f>IFERROR(__xludf.DUMMYFUNCTION("IFERROR(VLOOKUP(C746,IMPORTRANGE(""https://docs.google.com/spreadsheets/d/10KlTSftfC81rs2H7Cf6EIR7VWS3omC-2kwzaThHv16k/edit#gid=0"",""NSE Input VaR+ELM!D:J""),7,0),100)"),22.04)</f>
        <v>22.04</v>
      </c>
      <c r="E746" s="7">
        <f t="shared" si="1"/>
        <v>77.96</v>
      </c>
      <c r="F746" s="9" t="s">
        <v>10</v>
      </c>
      <c r="G746" s="7"/>
    </row>
    <row r="747">
      <c r="A747" s="7">
        <v>741.0</v>
      </c>
      <c r="B747" s="8" t="s">
        <v>1490</v>
      </c>
      <c r="C747" s="8" t="s">
        <v>1491</v>
      </c>
      <c r="D747" s="8">
        <f>IFERROR(__xludf.DUMMYFUNCTION("IFERROR(VLOOKUP(C747,IMPORTRANGE(""https://docs.google.com/spreadsheets/d/10KlTSftfC81rs2H7Cf6EIR7VWS3omC-2kwzaThHv16k/edit#gid=0"",""NSE Input VaR+ELM!D:J""),7,0),100)"),20.55)</f>
        <v>20.55</v>
      </c>
      <c r="E747" s="7">
        <f t="shared" si="1"/>
        <v>79.45</v>
      </c>
      <c r="F747" s="9" t="s">
        <v>10</v>
      </c>
      <c r="G747" s="7"/>
    </row>
    <row r="748">
      <c r="A748" s="7">
        <v>742.0</v>
      </c>
      <c r="B748" s="8" t="s">
        <v>1492</v>
      </c>
      <c r="C748" s="8" t="s">
        <v>1493</v>
      </c>
      <c r="D748" s="8">
        <f>IFERROR(__xludf.DUMMYFUNCTION("IFERROR(VLOOKUP(C748,IMPORTRANGE(""https://docs.google.com/spreadsheets/d/10KlTSftfC81rs2H7Cf6EIR7VWS3omC-2kwzaThHv16k/edit#gid=0"",""NSE Input VaR+ELM!D:J""),7,0),100)"),16.35)</f>
        <v>16.35</v>
      </c>
      <c r="E748" s="7">
        <f t="shared" si="1"/>
        <v>83.65</v>
      </c>
      <c r="F748" s="9" t="s">
        <v>217</v>
      </c>
      <c r="G748" s="7"/>
    </row>
    <row r="749">
      <c r="A749" s="7">
        <v>743.0</v>
      </c>
      <c r="B749" s="8" t="s">
        <v>1494</v>
      </c>
      <c r="C749" s="8" t="s">
        <v>1495</v>
      </c>
      <c r="D749" s="8">
        <f>IFERROR(__xludf.DUMMYFUNCTION("IFERROR(VLOOKUP(C749,IMPORTRANGE(""https://docs.google.com/spreadsheets/d/10KlTSftfC81rs2H7Cf6EIR7VWS3omC-2kwzaThHv16k/edit#gid=0"",""NSE Input VaR+ELM!D:J""),7,0),100)"),18.55)</f>
        <v>18.55</v>
      </c>
      <c r="E749" s="7">
        <f t="shared" si="1"/>
        <v>81.45</v>
      </c>
      <c r="F749" s="9" t="s">
        <v>10</v>
      </c>
      <c r="G749" s="7"/>
    </row>
    <row r="750">
      <c r="A750" s="7">
        <v>744.0</v>
      </c>
      <c r="B750" s="8" t="s">
        <v>1496</v>
      </c>
      <c r="C750" s="8" t="s">
        <v>1497</v>
      </c>
      <c r="D750" s="8">
        <f>IFERROR(__xludf.DUMMYFUNCTION("IFERROR(VLOOKUP(C750,IMPORTRANGE(""https://docs.google.com/spreadsheets/d/10KlTSftfC81rs2H7Cf6EIR7VWS3omC-2kwzaThHv16k/edit#gid=0"",""NSE Input VaR+ELM!D:J""),7,0),100)"),24.15)</f>
        <v>24.15</v>
      </c>
      <c r="E750" s="7">
        <f t="shared" si="1"/>
        <v>75.85</v>
      </c>
      <c r="F750" s="9" t="s">
        <v>10</v>
      </c>
      <c r="G750" s="7"/>
    </row>
    <row r="751">
      <c r="A751" s="7">
        <v>745.0</v>
      </c>
      <c r="B751" s="8" t="s">
        <v>1498</v>
      </c>
      <c r="C751" s="8" t="s">
        <v>1499</v>
      </c>
      <c r="D751" s="8">
        <f>IFERROR(__xludf.DUMMYFUNCTION("IFERROR(VLOOKUP(C751,IMPORTRANGE(""https://docs.google.com/spreadsheets/d/10KlTSftfC81rs2H7Cf6EIR7VWS3omC-2kwzaThHv16k/edit#gid=0"",""NSE Input VaR+ELM!D:J""),7,0),100)"),25.62)</f>
        <v>25.62</v>
      </c>
      <c r="E751" s="7">
        <f t="shared" si="1"/>
        <v>74.38</v>
      </c>
      <c r="F751" s="9" t="s">
        <v>10</v>
      </c>
      <c r="G751" s="7"/>
    </row>
    <row r="752">
      <c r="A752" s="7">
        <v>746.0</v>
      </c>
      <c r="B752" s="8" t="s">
        <v>1500</v>
      </c>
      <c r="C752" s="8" t="s">
        <v>1501</v>
      </c>
      <c r="D752" s="8">
        <f>IFERROR(__xludf.DUMMYFUNCTION("IFERROR(VLOOKUP(C752,IMPORTRANGE(""https://docs.google.com/spreadsheets/d/10KlTSftfC81rs2H7Cf6EIR7VWS3omC-2kwzaThHv16k/edit#gid=0"",""NSE Input VaR+ELM!D:J""),7,0),100)"),30.49)</f>
        <v>30.49</v>
      </c>
      <c r="E752" s="7">
        <f t="shared" si="1"/>
        <v>69.51</v>
      </c>
      <c r="F752" s="9" t="s">
        <v>10</v>
      </c>
      <c r="G752" s="7"/>
    </row>
    <row r="753">
      <c r="A753" s="7">
        <v>747.0</v>
      </c>
      <c r="B753" s="8" t="s">
        <v>1502</v>
      </c>
      <c r="C753" s="8" t="s">
        <v>1503</v>
      </c>
      <c r="D753" s="8">
        <f>IFERROR(__xludf.DUMMYFUNCTION("IFERROR(VLOOKUP(C753,IMPORTRANGE(""https://docs.google.com/spreadsheets/d/10KlTSftfC81rs2H7Cf6EIR7VWS3omC-2kwzaThHv16k/edit#gid=0"",""NSE Input VaR+ELM!D:J""),7,0),100)"),24.56)</f>
        <v>24.56</v>
      </c>
      <c r="E753" s="7">
        <f t="shared" si="1"/>
        <v>75.44</v>
      </c>
      <c r="F753" s="9" t="s">
        <v>10</v>
      </c>
      <c r="G753" s="7"/>
    </row>
    <row r="754">
      <c r="A754" s="7">
        <v>748.0</v>
      </c>
      <c r="B754" s="8" t="s">
        <v>1504</v>
      </c>
      <c r="C754" s="8" t="s">
        <v>1505</v>
      </c>
      <c r="D754" s="8">
        <f>IFERROR(__xludf.DUMMYFUNCTION("IFERROR(VLOOKUP(C754,IMPORTRANGE(""https://docs.google.com/spreadsheets/d/10KlTSftfC81rs2H7Cf6EIR7VWS3omC-2kwzaThHv16k/edit#gid=0"",""NSE Input VaR+ELM!D:J""),7,0),100)"),20.9)</f>
        <v>20.9</v>
      </c>
      <c r="E754" s="7">
        <f t="shared" si="1"/>
        <v>79.1</v>
      </c>
      <c r="F754" s="9" t="s">
        <v>10</v>
      </c>
      <c r="G754" s="7"/>
    </row>
    <row r="755">
      <c r="A755" s="7">
        <v>749.0</v>
      </c>
      <c r="B755" s="10" t="s">
        <v>1506</v>
      </c>
      <c r="C755" s="10" t="s">
        <v>1507</v>
      </c>
      <c r="D755" s="8">
        <f>IFERROR(__xludf.DUMMYFUNCTION("IFERROR(VLOOKUP(C755,IMPORTRANGE(""https://docs.google.com/spreadsheets/d/10KlTSftfC81rs2H7Cf6EIR7VWS3omC-2kwzaThHv16k/edit#gid=0"",""NSE Input VaR+ELM!D:J""),7,0),100)"),24.66)</f>
        <v>24.66</v>
      </c>
      <c r="E755" s="7">
        <f t="shared" si="1"/>
        <v>75.34</v>
      </c>
      <c r="F755" s="9" t="s">
        <v>10</v>
      </c>
    </row>
    <row r="756">
      <c r="A756" s="7">
        <v>750.0</v>
      </c>
      <c r="B756" s="10" t="s">
        <v>1508</v>
      </c>
      <c r="C756" s="10" t="s">
        <v>1509</v>
      </c>
      <c r="D756" s="8">
        <f>IFERROR(__xludf.DUMMYFUNCTION("IFERROR(VLOOKUP(C756,IMPORTRANGE(""https://docs.google.com/spreadsheets/d/10KlTSftfC81rs2H7Cf6EIR7VWS3omC-2kwzaThHv16k/edit#gid=0"",""NSE Input VaR+ELM!D:J""),7,0),100)"),35.0)</f>
        <v>35</v>
      </c>
      <c r="E756" s="7">
        <f t="shared" si="1"/>
        <v>65</v>
      </c>
      <c r="F756" s="9" t="s">
        <v>10</v>
      </c>
    </row>
    <row r="757">
      <c r="A757" s="7">
        <v>751.0</v>
      </c>
      <c r="B757" s="10" t="s">
        <v>1510</v>
      </c>
      <c r="C757" s="10" t="s">
        <v>1511</v>
      </c>
      <c r="D757" s="8">
        <f>IFERROR(__xludf.DUMMYFUNCTION("IFERROR(VLOOKUP(C757,IMPORTRANGE(""https://docs.google.com/spreadsheets/d/10KlTSftfC81rs2H7Cf6EIR7VWS3omC-2kwzaThHv16k/edit#gid=0"",""NSE Input VaR+ELM!D:J""),7,0),100)"),20.37)</f>
        <v>20.37</v>
      </c>
      <c r="E757" s="7">
        <f t="shared" si="1"/>
        <v>79.63</v>
      </c>
      <c r="F757" s="9" t="s">
        <v>217</v>
      </c>
    </row>
    <row r="758">
      <c r="A758" s="7">
        <v>752.0</v>
      </c>
      <c r="B758" s="10" t="s">
        <v>1512</v>
      </c>
      <c r="C758" s="10" t="s">
        <v>1513</v>
      </c>
      <c r="D758" s="8">
        <f>IFERROR(__xludf.DUMMYFUNCTION("IFERROR(VLOOKUP(C758,IMPORTRANGE(""https://docs.google.com/spreadsheets/d/10KlTSftfC81rs2H7Cf6EIR7VWS3omC-2kwzaThHv16k/edit#gid=0"",""NSE Input VaR+ELM!D:J""),7,0),100)"),23.75)</f>
        <v>23.75</v>
      </c>
      <c r="E758" s="7">
        <f t="shared" si="1"/>
        <v>76.25</v>
      </c>
      <c r="F758" s="9" t="s">
        <v>10</v>
      </c>
    </row>
    <row r="759">
      <c r="A759" s="7">
        <v>753.0</v>
      </c>
      <c r="B759" s="10" t="s">
        <v>1514</v>
      </c>
      <c r="C759" s="10" t="s">
        <v>1515</v>
      </c>
      <c r="D759" s="8">
        <f>IFERROR(__xludf.DUMMYFUNCTION("IFERROR(VLOOKUP(C759,IMPORTRANGE(""https://docs.google.com/spreadsheets/d/10KlTSftfC81rs2H7Cf6EIR7VWS3omC-2kwzaThHv16k/edit#gid=0"",""NSE Input VaR+ELM!D:J""),7,0),100)"),24.76)</f>
        <v>24.76</v>
      </c>
      <c r="E759" s="7">
        <f t="shared" si="1"/>
        <v>75.24</v>
      </c>
      <c r="F759" s="9" t="s">
        <v>10</v>
      </c>
    </row>
    <row r="760">
      <c r="A760" s="7">
        <v>754.0</v>
      </c>
      <c r="B760" s="10" t="s">
        <v>1516</v>
      </c>
      <c r="C760" s="10" t="s">
        <v>1517</v>
      </c>
      <c r="D760" s="8">
        <f>IFERROR(__xludf.DUMMYFUNCTION("IFERROR(VLOOKUP(C760,IMPORTRANGE(""https://docs.google.com/spreadsheets/d/10KlTSftfC81rs2H7Cf6EIR7VWS3omC-2kwzaThHv16k/edit#gid=0"",""NSE Input VaR+ELM!D:J""),7,0),100)"),12.96)</f>
        <v>12.96</v>
      </c>
      <c r="E760" s="7">
        <f t="shared" si="1"/>
        <v>87.04</v>
      </c>
      <c r="F760" s="9" t="s">
        <v>10</v>
      </c>
    </row>
    <row r="761">
      <c r="A761" s="7">
        <v>755.0</v>
      </c>
      <c r="B761" s="10" t="s">
        <v>1518</v>
      </c>
      <c r="C761" s="10" t="s">
        <v>1519</v>
      </c>
      <c r="D761" s="8">
        <f>IFERROR(__xludf.DUMMYFUNCTION("IFERROR(VLOOKUP(C761,IMPORTRANGE(""https://docs.google.com/spreadsheets/d/10KlTSftfC81rs2H7Cf6EIR7VWS3omC-2kwzaThHv16k/edit#gid=0"",""NSE Input VaR+ELM!D:J""),7,0),100)"),22.33)</f>
        <v>22.33</v>
      </c>
      <c r="E761" s="7">
        <f t="shared" si="1"/>
        <v>77.67</v>
      </c>
      <c r="F761" s="9" t="s">
        <v>217</v>
      </c>
    </row>
    <row r="762">
      <c r="A762" s="7">
        <v>756.0</v>
      </c>
      <c r="B762" s="10" t="s">
        <v>1520</v>
      </c>
      <c r="C762" s="10" t="s">
        <v>1521</v>
      </c>
      <c r="D762" s="8">
        <f>IFERROR(__xludf.DUMMYFUNCTION("IFERROR(VLOOKUP(C762,IMPORTRANGE(""https://docs.google.com/spreadsheets/d/10KlTSftfC81rs2H7Cf6EIR7VWS3omC-2kwzaThHv16k/edit#gid=0"",""NSE Input VaR+ELM!D:J""),7,0),100)"),15.13)</f>
        <v>15.13</v>
      </c>
      <c r="E762" s="7">
        <f t="shared" si="1"/>
        <v>84.87</v>
      </c>
      <c r="F762" s="9" t="s">
        <v>10</v>
      </c>
    </row>
    <row r="763">
      <c r="A763" s="7">
        <v>757.0</v>
      </c>
      <c r="B763" s="10" t="s">
        <v>1522</v>
      </c>
      <c r="C763" s="10" t="s">
        <v>1523</v>
      </c>
      <c r="D763" s="8">
        <f>IFERROR(__xludf.DUMMYFUNCTION("IFERROR(VLOOKUP(C763,IMPORTRANGE(""https://docs.google.com/spreadsheets/d/10KlTSftfC81rs2H7Cf6EIR7VWS3omC-2kwzaThHv16k/edit#gid=0"",""NSE Input VaR+ELM!D:J""),7,0),100)"),17.56)</f>
        <v>17.56</v>
      </c>
      <c r="E763" s="7">
        <f t="shared" si="1"/>
        <v>82.44</v>
      </c>
      <c r="F763" s="9" t="s">
        <v>10</v>
      </c>
    </row>
    <row r="764">
      <c r="A764" s="7">
        <v>758.0</v>
      </c>
      <c r="B764" s="10" t="s">
        <v>1524</v>
      </c>
      <c r="C764" s="10" t="s">
        <v>1525</v>
      </c>
      <c r="D764" s="8">
        <f>IFERROR(__xludf.DUMMYFUNCTION("IFERROR(VLOOKUP(C764,IMPORTRANGE(""https://docs.google.com/spreadsheets/d/10KlTSftfC81rs2H7Cf6EIR7VWS3omC-2kwzaThHv16k/edit#gid=0"",""NSE Input VaR+ELM!D:J""),7,0),100)"),100.0)</f>
        <v>100</v>
      </c>
      <c r="E764" s="7">
        <f t="shared" si="1"/>
        <v>0</v>
      </c>
      <c r="F764" s="9" t="s">
        <v>10</v>
      </c>
    </row>
    <row r="765">
      <c r="A765" s="7">
        <v>759.0</v>
      </c>
      <c r="B765" s="10" t="s">
        <v>1526</v>
      </c>
      <c r="C765" s="10" t="s">
        <v>1527</v>
      </c>
      <c r="D765" s="8">
        <f>IFERROR(__xludf.DUMMYFUNCTION("IFERROR(VLOOKUP(C765,IMPORTRANGE(""https://docs.google.com/spreadsheets/d/10KlTSftfC81rs2H7Cf6EIR7VWS3omC-2kwzaThHv16k/edit#gid=0"",""NSE Input VaR+ELM!D:J""),7,0),100)"),24.41)</f>
        <v>24.41</v>
      </c>
      <c r="E765" s="7">
        <f t="shared" si="1"/>
        <v>75.59</v>
      </c>
      <c r="F765" s="9" t="s">
        <v>217</v>
      </c>
    </row>
    <row r="766">
      <c r="A766" s="7">
        <v>760.0</v>
      </c>
      <c r="B766" s="10" t="s">
        <v>1528</v>
      </c>
      <c r="C766" s="10" t="s">
        <v>1529</v>
      </c>
      <c r="D766" s="8">
        <f>IFERROR(__xludf.DUMMYFUNCTION("IFERROR(VLOOKUP(C766,IMPORTRANGE(""https://docs.google.com/spreadsheets/d/10KlTSftfC81rs2H7Cf6EIR7VWS3omC-2kwzaThHv16k/edit#gid=0"",""NSE Input VaR+ELM!D:J""),7,0),100)"),23.0)</f>
        <v>23</v>
      </c>
      <c r="E766" s="7">
        <f t="shared" si="1"/>
        <v>77</v>
      </c>
      <c r="F766" s="9" t="s">
        <v>10</v>
      </c>
    </row>
    <row r="767">
      <c r="A767" s="7">
        <v>761.0</v>
      </c>
      <c r="B767" s="10" t="s">
        <v>1530</v>
      </c>
      <c r="C767" s="10" t="s">
        <v>1531</v>
      </c>
      <c r="D767" s="8">
        <f>IFERROR(__xludf.DUMMYFUNCTION("IFERROR(VLOOKUP(C767,IMPORTRANGE(""https://docs.google.com/spreadsheets/d/10KlTSftfC81rs2H7Cf6EIR7VWS3omC-2kwzaThHv16k/edit#gid=0"",""NSE Input VaR+ELM!D:J""),7,0),100)"),22.19)</f>
        <v>22.19</v>
      </c>
      <c r="E767" s="7">
        <f t="shared" si="1"/>
        <v>77.81</v>
      </c>
      <c r="F767" s="9" t="s">
        <v>10</v>
      </c>
    </row>
    <row r="768">
      <c r="A768" s="7">
        <v>762.0</v>
      </c>
      <c r="B768" s="10" t="s">
        <v>1532</v>
      </c>
      <c r="C768" s="10" t="s">
        <v>1533</v>
      </c>
      <c r="D768" s="8">
        <f>IFERROR(__xludf.DUMMYFUNCTION("IFERROR(VLOOKUP(C768,IMPORTRANGE(""https://docs.google.com/spreadsheets/d/10KlTSftfC81rs2H7Cf6EIR7VWS3omC-2kwzaThHv16k/edit#gid=0"",""NSE Input VaR+ELM!D:J""),7,0),100)"),22.8)</f>
        <v>22.8</v>
      </c>
      <c r="E768" s="7">
        <f t="shared" si="1"/>
        <v>77.2</v>
      </c>
      <c r="F768" s="9" t="s">
        <v>10</v>
      </c>
    </row>
    <row r="769">
      <c r="A769" s="7">
        <v>763.0</v>
      </c>
      <c r="B769" s="10" t="s">
        <v>1534</v>
      </c>
      <c r="C769" s="10" t="s">
        <v>1535</v>
      </c>
      <c r="D769" s="8">
        <f>IFERROR(__xludf.DUMMYFUNCTION("IFERROR(VLOOKUP(C769,IMPORTRANGE(""https://docs.google.com/spreadsheets/d/10KlTSftfC81rs2H7Cf6EIR7VWS3omC-2kwzaThHv16k/edit#gid=0"",""NSE Input VaR+ELM!D:J""),7,0),100)"),20.24)</f>
        <v>20.24</v>
      </c>
      <c r="E769" s="7">
        <f t="shared" si="1"/>
        <v>79.76</v>
      </c>
      <c r="F769" s="9" t="s">
        <v>10</v>
      </c>
    </row>
    <row r="770">
      <c r="A770" s="7">
        <v>764.0</v>
      </c>
      <c r="B770" s="10" t="s">
        <v>1536</v>
      </c>
      <c r="C770" s="10" t="s">
        <v>1537</v>
      </c>
      <c r="D770" s="8">
        <f>IFERROR(__xludf.DUMMYFUNCTION("IFERROR(VLOOKUP(C770,IMPORTRANGE(""https://docs.google.com/spreadsheets/d/10KlTSftfC81rs2H7Cf6EIR7VWS3omC-2kwzaThHv16k/edit#gid=0"",""NSE Input VaR+ELM!D:J""),7,0),100)"),29.54)</f>
        <v>29.54</v>
      </c>
      <c r="E770" s="7">
        <f t="shared" si="1"/>
        <v>70.46</v>
      </c>
      <c r="F770" s="9" t="s">
        <v>10</v>
      </c>
    </row>
    <row r="771">
      <c r="A771" s="7">
        <v>765.0</v>
      </c>
      <c r="B771" s="10" t="s">
        <v>1538</v>
      </c>
      <c r="C771" s="10" t="s">
        <v>1539</v>
      </c>
      <c r="D771" s="8">
        <f>IFERROR(__xludf.DUMMYFUNCTION("IFERROR(VLOOKUP(C771,IMPORTRANGE(""https://docs.google.com/spreadsheets/d/10KlTSftfC81rs2H7Cf6EIR7VWS3omC-2kwzaThHv16k/edit#gid=0"",""NSE Input VaR+ELM!D:J""),7,0),100)"),18.43)</f>
        <v>18.43</v>
      </c>
      <c r="E771" s="7">
        <f t="shared" si="1"/>
        <v>81.57</v>
      </c>
      <c r="F771" s="9" t="s">
        <v>10</v>
      </c>
    </row>
    <row r="772">
      <c r="A772" s="7">
        <v>766.0</v>
      </c>
      <c r="B772" s="10" t="s">
        <v>1540</v>
      </c>
      <c r="C772" s="10" t="s">
        <v>1541</v>
      </c>
      <c r="D772" s="8">
        <f>IFERROR(__xludf.DUMMYFUNCTION("IFERROR(VLOOKUP(C772,IMPORTRANGE(""https://docs.google.com/spreadsheets/d/10KlTSftfC81rs2H7Cf6EIR7VWS3omC-2kwzaThHv16k/edit#gid=0"",""NSE Input VaR+ELM!D:J""),7,0),100)"),100.0)</f>
        <v>100</v>
      </c>
      <c r="E772" s="7">
        <f t="shared" si="1"/>
        <v>0</v>
      </c>
      <c r="F772" s="9" t="s">
        <v>10</v>
      </c>
    </row>
    <row r="773">
      <c r="A773" s="7">
        <v>767.0</v>
      </c>
      <c r="B773" s="10" t="s">
        <v>1542</v>
      </c>
      <c r="C773" s="10" t="s">
        <v>1543</v>
      </c>
      <c r="D773" s="8">
        <f>IFERROR(__xludf.DUMMYFUNCTION("IFERROR(VLOOKUP(C773,IMPORTRANGE(""https://docs.google.com/spreadsheets/d/10KlTSftfC81rs2H7Cf6EIR7VWS3omC-2kwzaThHv16k/edit#gid=0"",""NSE Input VaR+ELM!D:J""),7,0),100)"),23.93)</f>
        <v>23.93</v>
      </c>
      <c r="E773" s="7">
        <f t="shared" si="1"/>
        <v>76.07</v>
      </c>
      <c r="F773" s="9" t="s">
        <v>10</v>
      </c>
    </row>
    <row r="774">
      <c r="A774" s="7">
        <v>768.0</v>
      </c>
      <c r="B774" s="10" t="s">
        <v>1544</v>
      </c>
      <c r="C774" s="10" t="s">
        <v>1545</v>
      </c>
      <c r="D774" s="8">
        <f>IFERROR(__xludf.DUMMYFUNCTION("IFERROR(VLOOKUP(C774,IMPORTRANGE(""https://docs.google.com/spreadsheets/d/10KlTSftfC81rs2H7Cf6EIR7VWS3omC-2kwzaThHv16k/edit#gid=0"",""NSE Input VaR+ELM!D:J""),7,0),100)"),21.31)</f>
        <v>21.31</v>
      </c>
      <c r="E774" s="7">
        <f t="shared" si="1"/>
        <v>78.69</v>
      </c>
      <c r="F774" s="9" t="s">
        <v>10</v>
      </c>
    </row>
    <row r="775">
      <c r="A775" s="7">
        <v>769.0</v>
      </c>
      <c r="B775" s="10" t="s">
        <v>1546</v>
      </c>
      <c r="C775" s="10" t="s">
        <v>1547</v>
      </c>
      <c r="D775" s="8">
        <f>IFERROR(__xludf.DUMMYFUNCTION("IFERROR(VLOOKUP(C775,IMPORTRANGE(""https://docs.google.com/spreadsheets/d/10KlTSftfC81rs2H7Cf6EIR7VWS3omC-2kwzaThHv16k/edit#gid=0"",""NSE Input VaR+ELM!D:J""),7,0),100)"),19.84)</f>
        <v>19.84</v>
      </c>
      <c r="E775" s="7">
        <f t="shared" si="1"/>
        <v>80.16</v>
      </c>
      <c r="F775" s="9" t="s">
        <v>217</v>
      </c>
    </row>
    <row r="776">
      <c r="A776" s="7">
        <v>770.0</v>
      </c>
      <c r="B776" s="10" t="s">
        <v>1548</v>
      </c>
      <c r="C776" s="10" t="s">
        <v>1549</v>
      </c>
      <c r="D776" s="8">
        <f>IFERROR(__xludf.DUMMYFUNCTION("IFERROR(VLOOKUP(C776,IMPORTRANGE(""https://docs.google.com/spreadsheets/d/10KlTSftfC81rs2H7Cf6EIR7VWS3omC-2kwzaThHv16k/edit#gid=0"",""NSE Input VaR+ELM!D:J""),7,0),100)"),21.35)</f>
        <v>21.35</v>
      </c>
      <c r="E776" s="7">
        <f t="shared" si="1"/>
        <v>78.65</v>
      </c>
      <c r="F776" s="9" t="s">
        <v>10</v>
      </c>
    </row>
    <row r="777">
      <c r="A777" s="7">
        <v>771.0</v>
      </c>
      <c r="B777" s="10" t="s">
        <v>1550</v>
      </c>
      <c r="C777" s="10" t="s">
        <v>1551</v>
      </c>
      <c r="D777" s="8">
        <f>IFERROR(__xludf.DUMMYFUNCTION("IFERROR(VLOOKUP(C777,IMPORTRANGE(""https://docs.google.com/spreadsheets/d/10KlTSftfC81rs2H7Cf6EIR7VWS3omC-2kwzaThHv16k/edit#gid=0"",""NSE Input VaR+ELM!D:J""),7,0),100)"),27.26)</f>
        <v>27.26</v>
      </c>
      <c r="E777" s="7">
        <f t="shared" si="1"/>
        <v>72.74</v>
      </c>
      <c r="F777" s="9" t="s">
        <v>217</v>
      </c>
    </row>
    <row r="778">
      <c r="A778" s="7">
        <v>772.0</v>
      </c>
      <c r="B778" s="10" t="s">
        <v>1552</v>
      </c>
      <c r="C778" s="10" t="s">
        <v>1553</v>
      </c>
      <c r="D778" s="8">
        <f>IFERROR(__xludf.DUMMYFUNCTION("IFERROR(VLOOKUP(C778,IMPORTRANGE(""https://docs.google.com/spreadsheets/d/10KlTSftfC81rs2H7Cf6EIR7VWS3omC-2kwzaThHv16k/edit#gid=0"",""NSE Input VaR+ELM!D:J""),7,0),100)"),18.61)</f>
        <v>18.61</v>
      </c>
      <c r="E778" s="7">
        <f t="shared" si="1"/>
        <v>81.39</v>
      </c>
      <c r="F778" s="9" t="s">
        <v>10</v>
      </c>
    </row>
    <row r="779">
      <c r="A779" s="7">
        <v>773.0</v>
      </c>
      <c r="B779" s="10" t="s">
        <v>1554</v>
      </c>
      <c r="C779" s="10" t="s">
        <v>1555</v>
      </c>
      <c r="D779" s="8">
        <f>IFERROR(__xludf.DUMMYFUNCTION("IFERROR(VLOOKUP(C779,IMPORTRANGE(""https://docs.google.com/spreadsheets/d/10KlTSftfC81rs2H7Cf6EIR7VWS3omC-2kwzaThHv16k/edit#gid=0"",""NSE Input VaR+ELM!D:J""),7,0),100)"),24.84)</f>
        <v>24.84</v>
      </c>
      <c r="E779" s="7">
        <f t="shared" si="1"/>
        <v>75.16</v>
      </c>
      <c r="F779" s="9" t="s">
        <v>217</v>
      </c>
    </row>
    <row r="780">
      <c r="A780" s="7">
        <v>774.0</v>
      </c>
      <c r="B780" s="10" t="s">
        <v>1556</v>
      </c>
      <c r="C780" s="10" t="s">
        <v>1557</v>
      </c>
      <c r="D780" s="8">
        <f>IFERROR(__xludf.DUMMYFUNCTION("IFERROR(VLOOKUP(C780,IMPORTRANGE(""https://docs.google.com/spreadsheets/d/10KlTSftfC81rs2H7Cf6EIR7VWS3omC-2kwzaThHv16k/edit#gid=0"",""NSE Input VaR+ELM!D:J""),7,0),100)"),15.51)</f>
        <v>15.51</v>
      </c>
      <c r="E780" s="7">
        <f t="shared" si="1"/>
        <v>84.49</v>
      </c>
      <c r="F780" s="9" t="s">
        <v>10</v>
      </c>
    </row>
    <row r="781">
      <c r="A781" s="7">
        <v>775.0</v>
      </c>
      <c r="B781" s="10" t="s">
        <v>1558</v>
      </c>
      <c r="C781" s="10" t="s">
        <v>1559</v>
      </c>
      <c r="D781" s="8">
        <f>IFERROR(__xludf.DUMMYFUNCTION("IFERROR(VLOOKUP(C781,IMPORTRANGE(""https://docs.google.com/spreadsheets/d/10KlTSftfC81rs2H7Cf6EIR7VWS3omC-2kwzaThHv16k/edit#gid=0"",""NSE Input VaR+ELM!D:J""),7,0),100)"),24.01)</f>
        <v>24.01</v>
      </c>
      <c r="E781" s="7">
        <f t="shared" si="1"/>
        <v>75.99</v>
      </c>
      <c r="F781" s="9" t="s">
        <v>10</v>
      </c>
    </row>
    <row r="782">
      <c r="A782" s="7">
        <v>776.0</v>
      </c>
      <c r="B782" s="10" t="s">
        <v>1560</v>
      </c>
      <c r="C782" s="10" t="s">
        <v>1561</v>
      </c>
      <c r="D782" s="8">
        <f>IFERROR(__xludf.DUMMYFUNCTION("IFERROR(VLOOKUP(C782,IMPORTRANGE(""https://docs.google.com/spreadsheets/d/10KlTSftfC81rs2H7Cf6EIR7VWS3omC-2kwzaThHv16k/edit#gid=0"",""NSE Input VaR+ELM!D:J""),7,0),100)"),50.0)</f>
        <v>50</v>
      </c>
      <c r="E782" s="7">
        <f t="shared" si="1"/>
        <v>50</v>
      </c>
      <c r="F782" s="9" t="s">
        <v>10</v>
      </c>
    </row>
    <row r="783">
      <c r="A783" s="7">
        <v>777.0</v>
      </c>
      <c r="B783" s="10" t="s">
        <v>1562</v>
      </c>
      <c r="C783" s="10" t="s">
        <v>1563</v>
      </c>
      <c r="D783" s="8">
        <f>IFERROR(__xludf.DUMMYFUNCTION("IFERROR(VLOOKUP(C783,IMPORTRANGE(""https://docs.google.com/spreadsheets/d/10KlTSftfC81rs2H7Cf6EIR7VWS3omC-2kwzaThHv16k/edit#gid=0"",""NSE Input VaR+ELM!D:J""),7,0),100)"),20.6)</f>
        <v>20.6</v>
      </c>
      <c r="E783" s="7">
        <f t="shared" si="1"/>
        <v>79.4</v>
      </c>
      <c r="F783" s="9" t="s">
        <v>10</v>
      </c>
    </row>
    <row r="784">
      <c r="A784" s="7">
        <v>778.0</v>
      </c>
      <c r="B784" s="10" t="s">
        <v>1564</v>
      </c>
      <c r="C784" s="10" t="s">
        <v>1565</v>
      </c>
      <c r="D784" s="8">
        <f>IFERROR(__xludf.DUMMYFUNCTION("IFERROR(VLOOKUP(C784,IMPORTRANGE(""https://docs.google.com/spreadsheets/d/10KlTSftfC81rs2H7Cf6EIR7VWS3omC-2kwzaThHv16k/edit#gid=0"",""NSE Input VaR+ELM!D:J""),7,0),100)"),23.42)</f>
        <v>23.42</v>
      </c>
      <c r="E784" s="7">
        <f t="shared" si="1"/>
        <v>76.58</v>
      </c>
      <c r="F784" s="9" t="s">
        <v>10</v>
      </c>
    </row>
    <row r="785">
      <c r="A785" s="7">
        <v>779.0</v>
      </c>
      <c r="B785" s="10" t="s">
        <v>1566</v>
      </c>
      <c r="C785" s="10" t="s">
        <v>1567</v>
      </c>
      <c r="D785" s="8">
        <f>IFERROR(__xludf.DUMMYFUNCTION("IFERROR(VLOOKUP(C785,IMPORTRANGE(""https://docs.google.com/spreadsheets/d/10KlTSftfC81rs2H7Cf6EIR7VWS3omC-2kwzaThHv16k/edit#gid=0"",""NSE Input VaR+ELM!D:J""),7,0),100)"),17.55)</f>
        <v>17.55</v>
      </c>
      <c r="E785" s="7">
        <f t="shared" si="1"/>
        <v>82.45</v>
      </c>
      <c r="F785" s="9" t="s">
        <v>10</v>
      </c>
    </row>
    <row r="786">
      <c r="A786" s="7">
        <v>780.0</v>
      </c>
      <c r="B786" s="10" t="s">
        <v>1568</v>
      </c>
      <c r="C786" s="10" t="s">
        <v>1569</v>
      </c>
      <c r="D786" s="8">
        <f>IFERROR(__xludf.DUMMYFUNCTION("IFERROR(VLOOKUP(C786,IMPORTRANGE(""https://docs.google.com/spreadsheets/d/10KlTSftfC81rs2H7Cf6EIR7VWS3omC-2kwzaThHv16k/edit#gid=0"",""NSE Input VaR+ELM!D:J""),7,0),100)"),16.33)</f>
        <v>16.33</v>
      </c>
      <c r="E786" s="7">
        <f t="shared" si="1"/>
        <v>83.67</v>
      </c>
      <c r="F786" s="9" t="s">
        <v>10</v>
      </c>
    </row>
    <row r="787">
      <c r="A787" s="7">
        <v>781.0</v>
      </c>
      <c r="B787" s="10" t="s">
        <v>1570</v>
      </c>
      <c r="C787" s="10" t="s">
        <v>1571</v>
      </c>
      <c r="D787" s="8">
        <f>IFERROR(__xludf.DUMMYFUNCTION("IFERROR(VLOOKUP(C787,IMPORTRANGE(""https://docs.google.com/spreadsheets/d/10KlTSftfC81rs2H7Cf6EIR7VWS3omC-2kwzaThHv16k/edit#gid=0"",""NSE Input VaR+ELM!D:J""),7,0),100)"),20.96)</f>
        <v>20.96</v>
      </c>
      <c r="E787" s="7">
        <f t="shared" si="1"/>
        <v>79.04</v>
      </c>
      <c r="F787" s="9" t="s">
        <v>10</v>
      </c>
    </row>
    <row r="788">
      <c r="A788" s="7">
        <v>782.0</v>
      </c>
      <c r="B788" s="10" t="s">
        <v>1572</v>
      </c>
      <c r="C788" s="10" t="s">
        <v>1573</v>
      </c>
      <c r="D788" s="8">
        <f>IFERROR(__xludf.DUMMYFUNCTION("IFERROR(VLOOKUP(C788,IMPORTRANGE(""https://docs.google.com/spreadsheets/d/10KlTSftfC81rs2H7Cf6EIR7VWS3omC-2kwzaThHv16k/edit#gid=0"",""NSE Input VaR+ELM!D:J""),7,0),100)"),16.53)</f>
        <v>16.53</v>
      </c>
      <c r="E788" s="7">
        <f t="shared" si="1"/>
        <v>83.47</v>
      </c>
      <c r="F788" s="9" t="s">
        <v>10</v>
      </c>
    </row>
    <row r="789">
      <c r="A789" s="7">
        <v>783.0</v>
      </c>
      <c r="B789" s="10" t="s">
        <v>1574</v>
      </c>
      <c r="C789" s="10" t="s">
        <v>1575</v>
      </c>
      <c r="D789" s="8">
        <f>IFERROR(__xludf.DUMMYFUNCTION("IFERROR(VLOOKUP(C789,IMPORTRANGE(""https://docs.google.com/spreadsheets/d/10KlTSftfC81rs2H7Cf6EIR7VWS3omC-2kwzaThHv16k/edit#gid=0"",""NSE Input VaR+ELM!D:J""),7,0),100)"),23.88)</f>
        <v>23.88</v>
      </c>
      <c r="E789" s="7">
        <f t="shared" si="1"/>
        <v>76.12</v>
      </c>
      <c r="F789" s="9" t="s">
        <v>10</v>
      </c>
    </row>
    <row r="790">
      <c r="A790" s="7">
        <v>784.0</v>
      </c>
      <c r="B790" s="10" t="s">
        <v>1576</v>
      </c>
      <c r="C790" s="10" t="s">
        <v>1577</v>
      </c>
      <c r="D790" s="8">
        <f>IFERROR(__xludf.DUMMYFUNCTION("IFERROR(VLOOKUP(C790,IMPORTRANGE(""https://docs.google.com/spreadsheets/d/10KlTSftfC81rs2H7Cf6EIR7VWS3omC-2kwzaThHv16k/edit#gid=0"",""NSE Input VaR+ELM!D:J""),7,0),100)"),20.89)</f>
        <v>20.89</v>
      </c>
      <c r="E790" s="7">
        <f t="shared" si="1"/>
        <v>79.11</v>
      </c>
      <c r="F790" s="9" t="s">
        <v>10</v>
      </c>
    </row>
    <row r="791">
      <c r="A791" s="7">
        <v>785.0</v>
      </c>
      <c r="B791" s="10" t="s">
        <v>1578</v>
      </c>
      <c r="C791" s="10" t="s">
        <v>1579</v>
      </c>
      <c r="D791" s="8">
        <f>IFERROR(__xludf.DUMMYFUNCTION("IFERROR(VLOOKUP(C791,IMPORTRANGE(""https://docs.google.com/spreadsheets/d/10KlTSftfC81rs2H7Cf6EIR7VWS3omC-2kwzaThHv16k/edit#gid=0"",""NSE Input VaR+ELM!D:J""),7,0),100)"),26.6)</f>
        <v>26.6</v>
      </c>
      <c r="E791" s="7">
        <f t="shared" si="1"/>
        <v>73.4</v>
      </c>
      <c r="F791" s="9" t="s">
        <v>10</v>
      </c>
    </row>
    <row r="792">
      <c r="A792" s="7">
        <v>786.0</v>
      </c>
      <c r="B792" s="10" t="s">
        <v>1580</v>
      </c>
      <c r="C792" s="10" t="s">
        <v>1581</v>
      </c>
      <c r="D792" s="8">
        <f>IFERROR(__xludf.DUMMYFUNCTION("IFERROR(VLOOKUP(C792,IMPORTRANGE(""https://docs.google.com/spreadsheets/d/10KlTSftfC81rs2H7Cf6EIR7VWS3omC-2kwzaThHv16k/edit#gid=0"",""NSE Input VaR+ELM!D:J""),7,0),100)"),25.54)</f>
        <v>25.54</v>
      </c>
      <c r="E792" s="7">
        <f t="shared" si="1"/>
        <v>74.46</v>
      </c>
      <c r="F792" s="9" t="s">
        <v>10</v>
      </c>
    </row>
    <row r="793">
      <c r="A793" s="7">
        <v>787.0</v>
      </c>
      <c r="B793" s="10" t="s">
        <v>1582</v>
      </c>
      <c r="C793" s="10" t="s">
        <v>1583</v>
      </c>
      <c r="D793" s="8">
        <f>IFERROR(__xludf.DUMMYFUNCTION("IFERROR(VLOOKUP(C793,IMPORTRANGE(""https://docs.google.com/spreadsheets/d/10KlTSftfC81rs2H7Cf6EIR7VWS3omC-2kwzaThHv16k/edit#gid=0"",""NSE Input VaR+ELM!D:J""),7,0),100)"),21.67)</f>
        <v>21.67</v>
      </c>
      <c r="E793" s="7">
        <f t="shared" si="1"/>
        <v>78.33</v>
      </c>
      <c r="F793" s="9" t="s">
        <v>217</v>
      </c>
    </row>
    <row r="794">
      <c r="A794" s="7">
        <v>788.0</v>
      </c>
      <c r="B794" s="10" t="s">
        <v>1584</v>
      </c>
      <c r="C794" s="10" t="s">
        <v>1585</v>
      </c>
      <c r="D794" s="8">
        <f>IFERROR(__xludf.DUMMYFUNCTION("IFERROR(VLOOKUP(C794,IMPORTRANGE(""https://docs.google.com/spreadsheets/d/10KlTSftfC81rs2H7Cf6EIR7VWS3omC-2kwzaThHv16k/edit#gid=0"",""NSE Input VaR+ELM!D:J""),7,0),100)"),16.6)</f>
        <v>16.6</v>
      </c>
      <c r="E794" s="7">
        <f t="shared" si="1"/>
        <v>83.4</v>
      </c>
      <c r="F794" s="9" t="s">
        <v>10</v>
      </c>
    </row>
    <row r="795">
      <c r="A795" s="7">
        <v>789.0</v>
      </c>
      <c r="B795" s="10" t="s">
        <v>1586</v>
      </c>
      <c r="C795" s="10" t="s">
        <v>1587</v>
      </c>
      <c r="D795" s="8">
        <f>IFERROR(__xludf.DUMMYFUNCTION("IFERROR(VLOOKUP(C795,IMPORTRANGE(""https://docs.google.com/spreadsheets/d/10KlTSftfC81rs2H7Cf6EIR7VWS3omC-2kwzaThHv16k/edit#gid=0"",""NSE Input VaR+ELM!D:J""),7,0),100)"),21.98)</f>
        <v>21.98</v>
      </c>
      <c r="E795" s="7">
        <f t="shared" si="1"/>
        <v>78.02</v>
      </c>
      <c r="F795" s="9" t="s">
        <v>10</v>
      </c>
    </row>
    <row r="796">
      <c r="A796" s="7">
        <v>790.0</v>
      </c>
      <c r="B796" s="10" t="s">
        <v>1588</v>
      </c>
      <c r="C796" s="10" t="s">
        <v>1589</v>
      </c>
      <c r="D796" s="8">
        <f>IFERROR(__xludf.DUMMYFUNCTION("IFERROR(VLOOKUP(C796,IMPORTRANGE(""https://docs.google.com/spreadsheets/d/10KlTSftfC81rs2H7Cf6EIR7VWS3omC-2kwzaThHv16k/edit#gid=0"",""NSE Input VaR+ELM!D:J""),7,0),100)"),26.5)</f>
        <v>26.5</v>
      </c>
      <c r="E796" s="7">
        <f t="shared" si="1"/>
        <v>73.5</v>
      </c>
      <c r="F796" s="9" t="s">
        <v>10</v>
      </c>
    </row>
    <row r="797">
      <c r="A797" s="7">
        <v>791.0</v>
      </c>
      <c r="B797" s="10" t="s">
        <v>1590</v>
      </c>
      <c r="C797" s="10" t="s">
        <v>1591</v>
      </c>
      <c r="D797" s="8">
        <f>IFERROR(__xludf.DUMMYFUNCTION("IFERROR(VLOOKUP(C797,IMPORTRANGE(""https://docs.google.com/spreadsheets/d/10KlTSftfC81rs2H7Cf6EIR7VWS3omC-2kwzaThHv16k/edit#gid=0"",""NSE Input VaR+ELM!D:J""),7,0),100)"),19.34)</f>
        <v>19.34</v>
      </c>
      <c r="E797" s="7">
        <f t="shared" si="1"/>
        <v>80.66</v>
      </c>
      <c r="F797" s="9" t="s">
        <v>10</v>
      </c>
    </row>
    <row r="798">
      <c r="A798" s="7">
        <v>792.0</v>
      </c>
      <c r="B798" s="10" t="s">
        <v>1592</v>
      </c>
      <c r="C798" s="10" t="s">
        <v>1593</v>
      </c>
      <c r="D798" s="8">
        <f>IFERROR(__xludf.DUMMYFUNCTION("IFERROR(VLOOKUP(C798,IMPORTRANGE(""https://docs.google.com/spreadsheets/d/10KlTSftfC81rs2H7Cf6EIR7VWS3omC-2kwzaThHv16k/edit#gid=0"",""NSE Input VaR+ELM!D:J""),7,0),100)"),50.0)</f>
        <v>50</v>
      </c>
      <c r="E798" s="7">
        <f t="shared" si="1"/>
        <v>50</v>
      </c>
      <c r="F798" s="9" t="s">
        <v>10</v>
      </c>
    </row>
    <row r="799">
      <c r="A799" s="7">
        <v>793.0</v>
      </c>
      <c r="B799" s="10" t="s">
        <v>1594</v>
      </c>
      <c r="C799" s="10" t="s">
        <v>1595</v>
      </c>
      <c r="D799" s="8">
        <f>IFERROR(__xludf.DUMMYFUNCTION("IFERROR(VLOOKUP(C799,IMPORTRANGE(""https://docs.google.com/spreadsheets/d/10KlTSftfC81rs2H7Cf6EIR7VWS3omC-2kwzaThHv16k/edit#gid=0"",""NSE Input VaR+ELM!D:J""),7,0),100)"),26.3)</f>
        <v>26.3</v>
      </c>
      <c r="E799" s="7">
        <f t="shared" si="1"/>
        <v>73.7</v>
      </c>
      <c r="F799" s="9" t="s">
        <v>10</v>
      </c>
    </row>
    <row r="800">
      <c r="A800" s="7">
        <v>794.0</v>
      </c>
      <c r="B800" s="10" t="s">
        <v>1596</v>
      </c>
      <c r="C800" s="10" t="s">
        <v>1597</v>
      </c>
      <c r="D800" s="8">
        <f>IFERROR(__xludf.DUMMYFUNCTION("IFERROR(VLOOKUP(C800,IMPORTRANGE(""https://docs.google.com/spreadsheets/d/10KlTSftfC81rs2H7Cf6EIR7VWS3omC-2kwzaThHv16k/edit#gid=0"",""NSE Input VaR+ELM!D:J""),7,0),100)"),25.77)</f>
        <v>25.77</v>
      </c>
      <c r="E800" s="7">
        <f t="shared" si="1"/>
        <v>74.23</v>
      </c>
      <c r="F800" s="9" t="s">
        <v>10</v>
      </c>
    </row>
    <row r="801">
      <c r="A801" s="7">
        <v>795.0</v>
      </c>
      <c r="B801" s="10" t="s">
        <v>1598</v>
      </c>
      <c r="C801" s="10" t="s">
        <v>1599</v>
      </c>
      <c r="D801" s="8">
        <f>IFERROR(__xludf.DUMMYFUNCTION("IFERROR(VLOOKUP(C801,IMPORTRANGE(""https://docs.google.com/spreadsheets/d/10KlTSftfC81rs2H7Cf6EIR7VWS3omC-2kwzaThHv16k/edit#gid=0"",""NSE Input VaR+ELM!D:J""),7,0),100)"),18.17)</f>
        <v>18.17</v>
      </c>
      <c r="E801" s="7">
        <f t="shared" si="1"/>
        <v>81.83</v>
      </c>
      <c r="F801" s="9" t="s">
        <v>10</v>
      </c>
    </row>
    <row r="802">
      <c r="A802" s="7">
        <v>796.0</v>
      </c>
      <c r="B802" s="10" t="s">
        <v>1600</v>
      </c>
      <c r="C802" s="10" t="s">
        <v>1601</v>
      </c>
      <c r="D802" s="8">
        <f>IFERROR(__xludf.DUMMYFUNCTION("IFERROR(VLOOKUP(C802,IMPORTRANGE(""https://docs.google.com/spreadsheets/d/10KlTSftfC81rs2H7Cf6EIR7VWS3omC-2kwzaThHv16k/edit#gid=0"",""NSE Input VaR+ELM!D:J""),7,0),100)"),18.01)</f>
        <v>18.01</v>
      </c>
      <c r="E802" s="7">
        <f t="shared" si="1"/>
        <v>81.99</v>
      </c>
      <c r="F802" s="9" t="s">
        <v>10</v>
      </c>
    </row>
    <row r="803">
      <c r="A803" s="7">
        <v>797.0</v>
      </c>
      <c r="B803" s="10" t="s">
        <v>1602</v>
      </c>
      <c r="C803" s="10" t="s">
        <v>1603</v>
      </c>
      <c r="D803" s="8">
        <f>IFERROR(__xludf.DUMMYFUNCTION("IFERROR(VLOOKUP(C803,IMPORTRANGE(""https://docs.google.com/spreadsheets/d/10KlTSftfC81rs2H7Cf6EIR7VWS3omC-2kwzaThHv16k/edit#gid=0"",""NSE Input VaR+ELM!D:J""),7,0),100)"),18.43)</f>
        <v>18.43</v>
      </c>
      <c r="E803" s="7">
        <f t="shared" si="1"/>
        <v>81.57</v>
      </c>
      <c r="F803" s="9" t="s">
        <v>10</v>
      </c>
    </row>
    <row r="804">
      <c r="A804" s="7">
        <v>798.0</v>
      </c>
      <c r="B804" s="10" t="s">
        <v>1604</v>
      </c>
      <c r="C804" s="10" t="s">
        <v>1605</v>
      </c>
      <c r="D804" s="8">
        <f>IFERROR(__xludf.DUMMYFUNCTION("IFERROR(VLOOKUP(C804,IMPORTRANGE(""https://docs.google.com/spreadsheets/d/10KlTSftfC81rs2H7Cf6EIR7VWS3omC-2kwzaThHv16k/edit#gid=0"",""NSE Input VaR+ELM!D:J""),7,0),100)"),20.05)</f>
        <v>20.05</v>
      </c>
      <c r="E804" s="7">
        <f t="shared" si="1"/>
        <v>79.95</v>
      </c>
      <c r="F804" s="9" t="s">
        <v>10</v>
      </c>
    </row>
    <row r="805">
      <c r="A805" s="7">
        <v>799.0</v>
      </c>
      <c r="B805" s="10" t="s">
        <v>1606</v>
      </c>
      <c r="C805" s="10" t="s">
        <v>1607</v>
      </c>
      <c r="D805" s="8">
        <f>IFERROR(__xludf.DUMMYFUNCTION("IFERROR(VLOOKUP(C805,IMPORTRANGE(""https://docs.google.com/spreadsheets/d/10KlTSftfC81rs2H7Cf6EIR7VWS3omC-2kwzaThHv16k/edit#gid=0"",""NSE Input VaR+ELM!D:J""),7,0),100)"),13.52)</f>
        <v>13.52</v>
      </c>
      <c r="E805" s="7">
        <f t="shared" si="1"/>
        <v>86.48</v>
      </c>
      <c r="F805" s="9" t="s">
        <v>10</v>
      </c>
    </row>
    <row r="806">
      <c r="A806" s="7">
        <v>800.0</v>
      </c>
      <c r="B806" s="10" t="s">
        <v>1608</v>
      </c>
      <c r="C806" s="10" t="s">
        <v>1609</v>
      </c>
      <c r="D806" s="8">
        <f>IFERROR(__xludf.DUMMYFUNCTION("IFERROR(VLOOKUP(C806,IMPORTRANGE(""https://docs.google.com/spreadsheets/d/10KlTSftfC81rs2H7Cf6EIR7VWS3omC-2kwzaThHv16k/edit#gid=0"",""NSE Input VaR+ELM!D:J""),7,0),100)"),30.13)</f>
        <v>30.13</v>
      </c>
      <c r="E806" s="7">
        <f t="shared" si="1"/>
        <v>69.87</v>
      </c>
      <c r="F806" s="9" t="s">
        <v>10</v>
      </c>
    </row>
    <row r="807">
      <c r="A807" s="7">
        <v>801.0</v>
      </c>
      <c r="B807" s="10" t="s">
        <v>1610</v>
      </c>
      <c r="C807" s="10" t="s">
        <v>1611</v>
      </c>
      <c r="D807" s="8">
        <f>IFERROR(__xludf.DUMMYFUNCTION("IFERROR(VLOOKUP(C807,IMPORTRANGE(""https://docs.google.com/spreadsheets/d/10KlTSftfC81rs2H7Cf6EIR7VWS3omC-2kwzaThHv16k/edit#gid=0"",""NSE Input VaR+ELM!D:J""),7,0),100)"),27.8)</f>
        <v>27.8</v>
      </c>
      <c r="E807" s="7">
        <f t="shared" si="1"/>
        <v>72.2</v>
      </c>
      <c r="F807" s="9" t="s">
        <v>10</v>
      </c>
    </row>
    <row r="808">
      <c r="A808" s="7">
        <v>802.0</v>
      </c>
      <c r="B808" s="10" t="s">
        <v>1612</v>
      </c>
      <c r="C808" s="10" t="s">
        <v>1613</v>
      </c>
      <c r="D808" s="8">
        <f>IFERROR(__xludf.DUMMYFUNCTION("IFERROR(VLOOKUP(C808,IMPORTRANGE(""https://docs.google.com/spreadsheets/d/10KlTSftfC81rs2H7Cf6EIR7VWS3omC-2kwzaThHv16k/edit#gid=0"",""NSE Input VaR+ELM!D:J""),7,0),100)"),24.59)</f>
        <v>24.59</v>
      </c>
      <c r="E808" s="7">
        <f t="shared" si="1"/>
        <v>75.41</v>
      </c>
      <c r="F808" s="9" t="s">
        <v>10</v>
      </c>
    </row>
    <row r="809">
      <c r="A809" s="7">
        <v>803.0</v>
      </c>
      <c r="B809" s="10" t="s">
        <v>1614</v>
      </c>
      <c r="C809" s="10" t="s">
        <v>1615</v>
      </c>
      <c r="D809" s="8">
        <f>IFERROR(__xludf.DUMMYFUNCTION("IFERROR(VLOOKUP(C809,IMPORTRANGE(""https://docs.google.com/spreadsheets/d/10KlTSftfC81rs2H7Cf6EIR7VWS3omC-2kwzaThHv16k/edit#gid=0"",""NSE Input VaR+ELM!D:J""),7,0),100)"),13.82)</f>
        <v>13.82</v>
      </c>
      <c r="E809" s="7">
        <f t="shared" si="1"/>
        <v>86.18</v>
      </c>
      <c r="F809" s="9" t="s">
        <v>10</v>
      </c>
    </row>
    <row r="810">
      <c r="A810" s="7">
        <v>804.0</v>
      </c>
      <c r="B810" s="10" t="s">
        <v>1616</v>
      </c>
      <c r="C810" s="10" t="s">
        <v>1617</v>
      </c>
      <c r="D810" s="8">
        <f>IFERROR(__xludf.DUMMYFUNCTION("IFERROR(VLOOKUP(C810,IMPORTRANGE(""https://docs.google.com/spreadsheets/d/10KlTSftfC81rs2H7Cf6EIR7VWS3omC-2kwzaThHv16k/edit#gid=0"",""NSE Input VaR+ELM!D:J""),7,0),100)"),20.51)</f>
        <v>20.51</v>
      </c>
      <c r="E810" s="7">
        <f t="shared" si="1"/>
        <v>79.49</v>
      </c>
      <c r="F810" s="9" t="s">
        <v>10</v>
      </c>
    </row>
    <row r="811">
      <c r="A811" s="7">
        <v>805.0</v>
      </c>
      <c r="B811" s="10" t="s">
        <v>1618</v>
      </c>
      <c r="C811" s="10" t="s">
        <v>1619</v>
      </c>
      <c r="D811" s="8">
        <f>IFERROR(__xludf.DUMMYFUNCTION("IFERROR(VLOOKUP(C811,IMPORTRANGE(""https://docs.google.com/spreadsheets/d/10KlTSftfC81rs2H7Cf6EIR7VWS3omC-2kwzaThHv16k/edit#gid=0"",""NSE Input VaR+ELM!D:J""),7,0),100)"),30.82)</f>
        <v>30.82</v>
      </c>
      <c r="E811" s="7">
        <f t="shared" si="1"/>
        <v>69.18</v>
      </c>
      <c r="F811" s="9" t="s">
        <v>10</v>
      </c>
    </row>
    <row r="812">
      <c r="A812" s="7">
        <v>806.0</v>
      </c>
      <c r="B812" s="10" t="s">
        <v>1620</v>
      </c>
      <c r="C812" s="10" t="s">
        <v>1621</v>
      </c>
      <c r="D812" s="8">
        <f>IFERROR(__xludf.DUMMYFUNCTION("IFERROR(VLOOKUP(C812,IMPORTRANGE(""https://docs.google.com/spreadsheets/d/10KlTSftfC81rs2H7Cf6EIR7VWS3omC-2kwzaThHv16k/edit#gid=0"",""NSE Input VaR+ELM!D:J""),7,0),100)"),23.55)</f>
        <v>23.55</v>
      </c>
      <c r="E812" s="7">
        <f t="shared" si="1"/>
        <v>76.45</v>
      </c>
      <c r="F812" s="9" t="s">
        <v>10</v>
      </c>
    </row>
    <row r="813">
      <c r="A813" s="7">
        <v>807.0</v>
      </c>
      <c r="B813" s="10" t="s">
        <v>1622</v>
      </c>
      <c r="C813" s="10" t="s">
        <v>1623</v>
      </c>
      <c r="D813" s="8">
        <f>IFERROR(__xludf.DUMMYFUNCTION("IFERROR(VLOOKUP(C813,IMPORTRANGE(""https://docs.google.com/spreadsheets/d/10KlTSftfC81rs2H7Cf6EIR7VWS3omC-2kwzaThHv16k/edit#gid=0"",""NSE Input VaR+ELM!D:J""),7,0),100)"),21.28)</f>
        <v>21.28</v>
      </c>
      <c r="E813" s="7">
        <f t="shared" si="1"/>
        <v>78.72</v>
      </c>
      <c r="F813" s="9" t="s">
        <v>10</v>
      </c>
    </row>
    <row r="814">
      <c r="A814" s="7">
        <v>808.0</v>
      </c>
      <c r="B814" s="10" t="s">
        <v>1624</v>
      </c>
      <c r="C814" s="10" t="s">
        <v>1625</v>
      </c>
      <c r="D814" s="8">
        <f>IFERROR(__xludf.DUMMYFUNCTION("IFERROR(VLOOKUP(C814,IMPORTRANGE(""https://docs.google.com/spreadsheets/d/10KlTSftfC81rs2H7Cf6EIR7VWS3omC-2kwzaThHv16k/edit#gid=0"",""NSE Input VaR+ELM!D:J""),7,0),100)"),16.38)</f>
        <v>16.38</v>
      </c>
      <c r="E814" s="7">
        <f t="shared" si="1"/>
        <v>83.62</v>
      </c>
      <c r="F814" s="9" t="s">
        <v>10</v>
      </c>
    </row>
    <row r="815">
      <c r="A815" s="7">
        <v>809.0</v>
      </c>
      <c r="B815" s="10" t="s">
        <v>1626</v>
      </c>
      <c r="C815" s="10" t="s">
        <v>1627</v>
      </c>
      <c r="D815" s="8">
        <f>IFERROR(__xludf.DUMMYFUNCTION("IFERROR(VLOOKUP(C815,IMPORTRANGE(""https://docs.google.com/spreadsheets/d/10KlTSftfC81rs2H7Cf6EIR7VWS3omC-2kwzaThHv16k/edit#gid=0"",""NSE Input VaR+ELM!D:J""),7,0),100)"),18.29)</f>
        <v>18.29</v>
      </c>
      <c r="E815" s="7">
        <f t="shared" si="1"/>
        <v>81.71</v>
      </c>
      <c r="F815" s="9" t="s">
        <v>217</v>
      </c>
    </row>
    <row r="816">
      <c r="A816" s="7">
        <v>810.0</v>
      </c>
      <c r="B816" s="10" t="s">
        <v>1628</v>
      </c>
      <c r="C816" s="10" t="s">
        <v>1629</v>
      </c>
      <c r="D816" s="8">
        <f>IFERROR(__xludf.DUMMYFUNCTION("IFERROR(VLOOKUP(C816,IMPORTRANGE(""https://docs.google.com/spreadsheets/d/10KlTSftfC81rs2H7Cf6EIR7VWS3omC-2kwzaThHv16k/edit#gid=0"",""NSE Input VaR+ELM!D:J""),7,0),100)"),22.43)</f>
        <v>22.43</v>
      </c>
      <c r="E816" s="7">
        <f t="shared" si="1"/>
        <v>77.57</v>
      </c>
      <c r="F816" s="9" t="s">
        <v>217</v>
      </c>
    </row>
    <row r="817">
      <c r="A817" s="7">
        <v>811.0</v>
      </c>
      <c r="B817" s="10" t="s">
        <v>1630</v>
      </c>
      <c r="C817" s="10" t="s">
        <v>1631</v>
      </c>
      <c r="D817" s="8">
        <f>IFERROR(__xludf.DUMMYFUNCTION("IFERROR(VLOOKUP(C817,IMPORTRANGE(""https://docs.google.com/spreadsheets/d/10KlTSftfC81rs2H7Cf6EIR7VWS3omC-2kwzaThHv16k/edit#gid=0"",""NSE Input VaR+ELM!D:J""),7,0),100)"),31.7)</f>
        <v>31.7</v>
      </c>
      <c r="E817" s="7">
        <f t="shared" si="1"/>
        <v>68.3</v>
      </c>
      <c r="F817" s="9" t="s">
        <v>10</v>
      </c>
    </row>
    <row r="818">
      <c r="A818" s="7">
        <v>812.0</v>
      </c>
      <c r="B818" s="10" t="s">
        <v>1632</v>
      </c>
      <c r="C818" s="10" t="s">
        <v>1633</v>
      </c>
      <c r="D818" s="8">
        <f>IFERROR(__xludf.DUMMYFUNCTION("IFERROR(VLOOKUP(C818,IMPORTRANGE(""https://docs.google.com/spreadsheets/d/10KlTSftfC81rs2H7Cf6EIR7VWS3omC-2kwzaThHv16k/edit#gid=0"",""NSE Input VaR+ELM!D:J""),7,0),100)"),27.71)</f>
        <v>27.71</v>
      </c>
      <c r="E818" s="7">
        <f t="shared" si="1"/>
        <v>72.29</v>
      </c>
      <c r="F818" s="9" t="s">
        <v>10</v>
      </c>
    </row>
    <row r="819">
      <c r="A819" s="7">
        <v>813.0</v>
      </c>
      <c r="B819" s="10" t="s">
        <v>1634</v>
      </c>
      <c r="C819" s="10" t="s">
        <v>1635</v>
      </c>
      <c r="D819" s="8">
        <f>IFERROR(__xludf.DUMMYFUNCTION("IFERROR(VLOOKUP(C819,IMPORTRANGE(""https://docs.google.com/spreadsheets/d/10KlTSftfC81rs2H7Cf6EIR7VWS3omC-2kwzaThHv16k/edit#gid=0"",""NSE Input VaR+ELM!D:J""),7,0),100)"),31.36)</f>
        <v>31.36</v>
      </c>
      <c r="E819" s="7">
        <f t="shared" si="1"/>
        <v>68.64</v>
      </c>
      <c r="F819" s="9" t="s">
        <v>10</v>
      </c>
    </row>
    <row r="820">
      <c r="A820" s="7">
        <v>814.0</v>
      </c>
      <c r="B820" s="10" t="s">
        <v>1636</v>
      </c>
      <c r="C820" s="10" t="s">
        <v>1637</v>
      </c>
      <c r="D820" s="8">
        <f>IFERROR(__xludf.DUMMYFUNCTION("IFERROR(VLOOKUP(C820,IMPORTRANGE(""https://docs.google.com/spreadsheets/d/10KlTSftfC81rs2H7Cf6EIR7VWS3omC-2kwzaThHv16k/edit#gid=0"",""NSE Input VaR+ELM!D:J""),7,0),100)"),17.53)</f>
        <v>17.53</v>
      </c>
      <c r="E820" s="7">
        <f t="shared" si="1"/>
        <v>82.47</v>
      </c>
      <c r="F820" s="9" t="s">
        <v>10</v>
      </c>
    </row>
    <row r="821">
      <c r="A821" s="7">
        <v>815.0</v>
      </c>
      <c r="B821" s="10" t="s">
        <v>1638</v>
      </c>
      <c r="C821" s="10" t="s">
        <v>1639</v>
      </c>
      <c r="D821" s="8">
        <f>IFERROR(__xludf.DUMMYFUNCTION("IFERROR(VLOOKUP(C821,IMPORTRANGE(""https://docs.google.com/spreadsheets/d/10KlTSftfC81rs2H7Cf6EIR7VWS3omC-2kwzaThHv16k/edit#gid=0"",""NSE Input VaR+ELM!D:J""),7,0),100)"),16.48)</f>
        <v>16.48</v>
      </c>
      <c r="E821" s="7">
        <f t="shared" si="1"/>
        <v>83.52</v>
      </c>
      <c r="F821" s="9" t="s">
        <v>10</v>
      </c>
    </row>
    <row r="822">
      <c r="A822" s="7">
        <v>816.0</v>
      </c>
      <c r="B822" s="10" t="s">
        <v>1640</v>
      </c>
      <c r="C822" s="10" t="s">
        <v>1641</v>
      </c>
      <c r="D822" s="8">
        <f>IFERROR(__xludf.DUMMYFUNCTION("IFERROR(VLOOKUP(C822,IMPORTRANGE(""https://docs.google.com/spreadsheets/d/10KlTSftfC81rs2H7Cf6EIR7VWS3omC-2kwzaThHv16k/edit#gid=0"",""NSE Input VaR+ELM!D:J""),7,0),100)"),22.76)</f>
        <v>22.76</v>
      </c>
      <c r="E822" s="7">
        <f t="shared" si="1"/>
        <v>77.24</v>
      </c>
      <c r="F822" s="9" t="s">
        <v>10</v>
      </c>
    </row>
    <row r="823">
      <c r="A823" s="7">
        <v>817.0</v>
      </c>
      <c r="B823" s="10" t="s">
        <v>1642</v>
      </c>
      <c r="C823" s="10" t="s">
        <v>1643</v>
      </c>
      <c r="D823" s="8">
        <f>IFERROR(__xludf.DUMMYFUNCTION("IFERROR(VLOOKUP(C823,IMPORTRANGE(""https://docs.google.com/spreadsheets/d/10KlTSftfC81rs2H7Cf6EIR7VWS3omC-2kwzaThHv16k/edit#gid=0"",""NSE Input VaR+ELM!D:J""),7,0),100)"),30.11)</f>
        <v>30.11</v>
      </c>
      <c r="E823" s="7">
        <f t="shared" si="1"/>
        <v>69.89</v>
      </c>
      <c r="F823" s="9" t="s">
        <v>10</v>
      </c>
    </row>
    <row r="824">
      <c r="A824" s="7">
        <v>818.0</v>
      </c>
      <c r="B824" s="10" t="s">
        <v>1644</v>
      </c>
      <c r="C824" s="10" t="s">
        <v>1645</v>
      </c>
      <c r="D824" s="8">
        <f>IFERROR(__xludf.DUMMYFUNCTION("IFERROR(VLOOKUP(C824,IMPORTRANGE(""https://docs.google.com/spreadsheets/d/10KlTSftfC81rs2H7Cf6EIR7VWS3omC-2kwzaThHv16k/edit#gid=0"",""NSE Input VaR+ELM!D:J""),7,0),100)"),18.73)</f>
        <v>18.73</v>
      </c>
      <c r="E824" s="7">
        <f t="shared" si="1"/>
        <v>81.27</v>
      </c>
      <c r="F824" s="9" t="s">
        <v>10</v>
      </c>
    </row>
    <row r="825">
      <c r="A825" s="7">
        <v>819.0</v>
      </c>
      <c r="B825" s="10" t="s">
        <v>1646</v>
      </c>
      <c r="C825" s="10" t="s">
        <v>1647</v>
      </c>
      <c r="D825" s="8">
        <f>IFERROR(__xludf.DUMMYFUNCTION("IFERROR(VLOOKUP(C825,IMPORTRANGE(""https://docs.google.com/spreadsheets/d/10KlTSftfC81rs2H7Cf6EIR7VWS3omC-2kwzaThHv16k/edit#gid=0"",""NSE Input VaR+ELM!D:J""),7,0),100)"),32.52)</f>
        <v>32.52</v>
      </c>
      <c r="E825" s="7">
        <f t="shared" si="1"/>
        <v>67.48</v>
      </c>
      <c r="F825" s="9" t="s">
        <v>10</v>
      </c>
    </row>
    <row r="826">
      <c r="A826" s="7">
        <v>820.0</v>
      </c>
      <c r="B826" s="10" t="s">
        <v>1648</v>
      </c>
      <c r="C826" s="10" t="s">
        <v>1649</v>
      </c>
      <c r="D826" s="8">
        <f>IFERROR(__xludf.DUMMYFUNCTION("IFERROR(VLOOKUP(C826,IMPORTRANGE(""https://docs.google.com/spreadsheets/d/10KlTSftfC81rs2H7Cf6EIR7VWS3omC-2kwzaThHv16k/edit#gid=0"",""NSE Input VaR+ELM!D:J""),7,0),100)"),19.88)</f>
        <v>19.88</v>
      </c>
      <c r="E826" s="7">
        <f t="shared" si="1"/>
        <v>80.12</v>
      </c>
      <c r="F826" s="9" t="s">
        <v>10</v>
      </c>
    </row>
    <row r="827">
      <c r="A827" s="7">
        <v>821.0</v>
      </c>
      <c r="B827" s="10" t="s">
        <v>1650</v>
      </c>
      <c r="C827" s="10" t="s">
        <v>1651</v>
      </c>
      <c r="D827" s="8">
        <f>IFERROR(__xludf.DUMMYFUNCTION("IFERROR(VLOOKUP(C827,IMPORTRANGE(""https://docs.google.com/spreadsheets/d/10KlTSftfC81rs2H7Cf6EIR7VWS3omC-2kwzaThHv16k/edit#gid=0"",""NSE Input VaR+ELM!D:J""),7,0),100)"),23.95)</f>
        <v>23.95</v>
      </c>
      <c r="E827" s="7">
        <f t="shared" si="1"/>
        <v>76.05</v>
      </c>
      <c r="F827" s="9" t="s">
        <v>10</v>
      </c>
    </row>
    <row r="828">
      <c r="A828" s="7">
        <v>822.0</v>
      </c>
      <c r="B828" s="10" t="s">
        <v>1652</v>
      </c>
      <c r="C828" s="10" t="s">
        <v>1653</v>
      </c>
      <c r="D828" s="8">
        <f>IFERROR(__xludf.DUMMYFUNCTION("IFERROR(VLOOKUP(C828,IMPORTRANGE(""https://docs.google.com/spreadsheets/d/10KlTSftfC81rs2H7Cf6EIR7VWS3omC-2kwzaThHv16k/edit#gid=0"",""NSE Input VaR+ELM!D:J""),7,0),100)"),21.75)</f>
        <v>21.75</v>
      </c>
      <c r="E828" s="7">
        <f t="shared" si="1"/>
        <v>78.25</v>
      </c>
      <c r="F828" s="9" t="s">
        <v>10</v>
      </c>
    </row>
    <row r="829">
      <c r="A829" s="7">
        <v>823.0</v>
      </c>
      <c r="B829" s="10" t="s">
        <v>1654</v>
      </c>
      <c r="C829" s="10" t="s">
        <v>1655</v>
      </c>
      <c r="D829" s="8">
        <f>IFERROR(__xludf.DUMMYFUNCTION("IFERROR(VLOOKUP(C829,IMPORTRANGE(""https://docs.google.com/spreadsheets/d/10KlTSftfC81rs2H7Cf6EIR7VWS3omC-2kwzaThHv16k/edit#gid=0"",""NSE Input VaR+ELM!D:J""),7,0),100)"),21.49)</f>
        <v>21.49</v>
      </c>
      <c r="E829" s="7">
        <f t="shared" si="1"/>
        <v>78.51</v>
      </c>
      <c r="F829" s="9" t="s">
        <v>10</v>
      </c>
    </row>
    <row r="830">
      <c r="A830" s="7">
        <v>824.0</v>
      </c>
      <c r="B830" s="10" t="s">
        <v>1656</v>
      </c>
      <c r="C830" s="10" t="s">
        <v>1657</v>
      </c>
      <c r="D830" s="8">
        <f>IFERROR(__xludf.DUMMYFUNCTION("IFERROR(VLOOKUP(C830,IMPORTRANGE(""https://docs.google.com/spreadsheets/d/10KlTSftfC81rs2H7Cf6EIR7VWS3omC-2kwzaThHv16k/edit#gid=0"",""NSE Input VaR+ELM!D:J""),7,0),100)"),19.1)</f>
        <v>19.1</v>
      </c>
      <c r="E830" s="7">
        <f t="shared" si="1"/>
        <v>80.9</v>
      </c>
      <c r="F830" s="9" t="s">
        <v>10</v>
      </c>
    </row>
    <row r="831">
      <c r="A831" s="7">
        <v>825.0</v>
      </c>
      <c r="B831" s="10" t="s">
        <v>1658</v>
      </c>
      <c r="C831" s="10" t="s">
        <v>1659</v>
      </c>
      <c r="D831" s="8">
        <f>IFERROR(__xludf.DUMMYFUNCTION("IFERROR(VLOOKUP(C831,IMPORTRANGE(""https://docs.google.com/spreadsheets/d/10KlTSftfC81rs2H7Cf6EIR7VWS3omC-2kwzaThHv16k/edit#gid=0"",""NSE Input VaR+ELM!D:J""),7,0),100)"),28.28)</f>
        <v>28.28</v>
      </c>
      <c r="E831" s="7">
        <f t="shared" si="1"/>
        <v>71.72</v>
      </c>
      <c r="F831" s="9" t="s">
        <v>10</v>
      </c>
    </row>
    <row r="832">
      <c r="A832" s="7">
        <v>826.0</v>
      </c>
      <c r="B832" s="10" t="s">
        <v>1660</v>
      </c>
      <c r="C832" s="10" t="s">
        <v>1661</v>
      </c>
      <c r="D832" s="8">
        <f>IFERROR(__xludf.DUMMYFUNCTION("IFERROR(VLOOKUP(C832,IMPORTRANGE(""https://docs.google.com/spreadsheets/d/10KlTSftfC81rs2H7Cf6EIR7VWS3omC-2kwzaThHv16k/edit#gid=0"",""NSE Input VaR+ELM!D:J""),7,0),100)"),27.13)</f>
        <v>27.13</v>
      </c>
      <c r="E832" s="7">
        <f t="shared" si="1"/>
        <v>72.87</v>
      </c>
      <c r="F832" s="9" t="s">
        <v>10</v>
      </c>
    </row>
    <row r="833">
      <c r="A833" s="7">
        <v>827.0</v>
      </c>
      <c r="B833" s="10" t="s">
        <v>1662</v>
      </c>
      <c r="C833" s="10" t="s">
        <v>1663</v>
      </c>
      <c r="D833" s="8">
        <f>IFERROR(__xludf.DUMMYFUNCTION("IFERROR(VLOOKUP(C833,IMPORTRANGE(""https://docs.google.com/spreadsheets/d/10KlTSftfC81rs2H7Cf6EIR7VWS3omC-2kwzaThHv16k/edit#gid=0"",""NSE Input VaR+ELM!D:J""),7,0),100)"),30.77)</f>
        <v>30.77</v>
      </c>
      <c r="E833" s="7">
        <f t="shared" si="1"/>
        <v>69.23</v>
      </c>
      <c r="F833" s="9" t="s">
        <v>10</v>
      </c>
    </row>
    <row r="834">
      <c r="A834" s="7">
        <v>828.0</v>
      </c>
      <c r="B834" s="10" t="s">
        <v>1664</v>
      </c>
      <c r="C834" s="10" t="s">
        <v>1665</v>
      </c>
      <c r="D834" s="8">
        <f>IFERROR(__xludf.DUMMYFUNCTION("IFERROR(VLOOKUP(C834,IMPORTRANGE(""https://docs.google.com/spreadsheets/d/10KlTSftfC81rs2H7Cf6EIR7VWS3omC-2kwzaThHv16k/edit#gid=0"",""NSE Input VaR+ELM!D:J""),7,0),100)"),26.72)</f>
        <v>26.72</v>
      </c>
      <c r="E834" s="7">
        <f t="shared" si="1"/>
        <v>73.28</v>
      </c>
      <c r="F834" s="9" t="s">
        <v>10</v>
      </c>
    </row>
    <row r="835">
      <c r="A835" s="7">
        <v>829.0</v>
      </c>
      <c r="B835" s="10" t="s">
        <v>1666</v>
      </c>
      <c r="C835" s="10" t="s">
        <v>1667</v>
      </c>
      <c r="D835" s="8">
        <f>IFERROR(__xludf.DUMMYFUNCTION("IFERROR(VLOOKUP(C835,IMPORTRANGE(""https://docs.google.com/spreadsheets/d/10KlTSftfC81rs2H7Cf6EIR7VWS3omC-2kwzaThHv16k/edit#gid=0"",""NSE Input VaR+ELM!D:J""),7,0),100)"),23.92)</f>
        <v>23.92</v>
      </c>
      <c r="E835" s="7">
        <f t="shared" si="1"/>
        <v>76.08</v>
      </c>
      <c r="F835" s="9" t="s">
        <v>10</v>
      </c>
    </row>
    <row r="836">
      <c r="A836" s="7">
        <v>830.0</v>
      </c>
      <c r="B836" s="10" t="s">
        <v>1668</v>
      </c>
      <c r="C836" s="10" t="s">
        <v>1669</v>
      </c>
      <c r="D836" s="8">
        <f>IFERROR(__xludf.DUMMYFUNCTION("IFERROR(VLOOKUP(C836,IMPORTRANGE(""https://docs.google.com/spreadsheets/d/10KlTSftfC81rs2H7Cf6EIR7VWS3omC-2kwzaThHv16k/edit#gid=0"",""NSE Input VaR+ELM!D:J""),7,0),100)"),50.0)</f>
        <v>50</v>
      </c>
      <c r="E836" s="7">
        <f t="shared" si="1"/>
        <v>50</v>
      </c>
      <c r="F836" s="9" t="s">
        <v>10</v>
      </c>
    </row>
    <row r="837">
      <c r="A837" s="7">
        <v>831.0</v>
      </c>
      <c r="B837" s="10" t="s">
        <v>1670</v>
      </c>
      <c r="C837" s="10" t="s">
        <v>1671</v>
      </c>
      <c r="D837" s="8">
        <f>IFERROR(__xludf.DUMMYFUNCTION("IFERROR(VLOOKUP(C837,IMPORTRANGE(""https://docs.google.com/spreadsheets/d/10KlTSftfC81rs2H7Cf6EIR7VWS3omC-2kwzaThHv16k/edit#gid=0"",""NSE Input VaR+ELM!D:J""),7,0),100)"),21.98)</f>
        <v>21.98</v>
      </c>
      <c r="E837" s="7">
        <f t="shared" si="1"/>
        <v>78.02</v>
      </c>
      <c r="F837" s="9" t="s">
        <v>10</v>
      </c>
    </row>
    <row r="838">
      <c r="A838" s="7">
        <v>832.0</v>
      </c>
      <c r="B838" s="10" t="s">
        <v>1672</v>
      </c>
      <c r="C838" s="10" t="s">
        <v>1673</v>
      </c>
      <c r="D838" s="8">
        <f>IFERROR(__xludf.DUMMYFUNCTION("IFERROR(VLOOKUP(C838,IMPORTRANGE(""https://docs.google.com/spreadsheets/d/10KlTSftfC81rs2H7Cf6EIR7VWS3omC-2kwzaThHv16k/edit#gid=0"",""NSE Input VaR+ELM!D:J""),7,0),100)"),15.59)</f>
        <v>15.59</v>
      </c>
      <c r="E838" s="7">
        <f t="shared" si="1"/>
        <v>84.41</v>
      </c>
      <c r="F838" s="9" t="s">
        <v>217</v>
      </c>
    </row>
    <row r="839">
      <c r="A839" s="7">
        <v>833.0</v>
      </c>
      <c r="B839" s="10" t="s">
        <v>1674</v>
      </c>
      <c r="C839" s="10" t="s">
        <v>1675</v>
      </c>
      <c r="D839" s="8">
        <f>IFERROR(__xludf.DUMMYFUNCTION("IFERROR(VLOOKUP(C839,IMPORTRANGE(""https://docs.google.com/spreadsheets/d/10KlTSftfC81rs2H7Cf6EIR7VWS3omC-2kwzaThHv16k/edit#gid=0"",""NSE Input VaR+ELM!D:J""),7,0),100)"),28.79)</f>
        <v>28.79</v>
      </c>
      <c r="E839" s="7">
        <f t="shared" si="1"/>
        <v>71.21</v>
      </c>
      <c r="F839" s="9" t="s">
        <v>10</v>
      </c>
    </row>
    <row r="840">
      <c r="A840" s="7">
        <v>834.0</v>
      </c>
      <c r="B840" s="10" t="s">
        <v>1676</v>
      </c>
      <c r="C840" s="10" t="s">
        <v>1677</v>
      </c>
      <c r="D840" s="8">
        <f>IFERROR(__xludf.DUMMYFUNCTION("IFERROR(VLOOKUP(C840,IMPORTRANGE(""https://docs.google.com/spreadsheets/d/10KlTSftfC81rs2H7Cf6EIR7VWS3omC-2kwzaThHv16k/edit#gid=0"",""NSE Input VaR+ELM!D:J""),7,0),100)"),26.35)</f>
        <v>26.35</v>
      </c>
      <c r="E840" s="7">
        <f t="shared" si="1"/>
        <v>73.65</v>
      </c>
      <c r="F840" s="9" t="s">
        <v>10</v>
      </c>
    </row>
    <row r="841">
      <c r="A841" s="7">
        <v>835.0</v>
      </c>
      <c r="B841" s="10" t="s">
        <v>1678</v>
      </c>
      <c r="C841" s="10" t="s">
        <v>1679</v>
      </c>
      <c r="D841" s="8">
        <f>IFERROR(__xludf.DUMMYFUNCTION("IFERROR(VLOOKUP(C841,IMPORTRANGE(""https://docs.google.com/spreadsheets/d/10KlTSftfC81rs2H7Cf6EIR7VWS3omC-2kwzaThHv16k/edit#gid=0"",""NSE Input VaR+ELM!D:J""),7,0),100)"),21.37)</f>
        <v>21.37</v>
      </c>
      <c r="E841" s="7">
        <f t="shared" si="1"/>
        <v>78.63</v>
      </c>
      <c r="F841" s="9" t="s">
        <v>10</v>
      </c>
    </row>
    <row r="842">
      <c r="A842" s="7">
        <v>836.0</v>
      </c>
      <c r="B842" s="10" t="s">
        <v>1680</v>
      </c>
      <c r="C842" s="10" t="s">
        <v>1681</v>
      </c>
      <c r="D842" s="8">
        <f>IFERROR(__xludf.DUMMYFUNCTION("IFERROR(VLOOKUP(C842,IMPORTRANGE(""https://docs.google.com/spreadsheets/d/10KlTSftfC81rs2H7Cf6EIR7VWS3omC-2kwzaThHv16k/edit#gid=0"",""NSE Input VaR+ELM!D:J""),7,0),100)"),23.12)</f>
        <v>23.12</v>
      </c>
      <c r="E842" s="7">
        <f t="shared" si="1"/>
        <v>76.88</v>
      </c>
      <c r="F842" s="9" t="s">
        <v>10</v>
      </c>
    </row>
    <row r="843">
      <c r="A843" s="7">
        <v>837.0</v>
      </c>
      <c r="B843" s="10" t="s">
        <v>1682</v>
      </c>
      <c r="C843" s="10" t="s">
        <v>1683</v>
      </c>
      <c r="D843" s="8">
        <f>IFERROR(__xludf.DUMMYFUNCTION("IFERROR(VLOOKUP(C843,IMPORTRANGE(""https://docs.google.com/spreadsheets/d/10KlTSftfC81rs2H7Cf6EIR7VWS3omC-2kwzaThHv16k/edit#gid=0"",""NSE Input VaR+ELM!D:J""),7,0),100)"),12.5)</f>
        <v>12.5</v>
      </c>
      <c r="E843" s="7">
        <f t="shared" si="1"/>
        <v>87.5</v>
      </c>
      <c r="F843" s="9" t="s">
        <v>217</v>
      </c>
    </row>
    <row r="844">
      <c r="A844" s="7">
        <v>838.0</v>
      </c>
      <c r="B844" s="10" t="s">
        <v>1684</v>
      </c>
      <c r="C844" s="10" t="s">
        <v>1685</v>
      </c>
      <c r="D844" s="8">
        <f>IFERROR(__xludf.DUMMYFUNCTION("IFERROR(VLOOKUP(C844,IMPORTRANGE(""https://docs.google.com/spreadsheets/d/10KlTSftfC81rs2H7Cf6EIR7VWS3omC-2kwzaThHv16k/edit#gid=0"",""NSE Input VaR+ELM!D:J""),7,0),100)"),16.91)</f>
        <v>16.91</v>
      </c>
      <c r="E844" s="7">
        <f t="shared" si="1"/>
        <v>83.09</v>
      </c>
      <c r="F844" s="9" t="s">
        <v>10</v>
      </c>
    </row>
    <row r="845">
      <c r="A845" s="7">
        <v>839.0</v>
      </c>
      <c r="B845" s="10" t="s">
        <v>1686</v>
      </c>
      <c r="C845" s="10" t="s">
        <v>1687</v>
      </c>
      <c r="D845" s="8">
        <f>IFERROR(__xludf.DUMMYFUNCTION("IFERROR(VLOOKUP(C845,IMPORTRANGE(""https://docs.google.com/spreadsheets/d/10KlTSftfC81rs2H7Cf6EIR7VWS3omC-2kwzaThHv16k/edit#gid=0"",""NSE Input VaR+ELM!D:J""),7,0),100)"),17.13)</f>
        <v>17.13</v>
      </c>
      <c r="E845" s="7">
        <f t="shared" si="1"/>
        <v>82.87</v>
      </c>
      <c r="F845" s="9" t="s">
        <v>10</v>
      </c>
    </row>
    <row r="846">
      <c r="A846" s="7">
        <v>840.0</v>
      </c>
      <c r="B846" s="10" t="s">
        <v>1688</v>
      </c>
      <c r="C846" s="10" t="s">
        <v>1689</v>
      </c>
      <c r="D846" s="8">
        <f>IFERROR(__xludf.DUMMYFUNCTION("IFERROR(VLOOKUP(C846,IMPORTRANGE(""https://docs.google.com/spreadsheets/d/10KlTSftfC81rs2H7Cf6EIR7VWS3omC-2kwzaThHv16k/edit#gid=0"",""NSE Input VaR+ELM!D:J""),7,0),100)"),20.02)</f>
        <v>20.02</v>
      </c>
      <c r="E846" s="7">
        <f t="shared" si="1"/>
        <v>79.98</v>
      </c>
      <c r="F846" s="9" t="s">
        <v>10</v>
      </c>
    </row>
    <row r="847">
      <c r="A847" s="7">
        <v>841.0</v>
      </c>
      <c r="B847" s="10" t="s">
        <v>1690</v>
      </c>
      <c r="C847" s="10" t="s">
        <v>1691</v>
      </c>
      <c r="D847" s="8">
        <f>IFERROR(__xludf.DUMMYFUNCTION("IFERROR(VLOOKUP(C847,IMPORTRANGE(""https://docs.google.com/spreadsheets/d/10KlTSftfC81rs2H7Cf6EIR7VWS3omC-2kwzaThHv16k/edit#gid=0"",""NSE Input VaR+ELM!D:J""),7,0),100)"),26.59)</f>
        <v>26.59</v>
      </c>
      <c r="E847" s="7">
        <f t="shared" si="1"/>
        <v>73.41</v>
      </c>
      <c r="F847" s="9" t="s">
        <v>10</v>
      </c>
    </row>
    <row r="848">
      <c r="A848" s="7">
        <v>842.0</v>
      </c>
      <c r="B848" s="10" t="s">
        <v>1692</v>
      </c>
      <c r="C848" s="10" t="s">
        <v>1693</v>
      </c>
      <c r="D848" s="8">
        <f>IFERROR(__xludf.DUMMYFUNCTION("IFERROR(VLOOKUP(C848,IMPORTRANGE(""https://docs.google.com/spreadsheets/d/10KlTSftfC81rs2H7Cf6EIR7VWS3omC-2kwzaThHv16k/edit#gid=0"",""NSE Input VaR+ELM!D:J""),7,0),100)"),17.25)</f>
        <v>17.25</v>
      </c>
      <c r="E848" s="7">
        <f t="shared" si="1"/>
        <v>82.75</v>
      </c>
      <c r="F848" s="9" t="s">
        <v>217</v>
      </c>
    </row>
    <row r="849">
      <c r="A849" s="7">
        <v>843.0</v>
      </c>
      <c r="B849" s="10" t="s">
        <v>1694</v>
      </c>
      <c r="C849" s="10" t="s">
        <v>1695</v>
      </c>
      <c r="D849" s="8">
        <f>IFERROR(__xludf.DUMMYFUNCTION("IFERROR(VLOOKUP(C849,IMPORTRANGE(""https://docs.google.com/spreadsheets/d/10KlTSftfC81rs2H7Cf6EIR7VWS3omC-2kwzaThHv16k/edit#gid=0"",""NSE Input VaR+ELM!D:J""),7,0),100)"),21.88)</f>
        <v>21.88</v>
      </c>
      <c r="E849" s="7">
        <f t="shared" si="1"/>
        <v>78.12</v>
      </c>
      <c r="F849" s="9" t="s">
        <v>217</v>
      </c>
    </row>
    <row r="850">
      <c r="A850" s="7">
        <v>844.0</v>
      </c>
      <c r="B850" s="10" t="s">
        <v>1696</v>
      </c>
      <c r="C850" s="10" t="s">
        <v>1697</v>
      </c>
      <c r="D850" s="8">
        <f>IFERROR(__xludf.DUMMYFUNCTION("IFERROR(VLOOKUP(C850,IMPORTRANGE(""https://docs.google.com/spreadsheets/d/10KlTSftfC81rs2H7Cf6EIR7VWS3omC-2kwzaThHv16k/edit#gid=0"",""NSE Input VaR+ELM!D:J""),7,0),100)"),23.53)</f>
        <v>23.53</v>
      </c>
      <c r="E850" s="7">
        <f t="shared" si="1"/>
        <v>76.47</v>
      </c>
      <c r="F850" s="9" t="s">
        <v>217</v>
      </c>
    </row>
    <row r="851">
      <c r="A851" s="7">
        <v>845.0</v>
      </c>
      <c r="B851" s="10" t="s">
        <v>1698</v>
      </c>
      <c r="C851" s="10" t="s">
        <v>1699</v>
      </c>
      <c r="D851" s="8">
        <f>IFERROR(__xludf.DUMMYFUNCTION("IFERROR(VLOOKUP(C851,IMPORTRANGE(""https://docs.google.com/spreadsheets/d/10KlTSftfC81rs2H7Cf6EIR7VWS3omC-2kwzaThHv16k/edit#gid=0"",""NSE Input VaR+ELM!D:J""),7,0),100)"),21.52)</f>
        <v>21.52</v>
      </c>
      <c r="E851" s="7">
        <f t="shared" si="1"/>
        <v>78.48</v>
      </c>
      <c r="F851" s="9" t="s">
        <v>10</v>
      </c>
    </row>
    <row r="852">
      <c r="A852" s="7">
        <v>846.0</v>
      </c>
      <c r="B852" s="10" t="s">
        <v>1700</v>
      </c>
      <c r="C852" s="10" t="s">
        <v>1701</v>
      </c>
      <c r="D852" s="8">
        <f>IFERROR(__xludf.DUMMYFUNCTION("IFERROR(VLOOKUP(C852,IMPORTRANGE(""https://docs.google.com/spreadsheets/d/10KlTSftfC81rs2H7Cf6EIR7VWS3omC-2kwzaThHv16k/edit#gid=0"",""NSE Input VaR+ELM!D:J""),7,0),100)"),19.9)</f>
        <v>19.9</v>
      </c>
      <c r="E852" s="7">
        <f t="shared" si="1"/>
        <v>80.1</v>
      </c>
      <c r="F852" s="9" t="s">
        <v>10</v>
      </c>
    </row>
    <row r="853">
      <c r="A853" s="7">
        <v>847.0</v>
      </c>
      <c r="B853" s="10" t="s">
        <v>1702</v>
      </c>
      <c r="C853" s="10" t="s">
        <v>1703</v>
      </c>
      <c r="D853" s="8">
        <f>IFERROR(__xludf.DUMMYFUNCTION("IFERROR(VLOOKUP(C853,IMPORTRANGE(""https://docs.google.com/spreadsheets/d/10KlTSftfC81rs2H7Cf6EIR7VWS3omC-2kwzaThHv16k/edit#gid=0"",""NSE Input VaR+ELM!D:J""),7,0),100)"),20.88)</f>
        <v>20.88</v>
      </c>
      <c r="E853" s="7">
        <f t="shared" si="1"/>
        <v>79.12</v>
      </c>
      <c r="F853" s="9" t="s">
        <v>10</v>
      </c>
    </row>
    <row r="854">
      <c r="A854" s="7">
        <v>848.0</v>
      </c>
      <c r="B854" s="10" t="s">
        <v>1704</v>
      </c>
      <c r="C854" s="10" t="s">
        <v>1705</v>
      </c>
      <c r="D854" s="8">
        <f>IFERROR(__xludf.DUMMYFUNCTION("IFERROR(VLOOKUP(C854,IMPORTRANGE(""https://docs.google.com/spreadsheets/d/10KlTSftfC81rs2H7Cf6EIR7VWS3omC-2kwzaThHv16k/edit#gid=0"",""NSE Input VaR+ELM!D:J""),7,0),100)"),25.28)</f>
        <v>25.28</v>
      </c>
      <c r="E854" s="7">
        <f t="shared" si="1"/>
        <v>74.72</v>
      </c>
      <c r="F854" s="9" t="s">
        <v>217</v>
      </c>
    </row>
    <row r="855">
      <c r="A855" s="7">
        <v>849.0</v>
      </c>
      <c r="B855" s="10" t="s">
        <v>1706</v>
      </c>
      <c r="C855" s="10" t="s">
        <v>1707</v>
      </c>
      <c r="D855" s="8">
        <f>IFERROR(__xludf.DUMMYFUNCTION("IFERROR(VLOOKUP(C855,IMPORTRANGE(""https://docs.google.com/spreadsheets/d/10KlTSftfC81rs2H7Cf6EIR7VWS3omC-2kwzaThHv16k/edit#gid=0"",""NSE Input VaR+ELM!D:J""),7,0),100)"),75.0)</f>
        <v>75</v>
      </c>
      <c r="E855" s="7">
        <f t="shared" si="1"/>
        <v>25</v>
      </c>
      <c r="F855" s="9" t="s">
        <v>217</v>
      </c>
    </row>
    <row r="856">
      <c r="A856" s="7">
        <v>850.0</v>
      </c>
      <c r="B856" s="10" t="s">
        <v>1708</v>
      </c>
      <c r="C856" s="10" t="s">
        <v>1709</v>
      </c>
      <c r="D856" s="8">
        <f>IFERROR(__xludf.DUMMYFUNCTION("IFERROR(VLOOKUP(C856,IMPORTRANGE(""https://docs.google.com/spreadsheets/d/10KlTSftfC81rs2H7Cf6EIR7VWS3omC-2kwzaThHv16k/edit#gid=0"",""NSE Input VaR+ELM!D:J""),7,0),100)"),21.55)</f>
        <v>21.55</v>
      </c>
      <c r="E856" s="7">
        <f t="shared" si="1"/>
        <v>78.45</v>
      </c>
      <c r="F856" s="9" t="s">
        <v>10</v>
      </c>
    </row>
    <row r="857">
      <c r="A857" s="7">
        <v>851.0</v>
      </c>
      <c r="B857" s="10" t="s">
        <v>1710</v>
      </c>
      <c r="C857" s="10" t="s">
        <v>1711</v>
      </c>
      <c r="D857" s="8">
        <f>IFERROR(__xludf.DUMMYFUNCTION("IFERROR(VLOOKUP(C857,IMPORTRANGE(""https://docs.google.com/spreadsheets/d/10KlTSftfC81rs2H7Cf6EIR7VWS3omC-2kwzaThHv16k/edit#gid=0"",""NSE Input VaR+ELM!D:J""),7,0),100)"),21.56)</f>
        <v>21.56</v>
      </c>
      <c r="E857" s="7">
        <f t="shared" si="1"/>
        <v>78.44</v>
      </c>
      <c r="F857" s="9" t="s">
        <v>217</v>
      </c>
    </row>
    <row r="858">
      <c r="A858" s="7">
        <v>852.0</v>
      </c>
      <c r="B858" s="10" t="s">
        <v>1712</v>
      </c>
      <c r="C858" s="10" t="s">
        <v>1713</v>
      </c>
      <c r="D858" s="8">
        <f>IFERROR(__xludf.DUMMYFUNCTION("IFERROR(VLOOKUP(C858,IMPORTRANGE(""https://docs.google.com/spreadsheets/d/10KlTSftfC81rs2H7Cf6EIR7VWS3omC-2kwzaThHv16k/edit#gid=0"",""NSE Input VaR+ELM!D:J""),7,0),100)"),19.9)</f>
        <v>19.9</v>
      </c>
      <c r="E858" s="7">
        <f t="shared" si="1"/>
        <v>80.1</v>
      </c>
      <c r="F858" s="9" t="s">
        <v>10</v>
      </c>
    </row>
    <row r="859">
      <c r="A859" s="7">
        <v>853.0</v>
      </c>
      <c r="B859" s="10" t="s">
        <v>1714</v>
      </c>
      <c r="C859" s="10" t="s">
        <v>1715</v>
      </c>
      <c r="D859" s="8">
        <f>IFERROR(__xludf.DUMMYFUNCTION("IFERROR(VLOOKUP(C859,IMPORTRANGE(""https://docs.google.com/spreadsheets/d/10KlTSftfC81rs2H7Cf6EIR7VWS3omC-2kwzaThHv16k/edit#gid=0"",""NSE Input VaR+ELM!D:J""),7,0),100)"),23.19)</f>
        <v>23.19</v>
      </c>
      <c r="E859" s="7">
        <f t="shared" si="1"/>
        <v>76.81</v>
      </c>
      <c r="F859" s="9" t="s">
        <v>10</v>
      </c>
    </row>
    <row r="860">
      <c r="A860" s="7">
        <v>854.0</v>
      </c>
      <c r="B860" s="10" t="s">
        <v>1716</v>
      </c>
      <c r="C860" s="10" t="s">
        <v>1717</v>
      </c>
      <c r="D860" s="8">
        <f>IFERROR(__xludf.DUMMYFUNCTION("IFERROR(VLOOKUP(C860,IMPORTRANGE(""https://docs.google.com/spreadsheets/d/10KlTSftfC81rs2H7Cf6EIR7VWS3omC-2kwzaThHv16k/edit#gid=0"",""NSE Input VaR+ELM!D:J""),7,0),100)"),16.99)</f>
        <v>16.99</v>
      </c>
      <c r="E860" s="7">
        <f t="shared" si="1"/>
        <v>83.01</v>
      </c>
      <c r="F860" s="9" t="s">
        <v>10</v>
      </c>
    </row>
    <row r="861">
      <c r="A861" s="7">
        <v>855.0</v>
      </c>
      <c r="B861" s="11" t="s">
        <v>1718</v>
      </c>
      <c r="C861" s="11" t="s">
        <v>1719</v>
      </c>
      <c r="D861" s="8">
        <f>IFERROR(__xludf.DUMMYFUNCTION("IFERROR(VLOOKUP(C861,IMPORTRANGE(""https://docs.google.com/spreadsheets/d/10KlTSftfC81rs2H7Cf6EIR7VWS3omC-2kwzaThHv16k/edit#gid=0"",""NSE Input VaR+ELM!D:J""),7,0),100)"),22.1)</f>
        <v>22.1</v>
      </c>
      <c r="E861" s="7">
        <f t="shared" si="1"/>
        <v>77.9</v>
      </c>
      <c r="F861" s="9" t="s">
        <v>217</v>
      </c>
      <c r="G861" s="4"/>
    </row>
    <row r="862">
      <c r="A862" s="7">
        <v>856.0</v>
      </c>
      <c r="B862" s="8" t="s">
        <v>1720</v>
      </c>
      <c r="C862" s="8" t="s">
        <v>1721</v>
      </c>
      <c r="D862" s="8">
        <f>IFERROR(__xludf.DUMMYFUNCTION("IFERROR(VLOOKUP(C862,IMPORTRANGE(""https://docs.google.com/spreadsheets/d/10KlTSftfC81rs2H7Cf6EIR7VWS3omC-2kwzaThHv16k/edit#gid=0"",""NSE Input VaR+ELM!D:J""),7,0),100)"),23.64)</f>
        <v>23.64</v>
      </c>
      <c r="E862" s="7">
        <f t="shared" si="1"/>
        <v>76.36</v>
      </c>
      <c r="F862" s="9" t="s">
        <v>217</v>
      </c>
      <c r="G862" s="7"/>
    </row>
    <row r="863">
      <c r="A863" s="7">
        <v>857.0</v>
      </c>
      <c r="B863" s="8" t="s">
        <v>1722</v>
      </c>
      <c r="C863" s="8" t="s">
        <v>1723</v>
      </c>
      <c r="D863" s="8">
        <f>IFERROR(__xludf.DUMMYFUNCTION("IFERROR(VLOOKUP(C863,IMPORTRANGE(""https://docs.google.com/spreadsheets/d/10KlTSftfC81rs2H7Cf6EIR7VWS3omC-2kwzaThHv16k/edit#gid=0"",""NSE Input VaR+ELM!D:J""),7,0),100)"),20.07)</f>
        <v>20.07</v>
      </c>
      <c r="E863" s="7">
        <f t="shared" si="1"/>
        <v>79.93</v>
      </c>
      <c r="F863" s="9" t="s">
        <v>10</v>
      </c>
      <c r="G863" s="7"/>
    </row>
    <row r="864">
      <c r="A864" s="7">
        <v>858.0</v>
      </c>
      <c r="B864" s="8" t="s">
        <v>1724</v>
      </c>
      <c r="C864" s="8" t="s">
        <v>1725</v>
      </c>
      <c r="D864" s="8">
        <f>IFERROR(__xludf.DUMMYFUNCTION("IFERROR(VLOOKUP(C864,IMPORTRANGE(""https://docs.google.com/spreadsheets/d/10KlTSftfC81rs2H7Cf6EIR7VWS3omC-2kwzaThHv16k/edit#gid=0"",""NSE Input VaR+ELM!D:J""),7,0),100)"),16.77)</f>
        <v>16.77</v>
      </c>
      <c r="E864" s="7">
        <f t="shared" si="1"/>
        <v>83.23</v>
      </c>
      <c r="F864" s="9" t="s">
        <v>217</v>
      </c>
      <c r="G864" s="7"/>
    </row>
    <row r="865">
      <c r="A865" s="7">
        <v>859.0</v>
      </c>
      <c r="B865" s="8" t="s">
        <v>1726</v>
      </c>
      <c r="C865" s="8" t="s">
        <v>1727</v>
      </c>
      <c r="D865" s="8">
        <f>IFERROR(__xludf.DUMMYFUNCTION("IFERROR(VLOOKUP(C865,IMPORTRANGE(""https://docs.google.com/spreadsheets/d/10KlTSftfC81rs2H7Cf6EIR7VWS3omC-2kwzaThHv16k/edit#gid=0"",""NSE Input VaR+ELM!D:J""),7,0),100)"),15.16)</f>
        <v>15.16</v>
      </c>
      <c r="E865" s="7">
        <f t="shared" si="1"/>
        <v>84.84</v>
      </c>
      <c r="F865" s="9" t="s">
        <v>10</v>
      </c>
      <c r="G865" s="7"/>
    </row>
    <row r="866">
      <c r="A866" s="7">
        <v>860.0</v>
      </c>
      <c r="B866" s="8" t="s">
        <v>1728</v>
      </c>
      <c r="C866" s="8" t="s">
        <v>1729</v>
      </c>
      <c r="D866" s="8">
        <f>IFERROR(__xludf.DUMMYFUNCTION("IFERROR(VLOOKUP(C866,IMPORTRANGE(""https://docs.google.com/spreadsheets/d/10KlTSftfC81rs2H7Cf6EIR7VWS3omC-2kwzaThHv16k/edit#gid=0"",""NSE Input VaR+ELM!D:J""),7,0),100)"),24.07)</f>
        <v>24.07</v>
      </c>
      <c r="E866" s="7">
        <f t="shared" si="1"/>
        <v>75.93</v>
      </c>
      <c r="F866" s="9" t="s">
        <v>10</v>
      </c>
      <c r="G866" s="7"/>
    </row>
    <row r="867">
      <c r="A867" s="7">
        <v>861.0</v>
      </c>
      <c r="B867" s="8" t="s">
        <v>1730</v>
      </c>
      <c r="C867" s="8" t="s">
        <v>1731</v>
      </c>
      <c r="D867" s="8">
        <f>IFERROR(__xludf.DUMMYFUNCTION("IFERROR(VLOOKUP(C867,IMPORTRANGE(""https://docs.google.com/spreadsheets/d/10KlTSftfC81rs2H7Cf6EIR7VWS3omC-2kwzaThHv16k/edit#gid=0"",""NSE Input VaR+ELM!D:J""),7,0),100)"),23.69)</f>
        <v>23.69</v>
      </c>
      <c r="E867" s="7">
        <f t="shared" si="1"/>
        <v>76.31</v>
      </c>
      <c r="F867" s="9" t="s">
        <v>10</v>
      </c>
      <c r="G867" s="7"/>
    </row>
    <row r="868">
      <c r="A868" s="7">
        <v>862.0</v>
      </c>
      <c r="B868" s="8" t="s">
        <v>1732</v>
      </c>
      <c r="C868" s="8" t="s">
        <v>1733</v>
      </c>
      <c r="D868" s="8">
        <f>IFERROR(__xludf.DUMMYFUNCTION("IFERROR(VLOOKUP(C868,IMPORTRANGE(""https://docs.google.com/spreadsheets/d/10KlTSftfC81rs2H7Cf6EIR7VWS3omC-2kwzaThHv16k/edit#gid=0"",""NSE Input VaR+ELM!D:J""),7,0),100)"),35.0)</f>
        <v>35</v>
      </c>
      <c r="E868" s="7">
        <f t="shared" si="1"/>
        <v>65</v>
      </c>
      <c r="F868" s="9" t="s">
        <v>10</v>
      </c>
      <c r="G868" s="7"/>
    </row>
    <row r="869">
      <c r="A869" s="7">
        <v>863.0</v>
      </c>
      <c r="B869" s="8" t="s">
        <v>1734</v>
      </c>
      <c r="C869" s="8" t="s">
        <v>1735</v>
      </c>
      <c r="D869" s="8">
        <f>IFERROR(__xludf.DUMMYFUNCTION("IFERROR(VLOOKUP(C869,IMPORTRANGE(""https://docs.google.com/spreadsheets/d/10KlTSftfC81rs2H7Cf6EIR7VWS3omC-2kwzaThHv16k/edit#gid=0"",""NSE Input VaR+ELM!D:J""),7,0),100)"),29.26)</f>
        <v>29.26</v>
      </c>
      <c r="E869" s="7">
        <f t="shared" si="1"/>
        <v>70.74</v>
      </c>
      <c r="F869" s="9" t="s">
        <v>10</v>
      </c>
      <c r="G869" s="7"/>
    </row>
    <row r="870">
      <c r="A870" s="7">
        <v>864.0</v>
      </c>
      <c r="B870" s="8" t="s">
        <v>1736</v>
      </c>
      <c r="C870" s="8" t="s">
        <v>1737</v>
      </c>
      <c r="D870" s="8">
        <f>IFERROR(__xludf.DUMMYFUNCTION("IFERROR(VLOOKUP(C870,IMPORTRANGE(""https://docs.google.com/spreadsheets/d/10KlTSftfC81rs2H7Cf6EIR7VWS3omC-2kwzaThHv16k/edit#gid=0"",""NSE Input VaR+ELM!D:J""),7,0),100)"),29.1)</f>
        <v>29.1</v>
      </c>
      <c r="E870" s="7">
        <f t="shared" si="1"/>
        <v>70.9</v>
      </c>
      <c r="F870" s="9" t="s">
        <v>10</v>
      </c>
      <c r="G870" s="7"/>
    </row>
    <row r="871">
      <c r="A871" s="7">
        <v>865.0</v>
      </c>
      <c r="B871" s="8" t="s">
        <v>1738</v>
      </c>
      <c r="C871" s="8" t="s">
        <v>1739</v>
      </c>
      <c r="D871" s="8">
        <f>IFERROR(__xludf.DUMMYFUNCTION("IFERROR(VLOOKUP(C871,IMPORTRANGE(""https://docs.google.com/spreadsheets/d/10KlTSftfC81rs2H7Cf6EIR7VWS3omC-2kwzaThHv16k/edit#gid=0"",""NSE Input VaR+ELM!D:J""),7,0),100)"),25.83)</f>
        <v>25.83</v>
      </c>
      <c r="E871" s="7">
        <f t="shared" si="1"/>
        <v>74.17</v>
      </c>
      <c r="F871" s="9" t="s">
        <v>10</v>
      </c>
      <c r="G871" s="7"/>
    </row>
    <row r="872">
      <c r="A872" s="7">
        <v>866.0</v>
      </c>
      <c r="B872" s="8" t="s">
        <v>1740</v>
      </c>
      <c r="C872" s="8" t="s">
        <v>1741</v>
      </c>
      <c r="D872" s="8">
        <f>IFERROR(__xludf.DUMMYFUNCTION("IFERROR(VLOOKUP(C872,IMPORTRANGE(""https://docs.google.com/spreadsheets/d/10KlTSftfC81rs2H7Cf6EIR7VWS3omC-2kwzaThHv16k/edit#gid=0"",""NSE Input VaR+ELM!D:J""),7,0),100)"),28.74)</f>
        <v>28.74</v>
      </c>
      <c r="E872" s="7">
        <f t="shared" si="1"/>
        <v>71.26</v>
      </c>
      <c r="F872" s="9" t="s">
        <v>10</v>
      </c>
      <c r="G872" s="7"/>
    </row>
    <row r="873">
      <c r="A873" s="7">
        <v>867.0</v>
      </c>
      <c r="B873" s="8" t="s">
        <v>1742</v>
      </c>
      <c r="C873" s="8" t="s">
        <v>1743</v>
      </c>
      <c r="D873" s="8">
        <f>IFERROR(__xludf.DUMMYFUNCTION("IFERROR(VLOOKUP(C873,IMPORTRANGE(""https://docs.google.com/spreadsheets/d/10KlTSftfC81rs2H7Cf6EIR7VWS3omC-2kwzaThHv16k/edit#gid=0"",""NSE Input VaR+ELM!D:J""),7,0),100)"),30.56)</f>
        <v>30.56</v>
      </c>
      <c r="E873" s="7">
        <f t="shared" si="1"/>
        <v>69.44</v>
      </c>
      <c r="F873" s="9" t="s">
        <v>10</v>
      </c>
      <c r="G873" s="7"/>
    </row>
    <row r="874">
      <c r="A874" s="7">
        <v>868.0</v>
      </c>
      <c r="B874" s="8" t="s">
        <v>1744</v>
      </c>
      <c r="C874" s="8" t="s">
        <v>1745</v>
      </c>
      <c r="D874" s="8">
        <f>IFERROR(__xludf.DUMMYFUNCTION("IFERROR(VLOOKUP(C874,IMPORTRANGE(""https://docs.google.com/spreadsheets/d/10KlTSftfC81rs2H7Cf6EIR7VWS3omC-2kwzaThHv16k/edit#gid=0"",""NSE Input VaR+ELM!D:J""),7,0),100)"),26.19)</f>
        <v>26.19</v>
      </c>
      <c r="E874" s="7">
        <f t="shared" si="1"/>
        <v>73.81</v>
      </c>
      <c r="F874" s="9" t="s">
        <v>10</v>
      </c>
      <c r="G874" s="7"/>
    </row>
    <row r="875">
      <c r="A875" s="7">
        <v>869.0</v>
      </c>
      <c r="B875" s="8" t="s">
        <v>1746</v>
      </c>
      <c r="C875" s="8" t="s">
        <v>1747</v>
      </c>
      <c r="D875" s="8">
        <f>IFERROR(__xludf.DUMMYFUNCTION("IFERROR(VLOOKUP(C875,IMPORTRANGE(""https://docs.google.com/spreadsheets/d/10KlTSftfC81rs2H7Cf6EIR7VWS3omC-2kwzaThHv16k/edit#gid=0"",""NSE Input VaR+ELM!D:J""),7,0),100)"),100.0)</f>
        <v>100</v>
      </c>
      <c r="E875" s="7">
        <f t="shared" si="1"/>
        <v>0</v>
      </c>
      <c r="F875" s="9" t="s">
        <v>10</v>
      </c>
      <c r="G875" s="7"/>
    </row>
    <row r="876">
      <c r="A876" s="7">
        <v>870.0</v>
      </c>
      <c r="B876" s="8" t="s">
        <v>1748</v>
      </c>
      <c r="C876" s="8" t="s">
        <v>1749</v>
      </c>
      <c r="D876" s="8">
        <f>IFERROR(__xludf.DUMMYFUNCTION("IFERROR(VLOOKUP(C876,IMPORTRANGE(""https://docs.google.com/spreadsheets/d/10KlTSftfC81rs2H7Cf6EIR7VWS3omC-2kwzaThHv16k/edit#gid=0"",""NSE Input VaR+ELM!D:J""),7,0),100)"),31.0)</f>
        <v>31</v>
      </c>
      <c r="E876" s="7">
        <f t="shared" si="1"/>
        <v>69</v>
      </c>
      <c r="F876" s="9" t="s">
        <v>10</v>
      </c>
      <c r="G876" s="7"/>
    </row>
    <row r="877">
      <c r="A877" s="7">
        <v>871.0</v>
      </c>
      <c r="B877" s="8" t="s">
        <v>1750</v>
      </c>
      <c r="C877" s="8" t="s">
        <v>1751</v>
      </c>
      <c r="D877" s="8">
        <f>IFERROR(__xludf.DUMMYFUNCTION("IFERROR(VLOOKUP(C877,IMPORTRANGE(""https://docs.google.com/spreadsheets/d/10KlTSftfC81rs2H7Cf6EIR7VWS3omC-2kwzaThHv16k/edit#gid=0"",""NSE Input VaR+ELM!D:J""),7,0),100)"),20.2)</f>
        <v>20.2</v>
      </c>
      <c r="E877" s="7">
        <f t="shared" si="1"/>
        <v>79.8</v>
      </c>
      <c r="F877" s="9" t="s">
        <v>10</v>
      </c>
      <c r="G877" s="7"/>
    </row>
    <row r="878">
      <c r="A878" s="7">
        <v>872.0</v>
      </c>
      <c r="B878" s="8" t="s">
        <v>1752</v>
      </c>
      <c r="C878" s="8" t="s">
        <v>1753</v>
      </c>
      <c r="D878" s="8">
        <f>IFERROR(__xludf.DUMMYFUNCTION("IFERROR(VLOOKUP(C878,IMPORTRANGE(""https://docs.google.com/spreadsheets/d/10KlTSftfC81rs2H7Cf6EIR7VWS3omC-2kwzaThHv16k/edit#gid=0"",""NSE Input VaR+ELM!D:J""),7,0),100)"),16.31)</f>
        <v>16.31</v>
      </c>
      <c r="E878" s="7">
        <f t="shared" si="1"/>
        <v>83.69</v>
      </c>
      <c r="F878" s="9" t="s">
        <v>10</v>
      </c>
      <c r="G878" s="7"/>
    </row>
    <row r="879">
      <c r="A879" s="7">
        <v>873.0</v>
      </c>
      <c r="B879" s="8" t="s">
        <v>1754</v>
      </c>
      <c r="C879" s="8" t="s">
        <v>1755</v>
      </c>
      <c r="D879" s="8">
        <f>IFERROR(__xludf.DUMMYFUNCTION("IFERROR(VLOOKUP(C879,IMPORTRANGE(""https://docs.google.com/spreadsheets/d/10KlTSftfC81rs2H7Cf6EIR7VWS3omC-2kwzaThHv16k/edit#gid=0"",""NSE Input VaR+ELM!D:J""),7,0),100)"),24.43)</f>
        <v>24.43</v>
      </c>
      <c r="E879" s="7">
        <f t="shared" si="1"/>
        <v>75.57</v>
      </c>
      <c r="F879" s="9" t="s">
        <v>10</v>
      </c>
      <c r="G879" s="7"/>
    </row>
    <row r="880">
      <c r="A880" s="7">
        <v>874.0</v>
      </c>
      <c r="B880" s="8" t="s">
        <v>1756</v>
      </c>
      <c r="C880" s="8" t="s">
        <v>1757</v>
      </c>
      <c r="D880" s="8">
        <f>IFERROR(__xludf.DUMMYFUNCTION("IFERROR(VLOOKUP(C880,IMPORTRANGE(""https://docs.google.com/spreadsheets/d/10KlTSftfC81rs2H7Cf6EIR7VWS3omC-2kwzaThHv16k/edit#gid=0"",""NSE Input VaR+ELM!D:J""),7,0),100)"),24.44)</f>
        <v>24.44</v>
      </c>
      <c r="E880" s="7">
        <f t="shared" si="1"/>
        <v>75.56</v>
      </c>
      <c r="F880" s="9" t="s">
        <v>10</v>
      </c>
      <c r="G880" s="7"/>
    </row>
    <row r="881">
      <c r="A881" s="7">
        <v>875.0</v>
      </c>
      <c r="B881" s="8" t="s">
        <v>1758</v>
      </c>
      <c r="C881" s="8" t="s">
        <v>1759</v>
      </c>
      <c r="D881" s="8">
        <f>IFERROR(__xludf.DUMMYFUNCTION("IFERROR(VLOOKUP(C881,IMPORTRANGE(""https://docs.google.com/spreadsheets/d/10KlTSftfC81rs2H7Cf6EIR7VWS3omC-2kwzaThHv16k/edit#gid=0"",""NSE Input VaR+ELM!D:J""),7,0),100)"),15.77)</f>
        <v>15.77</v>
      </c>
      <c r="E881" s="7">
        <f t="shared" si="1"/>
        <v>84.23</v>
      </c>
      <c r="F881" s="9" t="s">
        <v>10</v>
      </c>
      <c r="G881" s="7"/>
    </row>
    <row r="882">
      <c r="A882" s="7">
        <v>876.0</v>
      </c>
      <c r="B882" s="8" t="s">
        <v>1760</v>
      </c>
      <c r="C882" s="8" t="s">
        <v>1761</v>
      </c>
      <c r="D882" s="8">
        <f>IFERROR(__xludf.DUMMYFUNCTION("IFERROR(VLOOKUP(C882,IMPORTRANGE(""https://docs.google.com/spreadsheets/d/10KlTSftfC81rs2H7Cf6EIR7VWS3omC-2kwzaThHv16k/edit#gid=0"",""NSE Input VaR+ELM!D:J""),7,0),100)"),24.17)</f>
        <v>24.17</v>
      </c>
      <c r="E882" s="7">
        <f t="shared" si="1"/>
        <v>75.83</v>
      </c>
      <c r="F882" s="9" t="s">
        <v>10</v>
      </c>
      <c r="G882" s="7"/>
    </row>
    <row r="883">
      <c r="A883" s="7">
        <v>877.0</v>
      </c>
      <c r="B883" s="8" t="s">
        <v>1762</v>
      </c>
      <c r="C883" s="8" t="s">
        <v>1763</v>
      </c>
      <c r="D883" s="8">
        <f>IFERROR(__xludf.DUMMYFUNCTION("IFERROR(VLOOKUP(C883,IMPORTRANGE(""https://docs.google.com/spreadsheets/d/10KlTSftfC81rs2H7Cf6EIR7VWS3omC-2kwzaThHv16k/edit#gid=0"",""NSE Input VaR+ELM!D:J""),7,0),100)"),24.82)</f>
        <v>24.82</v>
      </c>
      <c r="E883" s="7">
        <f t="shared" si="1"/>
        <v>75.18</v>
      </c>
      <c r="F883" s="9" t="s">
        <v>10</v>
      </c>
      <c r="G883" s="7"/>
    </row>
    <row r="884">
      <c r="A884" s="7">
        <v>878.0</v>
      </c>
      <c r="B884" s="8" t="s">
        <v>1764</v>
      </c>
      <c r="C884" s="8" t="s">
        <v>1765</v>
      </c>
      <c r="D884" s="8">
        <f>IFERROR(__xludf.DUMMYFUNCTION("IFERROR(VLOOKUP(C884,IMPORTRANGE(""https://docs.google.com/spreadsheets/d/10KlTSftfC81rs2H7Cf6EIR7VWS3omC-2kwzaThHv16k/edit#gid=0"",""NSE Input VaR+ELM!D:J""),7,0),100)"),24.93)</f>
        <v>24.93</v>
      </c>
      <c r="E884" s="7">
        <f t="shared" si="1"/>
        <v>75.07</v>
      </c>
      <c r="F884" s="9" t="s">
        <v>10</v>
      </c>
      <c r="G884" s="7"/>
    </row>
    <row r="885">
      <c r="A885" s="7">
        <v>879.0</v>
      </c>
      <c r="B885" s="8" t="s">
        <v>1766</v>
      </c>
      <c r="C885" s="8" t="s">
        <v>1767</v>
      </c>
      <c r="D885" s="8">
        <f>IFERROR(__xludf.DUMMYFUNCTION("IFERROR(VLOOKUP(C885,IMPORTRANGE(""https://docs.google.com/spreadsheets/d/10KlTSftfC81rs2H7Cf6EIR7VWS3omC-2kwzaThHv16k/edit#gid=0"",""NSE Input VaR+ELM!D:J""),7,0),100)"),22.52)</f>
        <v>22.52</v>
      </c>
      <c r="E885" s="7">
        <f t="shared" si="1"/>
        <v>77.48</v>
      </c>
      <c r="F885" s="9" t="s">
        <v>10</v>
      </c>
      <c r="G885" s="7"/>
    </row>
    <row r="886">
      <c r="A886" s="7">
        <v>880.0</v>
      </c>
      <c r="B886" s="8" t="s">
        <v>1768</v>
      </c>
      <c r="C886" s="8" t="s">
        <v>1769</v>
      </c>
      <c r="D886" s="8">
        <f>IFERROR(__xludf.DUMMYFUNCTION("IFERROR(VLOOKUP(C886,IMPORTRANGE(""https://docs.google.com/spreadsheets/d/10KlTSftfC81rs2H7Cf6EIR7VWS3omC-2kwzaThHv16k/edit#gid=0"",""NSE Input VaR+ELM!D:J""),7,0),100)"),13.83)</f>
        <v>13.83</v>
      </c>
      <c r="E886" s="7">
        <f t="shared" si="1"/>
        <v>86.17</v>
      </c>
      <c r="F886" s="9" t="s">
        <v>10</v>
      </c>
      <c r="G886" s="7"/>
    </row>
    <row r="887">
      <c r="A887" s="7">
        <v>881.0</v>
      </c>
      <c r="B887" s="10" t="s">
        <v>1770</v>
      </c>
      <c r="C887" s="10" t="s">
        <v>1771</v>
      </c>
      <c r="D887" s="8">
        <f>IFERROR(__xludf.DUMMYFUNCTION("IFERROR(VLOOKUP(C887,IMPORTRANGE(""https://docs.google.com/spreadsheets/d/10KlTSftfC81rs2H7Cf6EIR7VWS3omC-2kwzaThHv16k/edit#gid=0"",""NSE Input VaR+ELM!D:J""),7,0),100)"),22.5)</f>
        <v>22.5</v>
      </c>
      <c r="E887" s="7">
        <f t="shared" si="1"/>
        <v>77.5</v>
      </c>
      <c r="F887" s="9" t="s">
        <v>10</v>
      </c>
    </row>
    <row r="888">
      <c r="A888" s="7">
        <v>882.0</v>
      </c>
      <c r="B888" s="10" t="s">
        <v>1772</v>
      </c>
      <c r="C888" s="10" t="s">
        <v>1773</v>
      </c>
      <c r="D888" s="8">
        <f>IFERROR(__xludf.DUMMYFUNCTION("IFERROR(VLOOKUP(C888,IMPORTRANGE(""https://docs.google.com/spreadsheets/d/10KlTSftfC81rs2H7Cf6EIR7VWS3omC-2kwzaThHv16k/edit#gid=0"",""NSE Input VaR+ELM!D:J""),7,0),100)"),19.53)</f>
        <v>19.53</v>
      </c>
      <c r="E888" s="7">
        <f t="shared" si="1"/>
        <v>80.47</v>
      </c>
      <c r="F888" s="9" t="s">
        <v>10</v>
      </c>
    </row>
    <row r="889">
      <c r="A889" s="7">
        <v>883.0</v>
      </c>
      <c r="B889" s="10" t="s">
        <v>1774</v>
      </c>
      <c r="C889" s="10" t="s">
        <v>1775</v>
      </c>
      <c r="D889" s="8">
        <f>IFERROR(__xludf.DUMMYFUNCTION("IFERROR(VLOOKUP(C889,IMPORTRANGE(""https://docs.google.com/spreadsheets/d/10KlTSftfC81rs2H7Cf6EIR7VWS3omC-2kwzaThHv16k/edit#gid=0"",""NSE Input VaR+ELM!D:J""),7,0),100)"),23.41)</f>
        <v>23.41</v>
      </c>
      <c r="E889" s="7">
        <f t="shared" si="1"/>
        <v>76.59</v>
      </c>
      <c r="F889" s="9" t="s">
        <v>217</v>
      </c>
    </row>
    <row r="890">
      <c r="A890" s="7">
        <v>884.0</v>
      </c>
      <c r="B890" s="10" t="s">
        <v>1776</v>
      </c>
      <c r="C890" s="10" t="s">
        <v>1777</v>
      </c>
      <c r="D890" s="8">
        <f>IFERROR(__xludf.DUMMYFUNCTION("IFERROR(VLOOKUP(C890,IMPORTRANGE(""https://docs.google.com/spreadsheets/d/10KlTSftfC81rs2H7Cf6EIR7VWS3omC-2kwzaThHv16k/edit#gid=0"",""NSE Input VaR+ELM!D:J""),7,0),100)"),75.0)</f>
        <v>75</v>
      </c>
      <c r="E890" s="7">
        <f t="shared" si="1"/>
        <v>25</v>
      </c>
      <c r="F890" s="9" t="s">
        <v>10</v>
      </c>
    </row>
    <row r="891">
      <c r="A891" s="7">
        <v>885.0</v>
      </c>
      <c r="B891" s="10" t="s">
        <v>1778</v>
      </c>
      <c r="C891" s="10" t="s">
        <v>1779</v>
      </c>
      <c r="D891" s="8">
        <f>IFERROR(__xludf.DUMMYFUNCTION("IFERROR(VLOOKUP(C891,IMPORTRANGE(""https://docs.google.com/spreadsheets/d/10KlTSftfC81rs2H7Cf6EIR7VWS3omC-2kwzaThHv16k/edit#gid=0"",""NSE Input VaR+ELM!D:J""),7,0),100)"),25.88)</f>
        <v>25.88</v>
      </c>
      <c r="E891" s="7">
        <f t="shared" si="1"/>
        <v>74.12</v>
      </c>
      <c r="F891" s="9" t="s">
        <v>10</v>
      </c>
    </row>
    <row r="892">
      <c r="A892" s="7">
        <v>886.0</v>
      </c>
      <c r="B892" s="10" t="s">
        <v>1780</v>
      </c>
      <c r="C892" s="10" t="s">
        <v>1781</v>
      </c>
      <c r="D892" s="8">
        <f>IFERROR(__xludf.DUMMYFUNCTION("IFERROR(VLOOKUP(C892,IMPORTRANGE(""https://docs.google.com/spreadsheets/d/10KlTSftfC81rs2H7Cf6EIR7VWS3omC-2kwzaThHv16k/edit#gid=0"",""NSE Input VaR+ELM!D:J""),7,0),100)"),23.7)</f>
        <v>23.7</v>
      </c>
      <c r="E892" s="7">
        <f t="shared" si="1"/>
        <v>76.3</v>
      </c>
      <c r="F892" s="9" t="s">
        <v>10</v>
      </c>
    </row>
    <row r="893">
      <c r="A893" s="7">
        <v>887.0</v>
      </c>
      <c r="B893" s="10" t="s">
        <v>1782</v>
      </c>
      <c r="C893" s="10" t="s">
        <v>1783</v>
      </c>
      <c r="D893" s="8">
        <f>IFERROR(__xludf.DUMMYFUNCTION("IFERROR(VLOOKUP(C893,IMPORTRANGE(""https://docs.google.com/spreadsheets/d/10KlTSftfC81rs2H7Cf6EIR7VWS3omC-2kwzaThHv16k/edit#gid=0"",""NSE Input VaR+ELM!D:J""),7,0),100)"),20.16)</f>
        <v>20.16</v>
      </c>
      <c r="E893" s="7">
        <f t="shared" si="1"/>
        <v>79.84</v>
      </c>
      <c r="F893" s="9" t="s">
        <v>217</v>
      </c>
    </row>
    <row r="894">
      <c r="A894" s="7">
        <v>888.0</v>
      </c>
      <c r="B894" s="10" t="s">
        <v>1784</v>
      </c>
      <c r="C894" s="10" t="s">
        <v>1785</v>
      </c>
      <c r="D894" s="8">
        <f>IFERROR(__xludf.DUMMYFUNCTION("IFERROR(VLOOKUP(C894,IMPORTRANGE(""https://docs.google.com/spreadsheets/d/10KlTSftfC81rs2H7Cf6EIR7VWS3omC-2kwzaThHv16k/edit#gid=0"",""NSE Input VaR+ELM!D:J""),7,0),100)"),21.45)</f>
        <v>21.45</v>
      </c>
      <c r="E894" s="7">
        <f t="shared" si="1"/>
        <v>78.55</v>
      </c>
      <c r="F894" s="9" t="s">
        <v>10</v>
      </c>
    </row>
    <row r="895">
      <c r="A895" s="7">
        <v>889.0</v>
      </c>
      <c r="B895" s="10" t="s">
        <v>1786</v>
      </c>
      <c r="C895" s="10" t="s">
        <v>1787</v>
      </c>
      <c r="D895" s="8">
        <f>IFERROR(__xludf.DUMMYFUNCTION("IFERROR(VLOOKUP(C895,IMPORTRANGE(""https://docs.google.com/spreadsheets/d/10KlTSftfC81rs2H7Cf6EIR7VWS3omC-2kwzaThHv16k/edit#gid=0"",""NSE Input VaR+ELM!D:J""),7,0),100)"),25.61)</f>
        <v>25.61</v>
      </c>
      <c r="E895" s="7">
        <f t="shared" si="1"/>
        <v>74.39</v>
      </c>
      <c r="F895" s="9" t="s">
        <v>10</v>
      </c>
    </row>
    <row r="896">
      <c r="A896" s="7">
        <v>890.0</v>
      </c>
      <c r="B896" s="10" t="s">
        <v>1788</v>
      </c>
      <c r="C896" s="10" t="s">
        <v>1789</v>
      </c>
      <c r="D896" s="8">
        <f>IFERROR(__xludf.DUMMYFUNCTION("IFERROR(VLOOKUP(C896,IMPORTRANGE(""https://docs.google.com/spreadsheets/d/10KlTSftfC81rs2H7Cf6EIR7VWS3omC-2kwzaThHv16k/edit#gid=0"",""NSE Input VaR+ELM!D:J""),7,0),100)"),19.85)</f>
        <v>19.85</v>
      </c>
      <c r="E896" s="7">
        <f t="shared" si="1"/>
        <v>80.15</v>
      </c>
      <c r="F896" s="9" t="s">
        <v>10</v>
      </c>
    </row>
    <row r="897">
      <c r="A897" s="7">
        <v>891.0</v>
      </c>
      <c r="B897" s="10" t="s">
        <v>1790</v>
      </c>
      <c r="C897" s="10" t="s">
        <v>1791</v>
      </c>
      <c r="D897" s="8">
        <f>IFERROR(__xludf.DUMMYFUNCTION("IFERROR(VLOOKUP(C897,IMPORTRANGE(""https://docs.google.com/spreadsheets/d/10KlTSftfC81rs2H7Cf6EIR7VWS3omC-2kwzaThHv16k/edit#gid=0"",""NSE Input VaR+ELM!D:J""),7,0),100)"),14.17)</f>
        <v>14.17</v>
      </c>
      <c r="E897" s="7">
        <f t="shared" si="1"/>
        <v>85.83</v>
      </c>
      <c r="F897" s="9" t="s">
        <v>10</v>
      </c>
    </row>
    <row r="898">
      <c r="A898" s="7">
        <v>892.0</v>
      </c>
      <c r="B898" s="10" t="s">
        <v>1792</v>
      </c>
      <c r="C898" s="10" t="s">
        <v>1793</v>
      </c>
      <c r="D898" s="8">
        <f>IFERROR(__xludf.DUMMYFUNCTION("IFERROR(VLOOKUP(C898,IMPORTRANGE(""https://docs.google.com/spreadsheets/d/10KlTSftfC81rs2H7Cf6EIR7VWS3omC-2kwzaThHv16k/edit#gid=0"",""NSE Input VaR+ELM!D:J""),7,0),100)"),14.7)</f>
        <v>14.7</v>
      </c>
      <c r="E898" s="7">
        <f t="shared" si="1"/>
        <v>85.3</v>
      </c>
      <c r="F898" s="9" t="s">
        <v>10</v>
      </c>
    </row>
    <row r="899">
      <c r="A899" s="7">
        <v>893.0</v>
      </c>
      <c r="B899" s="12" t="s">
        <v>1794</v>
      </c>
      <c r="C899" s="12" t="s">
        <v>1795</v>
      </c>
      <c r="D899" s="8">
        <f>IFERROR(__xludf.DUMMYFUNCTION("IFERROR(VLOOKUP(C899,IMPORTRANGE(""https://docs.google.com/spreadsheets/d/10KlTSftfC81rs2H7Cf6EIR7VWS3omC-2kwzaThHv16k/edit#gid=0"",""NSE Input VaR+ELM!D:J""),7,0),100)"),12.68)</f>
        <v>12.68</v>
      </c>
      <c r="E899" s="7">
        <f t="shared" si="1"/>
        <v>87.32</v>
      </c>
      <c r="F899" s="9" t="s">
        <v>10</v>
      </c>
      <c r="G899" s="13"/>
    </row>
    <row r="900">
      <c r="A900" s="7">
        <v>894.0</v>
      </c>
      <c r="B900" s="12" t="s">
        <v>1796</v>
      </c>
      <c r="C900" s="12" t="s">
        <v>1797</v>
      </c>
      <c r="D900" s="8">
        <f>IFERROR(__xludf.DUMMYFUNCTION("IFERROR(VLOOKUP(C900,IMPORTRANGE(""https://docs.google.com/spreadsheets/d/10KlTSftfC81rs2H7Cf6EIR7VWS3omC-2kwzaThHv16k/edit#gid=0"",""NSE Input VaR+ELM!D:J""),7,0),100)"),24.38)</f>
        <v>24.38</v>
      </c>
      <c r="E900" s="7">
        <f t="shared" si="1"/>
        <v>75.62</v>
      </c>
      <c r="F900" s="9" t="s">
        <v>10</v>
      </c>
      <c r="G900" s="13"/>
    </row>
    <row r="901">
      <c r="A901" s="7">
        <v>895.0</v>
      </c>
      <c r="B901" s="12" t="s">
        <v>1798</v>
      </c>
      <c r="C901" s="12" t="s">
        <v>1799</v>
      </c>
      <c r="D901" s="8">
        <f>IFERROR(__xludf.DUMMYFUNCTION("IFERROR(VLOOKUP(C901,IMPORTRANGE(""https://docs.google.com/spreadsheets/d/10KlTSftfC81rs2H7Cf6EIR7VWS3omC-2kwzaThHv16k/edit#gid=0"",""NSE Input VaR+ELM!D:J""),7,0),100)"),12.95)</f>
        <v>12.95</v>
      </c>
      <c r="E901" s="7">
        <f t="shared" si="1"/>
        <v>87.05</v>
      </c>
      <c r="F901" s="9" t="s">
        <v>10</v>
      </c>
      <c r="G901" s="13"/>
    </row>
    <row r="902">
      <c r="A902" s="7">
        <v>896.0</v>
      </c>
      <c r="B902" s="12" t="s">
        <v>1800</v>
      </c>
      <c r="C902" s="12" t="s">
        <v>1801</v>
      </c>
      <c r="D902" s="8">
        <f>IFERROR(__xludf.DUMMYFUNCTION("IFERROR(VLOOKUP(C902,IMPORTRANGE(""https://docs.google.com/spreadsheets/d/10KlTSftfC81rs2H7Cf6EIR7VWS3omC-2kwzaThHv16k/edit#gid=0"",""NSE Input VaR+ELM!D:J""),7,0),100)"),30.2)</f>
        <v>30.2</v>
      </c>
      <c r="E902" s="7">
        <f t="shared" si="1"/>
        <v>69.8</v>
      </c>
      <c r="F902" s="9" t="s">
        <v>10</v>
      </c>
      <c r="G902" s="13"/>
    </row>
    <row r="903">
      <c r="A903" s="7">
        <v>897.0</v>
      </c>
      <c r="B903" s="12" t="s">
        <v>1802</v>
      </c>
      <c r="C903" s="12" t="s">
        <v>1803</v>
      </c>
      <c r="D903" s="8">
        <f>IFERROR(__xludf.DUMMYFUNCTION("IFERROR(VLOOKUP(C903,IMPORTRANGE(""https://docs.google.com/spreadsheets/d/10KlTSftfC81rs2H7Cf6EIR7VWS3omC-2kwzaThHv16k/edit#gid=0"",""NSE Input VaR+ELM!D:J""),7,0),100)"),19.2)</f>
        <v>19.2</v>
      </c>
      <c r="E903" s="7">
        <f t="shared" si="1"/>
        <v>80.8</v>
      </c>
      <c r="F903" s="9" t="s">
        <v>10</v>
      </c>
      <c r="G903" s="13"/>
    </row>
    <row r="904">
      <c r="A904" s="7">
        <v>898.0</v>
      </c>
      <c r="B904" s="12" t="s">
        <v>1804</v>
      </c>
      <c r="C904" s="12" t="s">
        <v>1805</v>
      </c>
      <c r="D904" s="8">
        <f>IFERROR(__xludf.DUMMYFUNCTION("IFERROR(VLOOKUP(C904,IMPORTRANGE(""https://docs.google.com/spreadsheets/d/10KlTSftfC81rs2H7Cf6EIR7VWS3omC-2kwzaThHv16k/edit#gid=0"",""NSE Input VaR+ELM!D:J""),7,0),100)"),15.6)</f>
        <v>15.6</v>
      </c>
      <c r="E904" s="7">
        <f t="shared" si="1"/>
        <v>84.4</v>
      </c>
      <c r="F904" s="9" t="s">
        <v>217</v>
      </c>
      <c r="G904" s="13"/>
    </row>
    <row r="905">
      <c r="A905" s="7">
        <v>899.0</v>
      </c>
      <c r="B905" s="12" t="s">
        <v>1806</v>
      </c>
      <c r="C905" s="12" t="s">
        <v>1807</v>
      </c>
      <c r="D905" s="8">
        <f>IFERROR(__xludf.DUMMYFUNCTION("IFERROR(VLOOKUP(C905,IMPORTRANGE(""https://docs.google.com/spreadsheets/d/10KlTSftfC81rs2H7Cf6EIR7VWS3omC-2kwzaThHv16k/edit#gid=0"",""NSE Input VaR+ELM!D:J""),7,0),100)"),24.1)</f>
        <v>24.1</v>
      </c>
      <c r="E905" s="7">
        <f t="shared" si="1"/>
        <v>75.9</v>
      </c>
      <c r="F905" s="9" t="s">
        <v>10</v>
      </c>
      <c r="G905" s="13"/>
    </row>
    <row r="906">
      <c r="A906" s="7">
        <v>900.0</v>
      </c>
      <c r="B906" s="12" t="s">
        <v>1808</v>
      </c>
      <c r="C906" s="12" t="s">
        <v>1809</v>
      </c>
      <c r="D906" s="8">
        <f>IFERROR(__xludf.DUMMYFUNCTION("IFERROR(VLOOKUP(C906,IMPORTRANGE(""https://docs.google.com/spreadsheets/d/10KlTSftfC81rs2H7Cf6EIR7VWS3omC-2kwzaThHv16k/edit#gid=0"",""NSE Input VaR+ELM!D:J""),7,0),100)"),28.82)</f>
        <v>28.82</v>
      </c>
      <c r="E906" s="7">
        <f t="shared" si="1"/>
        <v>71.18</v>
      </c>
      <c r="F906" s="9" t="s">
        <v>10</v>
      </c>
      <c r="G906" s="13"/>
    </row>
    <row r="907">
      <c r="A907" s="7">
        <v>901.0</v>
      </c>
      <c r="B907" s="12" t="s">
        <v>1810</v>
      </c>
      <c r="C907" s="12" t="s">
        <v>1811</v>
      </c>
      <c r="D907" s="8">
        <f>IFERROR(__xludf.DUMMYFUNCTION("IFERROR(VLOOKUP(C907,IMPORTRANGE(""https://docs.google.com/spreadsheets/d/10KlTSftfC81rs2H7Cf6EIR7VWS3omC-2kwzaThHv16k/edit#gid=0"",""NSE Input VaR+ELM!D:J""),7,0),100)"),12.9)</f>
        <v>12.9</v>
      </c>
      <c r="E907" s="7">
        <f t="shared" si="1"/>
        <v>87.1</v>
      </c>
      <c r="F907" s="9" t="s">
        <v>217</v>
      </c>
      <c r="G907" s="13"/>
    </row>
    <row r="908">
      <c r="A908" s="7">
        <v>902.0</v>
      </c>
      <c r="B908" s="12" t="s">
        <v>1812</v>
      </c>
      <c r="C908" s="12" t="s">
        <v>1813</v>
      </c>
      <c r="D908" s="8">
        <f>IFERROR(__xludf.DUMMYFUNCTION("IFERROR(VLOOKUP(C908,IMPORTRANGE(""https://docs.google.com/spreadsheets/d/10KlTSftfC81rs2H7Cf6EIR7VWS3omC-2kwzaThHv16k/edit#gid=0"",""NSE Input VaR+ELM!D:J""),7,0),100)"),19.72)</f>
        <v>19.72</v>
      </c>
      <c r="E908" s="7">
        <f t="shared" si="1"/>
        <v>80.28</v>
      </c>
      <c r="F908" s="9" t="s">
        <v>10</v>
      </c>
      <c r="G908" s="13"/>
    </row>
    <row r="909">
      <c r="A909" s="7">
        <v>903.0</v>
      </c>
      <c r="B909" s="11" t="s">
        <v>1814</v>
      </c>
      <c r="C909" s="11" t="s">
        <v>1815</v>
      </c>
      <c r="D909" s="8">
        <f>IFERROR(__xludf.DUMMYFUNCTION("IFERROR(VLOOKUP(C909,IMPORTRANGE(""https://docs.google.com/spreadsheets/d/10KlTSftfC81rs2H7Cf6EIR7VWS3omC-2kwzaThHv16k/edit#gid=0"",""NSE Input VaR+ELM!D:J""),7,0),100)"),19.08)</f>
        <v>19.08</v>
      </c>
      <c r="E909" s="7">
        <f t="shared" si="1"/>
        <v>80.92</v>
      </c>
      <c r="F909" s="9" t="s">
        <v>217</v>
      </c>
      <c r="G909" s="4"/>
    </row>
    <row r="910">
      <c r="A910" s="7">
        <v>904.0</v>
      </c>
      <c r="B910" s="8" t="s">
        <v>1816</v>
      </c>
      <c r="C910" s="8" t="s">
        <v>1817</v>
      </c>
      <c r="D910" s="8">
        <f>IFERROR(__xludf.DUMMYFUNCTION("IFERROR(VLOOKUP(C910,IMPORTRANGE(""https://docs.google.com/spreadsheets/d/10KlTSftfC81rs2H7Cf6EIR7VWS3omC-2kwzaThHv16k/edit#gid=0"",""NSE Input VaR+ELM!D:J""),7,0),100)"),22.48)</f>
        <v>22.48</v>
      </c>
      <c r="E910" s="7">
        <f t="shared" si="1"/>
        <v>77.52</v>
      </c>
      <c r="F910" s="9" t="s">
        <v>10</v>
      </c>
      <c r="G910" s="7"/>
    </row>
    <row r="911">
      <c r="A911" s="7">
        <v>905.0</v>
      </c>
      <c r="B911" s="8" t="s">
        <v>1818</v>
      </c>
      <c r="C911" s="8" t="s">
        <v>1819</v>
      </c>
      <c r="D911" s="8">
        <f>IFERROR(__xludf.DUMMYFUNCTION("IFERROR(VLOOKUP(C911,IMPORTRANGE(""https://docs.google.com/spreadsheets/d/10KlTSftfC81rs2H7Cf6EIR7VWS3omC-2kwzaThHv16k/edit#gid=0"",""NSE Input VaR+ELM!D:J""),7,0),100)"),19.33)</f>
        <v>19.33</v>
      </c>
      <c r="E911" s="7">
        <f t="shared" si="1"/>
        <v>80.67</v>
      </c>
      <c r="F911" s="9" t="s">
        <v>10</v>
      </c>
      <c r="G911" s="7"/>
    </row>
    <row r="912">
      <c r="A912" s="7">
        <v>906.0</v>
      </c>
      <c r="B912" s="8" t="s">
        <v>1820</v>
      </c>
      <c r="C912" s="8" t="s">
        <v>1821</v>
      </c>
      <c r="D912" s="8">
        <f>IFERROR(__xludf.DUMMYFUNCTION("IFERROR(VLOOKUP(C912,IMPORTRANGE(""https://docs.google.com/spreadsheets/d/10KlTSftfC81rs2H7Cf6EIR7VWS3omC-2kwzaThHv16k/edit#gid=0"",""NSE Input VaR+ELM!D:J""),7,0),100)"),20.83)</f>
        <v>20.83</v>
      </c>
      <c r="E912" s="7">
        <f t="shared" si="1"/>
        <v>79.17</v>
      </c>
      <c r="F912" s="9" t="s">
        <v>217</v>
      </c>
      <c r="G912" s="7"/>
    </row>
    <row r="913">
      <c r="A913" s="7">
        <v>907.0</v>
      </c>
      <c r="B913" s="8" t="s">
        <v>1822</v>
      </c>
      <c r="C913" s="8" t="s">
        <v>1823</v>
      </c>
      <c r="D913" s="8">
        <f>IFERROR(__xludf.DUMMYFUNCTION("IFERROR(VLOOKUP(C913,IMPORTRANGE(""https://docs.google.com/spreadsheets/d/10KlTSftfC81rs2H7Cf6EIR7VWS3omC-2kwzaThHv16k/edit#gid=0"",""NSE Input VaR+ELM!D:J""),7,0),100)"),25.64)</f>
        <v>25.64</v>
      </c>
      <c r="E913" s="7">
        <f t="shared" si="1"/>
        <v>74.36</v>
      </c>
      <c r="F913" s="9" t="s">
        <v>10</v>
      </c>
      <c r="G913" s="7"/>
    </row>
    <row r="914">
      <c r="A914" s="7">
        <v>908.0</v>
      </c>
      <c r="B914" s="8" t="s">
        <v>1824</v>
      </c>
      <c r="C914" s="8" t="s">
        <v>1825</v>
      </c>
      <c r="D914" s="8">
        <f>IFERROR(__xludf.DUMMYFUNCTION("IFERROR(VLOOKUP(C914,IMPORTRANGE(""https://docs.google.com/spreadsheets/d/10KlTSftfC81rs2H7Cf6EIR7VWS3omC-2kwzaThHv16k/edit#gid=0"",""NSE Input VaR+ELM!D:J""),7,0),100)"),23.37)</f>
        <v>23.37</v>
      </c>
      <c r="E914" s="7">
        <f t="shared" si="1"/>
        <v>76.63</v>
      </c>
      <c r="F914" s="9" t="s">
        <v>10</v>
      </c>
      <c r="G914" s="7"/>
    </row>
    <row r="915">
      <c r="A915" s="7">
        <v>909.0</v>
      </c>
      <c r="B915" s="8" t="s">
        <v>1826</v>
      </c>
      <c r="C915" s="8" t="s">
        <v>1827</v>
      </c>
      <c r="D915" s="8">
        <f>IFERROR(__xludf.DUMMYFUNCTION("IFERROR(VLOOKUP(C915,IMPORTRANGE(""https://docs.google.com/spreadsheets/d/10KlTSftfC81rs2H7Cf6EIR7VWS3omC-2kwzaThHv16k/edit#gid=0"",""NSE Input VaR+ELM!D:J""),7,0),100)"),16.99)</f>
        <v>16.99</v>
      </c>
      <c r="E915" s="7">
        <f t="shared" si="1"/>
        <v>83.01</v>
      </c>
      <c r="F915" s="9" t="s">
        <v>10</v>
      </c>
      <c r="G915" s="7"/>
    </row>
    <row r="916">
      <c r="A916" s="7">
        <v>910.0</v>
      </c>
      <c r="B916" s="10" t="s">
        <v>1828</v>
      </c>
      <c r="C916" s="10" t="s">
        <v>1829</v>
      </c>
      <c r="D916" s="8">
        <f>IFERROR(__xludf.DUMMYFUNCTION("IFERROR(VLOOKUP(C916,IMPORTRANGE(""https://docs.google.com/spreadsheets/d/10KlTSftfC81rs2H7Cf6EIR7VWS3omC-2kwzaThHv16k/edit#gid=0"",""NSE Input VaR+ELM!D:J""),7,0),100)"),50.0)</f>
        <v>50</v>
      </c>
      <c r="E916" s="7">
        <f t="shared" si="1"/>
        <v>50</v>
      </c>
      <c r="F916" s="9" t="s">
        <v>10</v>
      </c>
    </row>
    <row r="917">
      <c r="A917" s="7">
        <v>911.0</v>
      </c>
      <c r="B917" s="10" t="s">
        <v>1830</v>
      </c>
      <c r="C917" s="10" t="s">
        <v>1831</v>
      </c>
      <c r="D917" s="8">
        <f>IFERROR(__xludf.DUMMYFUNCTION("IFERROR(VLOOKUP(C917,IMPORTRANGE(""https://docs.google.com/spreadsheets/d/10KlTSftfC81rs2H7Cf6EIR7VWS3omC-2kwzaThHv16k/edit#gid=0"",""NSE Input VaR+ELM!D:J""),7,0),100)"),22.02)</f>
        <v>22.02</v>
      </c>
      <c r="E917" s="7">
        <f t="shared" si="1"/>
        <v>77.98</v>
      </c>
      <c r="F917" s="9" t="s">
        <v>10</v>
      </c>
    </row>
    <row r="918">
      <c r="A918" s="7">
        <v>912.0</v>
      </c>
      <c r="B918" s="10" t="s">
        <v>1832</v>
      </c>
      <c r="C918" s="10" t="s">
        <v>1833</v>
      </c>
      <c r="D918" s="8">
        <f>IFERROR(__xludf.DUMMYFUNCTION("IFERROR(VLOOKUP(C918,IMPORTRANGE(""https://docs.google.com/spreadsheets/d/10KlTSftfC81rs2H7Cf6EIR7VWS3omC-2kwzaThHv16k/edit#gid=0"",""NSE Input VaR+ELM!D:J""),7,0),100)"),25.05)</f>
        <v>25.05</v>
      </c>
      <c r="E918" s="7">
        <f t="shared" si="1"/>
        <v>74.95</v>
      </c>
      <c r="F918" s="9" t="s">
        <v>10</v>
      </c>
    </row>
    <row r="919">
      <c r="A919" s="7">
        <v>913.0</v>
      </c>
      <c r="B919" s="10" t="s">
        <v>1834</v>
      </c>
      <c r="C919" s="10" t="s">
        <v>1835</v>
      </c>
      <c r="D919" s="8">
        <f>IFERROR(__xludf.DUMMYFUNCTION("IFERROR(VLOOKUP(C919,IMPORTRANGE(""https://docs.google.com/spreadsheets/d/10KlTSftfC81rs2H7Cf6EIR7VWS3omC-2kwzaThHv16k/edit#gid=0"",""NSE Input VaR+ELM!D:J""),7,0),100)"),26.13)</f>
        <v>26.13</v>
      </c>
      <c r="E919" s="7">
        <f t="shared" si="1"/>
        <v>73.87</v>
      </c>
      <c r="F919" s="9" t="s">
        <v>10</v>
      </c>
    </row>
    <row r="920">
      <c r="A920" s="7">
        <v>914.0</v>
      </c>
      <c r="B920" s="10" t="s">
        <v>1836</v>
      </c>
      <c r="C920" s="10" t="s">
        <v>1837</v>
      </c>
      <c r="D920" s="8">
        <f>IFERROR(__xludf.DUMMYFUNCTION("IFERROR(VLOOKUP(C920,IMPORTRANGE(""https://docs.google.com/spreadsheets/d/10KlTSftfC81rs2H7Cf6EIR7VWS3omC-2kwzaThHv16k/edit#gid=0"",""NSE Input VaR+ELM!D:J""),7,0),100)"),21.44)</f>
        <v>21.44</v>
      </c>
      <c r="E920" s="7">
        <f t="shared" si="1"/>
        <v>78.56</v>
      </c>
      <c r="F920" s="9" t="s">
        <v>10</v>
      </c>
    </row>
    <row r="921">
      <c r="A921" s="7">
        <v>915.0</v>
      </c>
      <c r="B921" s="10" t="s">
        <v>1838</v>
      </c>
      <c r="C921" s="10" t="s">
        <v>1839</v>
      </c>
      <c r="D921" s="8">
        <f>IFERROR(__xludf.DUMMYFUNCTION("IFERROR(VLOOKUP(C921,IMPORTRANGE(""https://docs.google.com/spreadsheets/d/10KlTSftfC81rs2H7Cf6EIR7VWS3omC-2kwzaThHv16k/edit#gid=0"",""NSE Input VaR+ELM!D:J""),7,0),100)"),50.0)</f>
        <v>50</v>
      </c>
      <c r="E921" s="7">
        <f t="shared" si="1"/>
        <v>50</v>
      </c>
      <c r="F921" s="9" t="s">
        <v>10</v>
      </c>
    </row>
    <row r="922">
      <c r="A922" s="7">
        <v>916.0</v>
      </c>
      <c r="B922" s="10" t="s">
        <v>1840</v>
      </c>
      <c r="C922" s="10" t="s">
        <v>1841</v>
      </c>
      <c r="D922" s="8">
        <f>IFERROR(__xludf.DUMMYFUNCTION("IFERROR(VLOOKUP(C922,IMPORTRANGE(""https://docs.google.com/spreadsheets/d/10KlTSftfC81rs2H7Cf6EIR7VWS3omC-2kwzaThHv16k/edit#gid=0"",""NSE Input VaR+ELM!D:J""),7,0),100)"),21.64)</f>
        <v>21.64</v>
      </c>
      <c r="E922" s="7">
        <f t="shared" si="1"/>
        <v>78.36</v>
      </c>
      <c r="F922" s="9" t="s">
        <v>217</v>
      </c>
    </row>
    <row r="923">
      <c r="A923" s="7">
        <v>917.0</v>
      </c>
      <c r="B923" s="10" t="s">
        <v>1842</v>
      </c>
      <c r="C923" s="10" t="s">
        <v>1843</v>
      </c>
      <c r="D923" s="8">
        <f>IFERROR(__xludf.DUMMYFUNCTION("IFERROR(VLOOKUP(C923,IMPORTRANGE(""https://docs.google.com/spreadsheets/d/10KlTSftfC81rs2H7Cf6EIR7VWS3omC-2kwzaThHv16k/edit#gid=0"",""NSE Input VaR+ELM!D:J""),7,0),100)"),22.47)</f>
        <v>22.47</v>
      </c>
      <c r="E923" s="7">
        <f t="shared" si="1"/>
        <v>77.53</v>
      </c>
      <c r="F923" s="9" t="s">
        <v>10</v>
      </c>
    </row>
    <row r="924">
      <c r="A924" s="7">
        <v>918.0</v>
      </c>
      <c r="B924" s="10" t="s">
        <v>1844</v>
      </c>
      <c r="C924" s="10" t="s">
        <v>1845</v>
      </c>
      <c r="D924" s="8">
        <f>IFERROR(__xludf.DUMMYFUNCTION("IFERROR(VLOOKUP(C924,IMPORTRANGE(""https://docs.google.com/spreadsheets/d/10KlTSftfC81rs2H7Cf6EIR7VWS3omC-2kwzaThHv16k/edit#gid=0"",""NSE Input VaR+ELM!D:J""),7,0),100)"),23.19)</f>
        <v>23.19</v>
      </c>
      <c r="E924" s="7">
        <f t="shared" si="1"/>
        <v>76.81</v>
      </c>
      <c r="F924" s="9" t="s">
        <v>10</v>
      </c>
    </row>
    <row r="925">
      <c r="A925" s="7">
        <v>919.0</v>
      </c>
      <c r="B925" s="10" t="s">
        <v>1846</v>
      </c>
      <c r="C925" s="10" t="s">
        <v>1847</v>
      </c>
      <c r="D925" s="8">
        <f>IFERROR(__xludf.DUMMYFUNCTION("IFERROR(VLOOKUP(C925,IMPORTRANGE(""https://docs.google.com/spreadsheets/d/10KlTSftfC81rs2H7Cf6EIR7VWS3omC-2kwzaThHv16k/edit#gid=0"",""NSE Input VaR+ELM!D:J""),7,0),100)"),25.01)</f>
        <v>25.01</v>
      </c>
      <c r="E925" s="7">
        <f t="shared" si="1"/>
        <v>74.99</v>
      </c>
      <c r="F925" s="9" t="s">
        <v>10</v>
      </c>
    </row>
    <row r="926">
      <c r="A926" s="7">
        <v>920.0</v>
      </c>
      <c r="B926" s="10" t="s">
        <v>1848</v>
      </c>
      <c r="C926" s="10" t="s">
        <v>1849</v>
      </c>
      <c r="D926" s="8">
        <f>IFERROR(__xludf.DUMMYFUNCTION("IFERROR(VLOOKUP(C926,IMPORTRANGE(""https://docs.google.com/spreadsheets/d/10KlTSftfC81rs2H7Cf6EIR7VWS3omC-2kwzaThHv16k/edit#gid=0"",""NSE Input VaR+ELM!D:J""),7,0),100)"),28.02)</f>
        <v>28.02</v>
      </c>
      <c r="E926" s="7">
        <f t="shared" si="1"/>
        <v>71.98</v>
      </c>
      <c r="F926" s="9" t="s">
        <v>10</v>
      </c>
    </row>
    <row r="927">
      <c r="A927" s="7">
        <v>921.0</v>
      </c>
      <c r="B927" s="10" t="s">
        <v>1850</v>
      </c>
      <c r="C927" s="10" t="s">
        <v>1851</v>
      </c>
      <c r="D927" s="8">
        <f>IFERROR(__xludf.DUMMYFUNCTION("IFERROR(VLOOKUP(C927,IMPORTRANGE(""https://docs.google.com/spreadsheets/d/10KlTSftfC81rs2H7Cf6EIR7VWS3omC-2kwzaThHv16k/edit#gid=0"",""NSE Input VaR+ELM!D:J""),7,0),100)"),25.49)</f>
        <v>25.49</v>
      </c>
      <c r="E927" s="7">
        <f t="shared" si="1"/>
        <v>74.51</v>
      </c>
      <c r="F927" s="9" t="s">
        <v>10</v>
      </c>
    </row>
    <row r="928">
      <c r="A928" s="7">
        <v>922.0</v>
      </c>
      <c r="B928" s="10" t="s">
        <v>1852</v>
      </c>
      <c r="C928" s="10" t="s">
        <v>1853</v>
      </c>
      <c r="D928" s="8">
        <f>IFERROR(__xludf.DUMMYFUNCTION("IFERROR(VLOOKUP(C928,IMPORTRANGE(""https://docs.google.com/spreadsheets/d/10KlTSftfC81rs2H7Cf6EIR7VWS3omC-2kwzaThHv16k/edit#gid=0"",""NSE Input VaR+ELM!D:J""),7,0),100)"),26.5)</f>
        <v>26.5</v>
      </c>
      <c r="E928" s="7">
        <f t="shared" si="1"/>
        <v>73.5</v>
      </c>
      <c r="F928" s="9" t="s">
        <v>10</v>
      </c>
    </row>
    <row r="929">
      <c r="A929" s="7">
        <v>923.0</v>
      </c>
      <c r="B929" s="10" t="s">
        <v>1854</v>
      </c>
      <c r="C929" s="10" t="s">
        <v>1855</v>
      </c>
      <c r="D929" s="8">
        <f>IFERROR(__xludf.DUMMYFUNCTION("IFERROR(VLOOKUP(C929,IMPORTRANGE(""https://docs.google.com/spreadsheets/d/10KlTSftfC81rs2H7Cf6EIR7VWS3omC-2kwzaThHv16k/edit#gid=0"",""NSE Input VaR+ELM!D:J""),7,0),100)"),21.1)</f>
        <v>21.1</v>
      </c>
      <c r="E929" s="7">
        <f t="shared" si="1"/>
        <v>78.9</v>
      </c>
      <c r="F929" s="9" t="s">
        <v>10</v>
      </c>
    </row>
    <row r="930">
      <c r="A930" s="7">
        <v>924.0</v>
      </c>
      <c r="B930" s="10" t="s">
        <v>1856</v>
      </c>
      <c r="C930" s="10" t="s">
        <v>1857</v>
      </c>
      <c r="D930" s="8">
        <f>IFERROR(__xludf.DUMMYFUNCTION("IFERROR(VLOOKUP(C930,IMPORTRANGE(""https://docs.google.com/spreadsheets/d/10KlTSftfC81rs2H7Cf6EIR7VWS3omC-2kwzaThHv16k/edit#gid=0"",""NSE Input VaR+ELM!D:J""),7,0),100)"),25.32)</f>
        <v>25.32</v>
      </c>
      <c r="E930" s="7">
        <f t="shared" si="1"/>
        <v>74.68</v>
      </c>
      <c r="F930" s="9" t="s">
        <v>10</v>
      </c>
    </row>
    <row r="931">
      <c r="A931" s="7">
        <v>925.0</v>
      </c>
      <c r="B931" s="10" t="s">
        <v>1858</v>
      </c>
      <c r="C931" s="10" t="s">
        <v>1859</v>
      </c>
      <c r="D931" s="8">
        <f>IFERROR(__xludf.DUMMYFUNCTION("IFERROR(VLOOKUP(C931,IMPORTRANGE(""https://docs.google.com/spreadsheets/d/10KlTSftfC81rs2H7Cf6EIR7VWS3omC-2kwzaThHv16k/edit#gid=0"",""NSE Input VaR+ELM!D:J""),7,0),100)"),23.76)</f>
        <v>23.76</v>
      </c>
      <c r="E931" s="7">
        <f t="shared" si="1"/>
        <v>76.24</v>
      </c>
      <c r="F931" s="9" t="s">
        <v>10</v>
      </c>
    </row>
    <row r="932">
      <c r="A932" s="7">
        <v>926.0</v>
      </c>
      <c r="B932" s="10" t="s">
        <v>1860</v>
      </c>
      <c r="C932" s="10" t="s">
        <v>1861</v>
      </c>
      <c r="D932" s="8">
        <f>IFERROR(__xludf.DUMMYFUNCTION("IFERROR(VLOOKUP(C932,IMPORTRANGE(""https://docs.google.com/spreadsheets/d/10KlTSftfC81rs2H7Cf6EIR7VWS3omC-2kwzaThHv16k/edit#gid=0"",""NSE Input VaR+ELM!D:J""),7,0),100)"),18.09)</f>
        <v>18.09</v>
      </c>
      <c r="E932" s="7">
        <f t="shared" si="1"/>
        <v>81.91</v>
      </c>
      <c r="F932" s="9" t="s">
        <v>10</v>
      </c>
    </row>
    <row r="933">
      <c r="A933" s="7">
        <v>927.0</v>
      </c>
      <c r="B933" s="10" t="s">
        <v>1862</v>
      </c>
      <c r="C933" s="10" t="s">
        <v>1863</v>
      </c>
      <c r="D933" s="8">
        <f>IFERROR(__xludf.DUMMYFUNCTION("IFERROR(VLOOKUP(C933,IMPORTRANGE(""https://docs.google.com/spreadsheets/d/10KlTSftfC81rs2H7Cf6EIR7VWS3omC-2kwzaThHv16k/edit#gid=0"",""NSE Input VaR+ELM!D:J""),7,0),100)"),50.0)</f>
        <v>50</v>
      </c>
      <c r="E933" s="7">
        <f t="shared" si="1"/>
        <v>50</v>
      </c>
      <c r="F933" s="9" t="s">
        <v>217</v>
      </c>
    </row>
    <row r="934">
      <c r="A934" s="7">
        <v>928.0</v>
      </c>
      <c r="B934" s="10" t="s">
        <v>1864</v>
      </c>
      <c r="C934" s="10" t="s">
        <v>1865</v>
      </c>
      <c r="D934" s="8">
        <f>IFERROR(__xludf.DUMMYFUNCTION("IFERROR(VLOOKUP(C934,IMPORTRANGE(""https://docs.google.com/spreadsheets/d/10KlTSftfC81rs2H7Cf6EIR7VWS3omC-2kwzaThHv16k/edit#gid=0"",""NSE Input VaR+ELM!D:J""),7,0),100)"),26.41)</f>
        <v>26.41</v>
      </c>
      <c r="E934" s="7">
        <f t="shared" si="1"/>
        <v>73.59</v>
      </c>
      <c r="F934" s="9" t="s">
        <v>10</v>
      </c>
    </row>
    <row r="935">
      <c r="A935" s="7">
        <v>929.0</v>
      </c>
      <c r="B935" s="10" t="s">
        <v>1866</v>
      </c>
      <c r="C935" s="10" t="s">
        <v>1867</v>
      </c>
      <c r="D935" s="8">
        <f>IFERROR(__xludf.DUMMYFUNCTION("IFERROR(VLOOKUP(C935,IMPORTRANGE(""https://docs.google.com/spreadsheets/d/10KlTSftfC81rs2H7Cf6EIR7VWS3omC-2kwzaThHv16k/edit#gid=0"",""NSE Input VaR+ELM!D:J""),7,0),100)"),25.61)</f>
        <v>25.61</v>
      </c>
      <c r="E935" s="7">
        <f t="shared" si="1"/>
        <v>74.39</v>
      </c>
      <c r="F935" s="9" t="s">
        <v>10</v>
      </c>
    </row>
    <row r="936">
      <c r="A936" s="7">
        <v>930.0</v>
      </c>
      <c r="B936" s="10" t="s">
        <v>1868</v>
      </c>
      <c r="C936" s="10" t="s">
        <v>1869</v>
      </c>
      <c r="D936" s="8">
        <f>IFERROR(__xludf.DUMMYFUNCTION("IFERROR(VLOOKUP(C936,IMPORTRANGE(""https://docs.google.com/spreadsheets/d/10KlTSftfC81rs2H7Cf6EIR7VWS3omC-2kwzaThHv16k/edit#gid=0"",""NSE Input VaR+ELM!D:J""),7,0),100)"),19.58)</f>
        <v>19.58</v>
      </c>
      <c r="E936" s="7">
        <f t="shared" si="1"/>
        <v>80.42</v>
      </c>
      <c r="F936" s="9" t="s">
        <v>10</v>
      </c>
    </row>
    <row r="937">
      <c r="A937" s="7">
        <v>931.0</v>
      </c>
      <c r="B937" s="10" t="s">
        <v>1870</v>
      </c>
      <c r="C937" s="10" t="s">
        <v>1871</v>
      </c>
      <c r="D937" s="8">
        <f>IFERROR(__xludf.DUMMYFUNCTION("IFERROR(VLOOKUP(C937,IMPORTRANGE(""https://docs.google.com/spreadsheets/d/10KlTSftfC81rs2H7Cf6EIR7VWS3omC-2kwzaThHv16k/edit#gid=0"",""NSE Input VaR+ELM!D:J""),7,0),100)"),14.76)</f>
        <v>14.76</v>
      </c>
      <c r="E937" s="7">
        <f t="shared" si="1"/>
        <v>85.24</v>
      </c>
      <c r="F937" s="9" t="s">
        <v>10</v>
      </c>
    </row>
    <row r="938">
      <c r="A938" s="7">
        <v>932.0</v>
      </c>
      <c r="B938" s="10" t="s">
        <v>1872</v>
      </c>
      <c r="C938" s="10" t="s">
        <v>1873</v>
      </c>
      <c r="D938" s="8">
        <f>IFERROR(__xludf.DUMMYFUNCTION("IFERROR(VLOOKUP(C938,IMPORTRANGE(""https://docs.google.com/spreadsheets/d/10KlTSftfC81rs2H7Cf6EIR7VWS3omC-2kwzaThHv16k/edit#gid=0"",""NSE Input VaR+ELM!D:J""),7,0),100)"),18.62)</f>
        <v>18.62</v>
      </c>
      <c r="E938" s="7">
        <f t="shared" si="1"/>
        <v>81.38</v>
      </c>
      <c r="F938" s="9" t="s">
        <v>10</v>
      </c>
    </row>
    <row r="939">
      <c r="A939" s="7">
        <v>933.0</v>
      </c>
      <c r="B939" s="10" t="s">
        <v>1874</v>
      </c>
      <c r="C939" s="10" t="s">
        <v>1875</v>
      </c>
      <c r="D939" s="8">
        <f>IFERROR(__xludf.DUMMYFUNCTION("IFERROR(VLOOKUP(C939,IMPORTRANGE(""https://docs.google.com/spreadsheets/d/10KlTSftfC81rs2H7Cf6EIR7VWS3omC-2kwzaThHv16k/edit#gid=0"",""NSE Input VaR+ELM!D:J""),7,0),100)"),20.11)</f>
        <v>20.11</v>
      </c>
      <c r="E939" s="7">
        <f t="shared" si="1"/>
        <v>79.89</v>
      </c>
      <c r="F939" s="9" t="s">
        <v>10</v>
      </c>
    </row>
    <row r="940">
      <c r="A940" s="7">
        <v>934.0</v>
      </c>
      <c r="B940" s="10" t="s">
        <v>1876</v>
      </c>
      <c r="C940" s="10" t="s">
        <v>1877</v>
      </c>
      <c r="D940" s="8">
        <f>IFERROR(__xludf.DUMMYFUNCTION("IFERROR(VLOOKUP(C940,IMPORTRANGE(""https://docs.google.com/spreadsheets/d/10KlTSftfC81rs2H7Cf6EIR7VWS3omC-2kwzaThHv16k/edit#gid=0"",""NSE Input VaR+ELM!D:J""),7,0),100)"),18.26)</f>
        <v>18.26</v>
      </c>
      <c r="E940" s="7">
        <f t="shared" si="1"/>
        <v>81.74</v>
      </c>
      <c r="F940" s="9" t="s">
        <v>10</v>
      </c>
    </row>
    <row r="941">
      <c r="A941" s="7">
        <v>935.0</v>
      </c>
      <c r="B941" s="10" t="s">
        <v>1878</v>
      </c>
      <c r="C941" s="10" t="s">
        <v>1879</v>
      </c>
      <c r="D941" s="8">
        <f>IFERROR(__xludf.DUMMYFUNCTION("IFERROR(VLOOKUP(C941,IMPORTRANGE(""https://docs.google.com/spreadsheets/d/10KlTSftfC81rs2H7Cf6EIR7VWS3omC-2kwzaThHv16k/edit#gid=0"",""NSE Input VaR+ELM!D:J""),7,0),100)"),19.71)</f>
        <v>19.71</v>
      </c>
      <c r="E941" s="7">
        <f t="shared" si="1"/>
        <v>80.29</v>
      </c>
      <c r="F941" s="9" t="s">
        <v>217</v>
      </c>
    </row>
    <row r="942">
      <c r="A942" s="7">
        <v>936.0</v>
      </c>
      <c r="B942" s="10" t="s">
        <v>1880</v>
      </c>
      <c r="C942" s="10" t="s">
        <v>1881</v>
      </c>
      <c r="D942" s="8">
        <f>IFERROR(__xludf.DUMMYFUNCTION("IFERROR(VLOOKUP(C942,IMPORTRANGE(""https://docs.google.com/spreadsheets/d/10KlTSftfC81rs2H7Cf6EIR7VWS3omC-2kwzaThHv16k/edit#gid=0"",""NSE Input VaR+ELM!D:J""),7,0),100)"),19.18)</f>
        <v>19.18</v>
      </c>
      <c r="E942" s="7">
        <f t="shared" si="1"/>
        <v>80.82</v>
      </c>
      <c r="F942" s="9" t="s">
        <v>10</v>
      </c>
    </row>
    <row r="943">
      <c r="A943" s="7">
        <v>937.0</v>
      </c>
      <c r="B943" s="10" t="s">
        <v>1882</v>
      </c>
      <c r="C943" s="10" t="s">
        <v>1883</v>
      </c>
      <c r="D943" s="8">
        <f>IFERROR(__xludf.DUMMYFUNCTION("IFERROR(VLOOKUP(C943,IMPORTRANGE(""https://docs.google.com/spreadsheets/d/10KlTSftfC81rs2H7Cf6EIR7VWS3omC-2kwzaThHv16k/edit#gid=0"",""NSE Input VaR+ELM!D:J""),7,0),100)"),24.97)</f>
        <v>24.97</v>
      </c>
      <c r="E943" s="7">
        <f t="shared" si="1"/>
        <v>75.03</v>
      </c>
      <c r="F943" s="9" t="s">
        <v>217</v>
      </c>
    </row>
    <row r="944">
      <c r="A944" s="7">
        <v>938.0</v>
      </c>
      <c r="B944" s="10" t="s">
        <v>1884</v>
      </c>
      <c r="C944" s="10" t="s">
        <v>1885</v>
      </c>
      <c r="D944" s="8">
        <f>IFERROR(__xludf.DUMMYFUNCTION("IFERROR(VLOOKUP(C944,IMPORTRANGE(""https://docs.google.com/spreadsheets/d/10KlTSftfC81rs2H7Cf6EIR7VWS3omC-2kwzaThHv16k/edit#gid=0"",""NSE Input VaR+ELM!D:J""),7,0),100)"),18.95)</f>
        <v>18.95</v>
      </c>
      <c r="E944" s="7">
        <f t="shared" si="1"/>
        <v>81.05</v>
      </c>
      <c r="F944" s="9" t="s">
        <v>10</v>
      </c>
    </row>
    <row r="945">
      <c r="A945" s="7">
        <v>939.0</v>
      </c>
      <c r="B945" s="10" t="s">
        <v>1886</v>
      </c>
      <c r="C945" s="10" t="s">
        <v>1887</v>
      </c>
      <c r="D945" s="8">
        <f>IFERROR(__xludf.DUMMYFUNCTION("IFERROR(VLOOKUP(C945,IMPORTRANGE(""https://docs.google.com/spreadsheets/d/10KlTSftfC81rs2H7Cf6EIR7VWS3omC-2kwzaThHv16k/edit#gid=0"",""NSE Input VaR+ELM!D:J""),7,0),100)"),19.97)</f>
        <v>19.97</v>
      </c>
      <c r="E945" s="7">
        <f t="shared" si="1"/>
        <v>80.03</v>
      </c>
      <c r="F945" s="9" t="s">
        <v>10</v>
      </c>
    </row>
    <row r="946">
      <c r="A946" s="7">
        <v>940.0</v>
      </c>
      <c r="B946" s="10" t="s">
        <v>1888</v>
      </c>
      <c r="C946" s="10" t="s">
        <v>1889</v>
      </c>
      <c r="D946" s="8">
        <f>IFERROR(__xludf.DUMMYFUNCTION("IFERROR(VLOOKUP(C946,IMPORTRANGE(""https://docs.google.com/spreadsheets/d/10KlTSftfC81rs2H7Cf6EIR7VWS3omC-2kwzaThHv16k/edit#gid=0"",""NSE Input VaR+ELM!D:J""),7,0),100)"),21.76)</f>
        <v>21.76</v>
      </c>
      <c r="E946" s="7">
        <f t="shared" si="1"/>
        <v>78.24</v>
      </c>
      <c r="F946" s="9" t="s">
        <v>10</v>
      </c>
    </row>
    <row r="947">
      <c r="A947" s="7">
        <v>941.0</v>
      </c>
      <c r="B947" s="10" t="s">
        <v>1890</v>
      </c>
      <c r="C947" s="10" t="s">
        <v>1891</v>
      </c>
      <c r="D947" s="8">
        <f>IFERROR(__xludf.DUMMYFUNCTION("IFERROR(VLOOKUP(C947,IMPORTRANGE(""https://docs.google.com/spreadsheets/d/10KlTSftfC81rs2H7Cf6EIR7VWS3omC-2kwzaThHv16k/edit#gid=0"",""NSE Input VaR+ELM!D:J""),7,0),100)"),12.5)</f>
        <v>12.5</v>
      </c>
      <c r="E947" s="7">
        <f t="shared" si="1"/>
        <v>87.5</v>
      </c>
      <c r="F947" s="9" t="s">
        <v>10</v>
      </c>
    </row>
    <row r="948">
      <c r="A948" s="7">
        <v>942.0</v>
      </c>
      <c r="B948" s="10" t="s">
        <v>1892</v>
      </c>
      <c r="C948" s="10" t="s">
        <v>1893</v>
      </c>
      <c r="D948" s="8">
        <f>IFERROR(__xludf.DUMMYFUNCTION("IFERROR(VLOOKUP(C948,IMPORTRANGE(""https://docs.google.com/spreadsheets/d/10KlTSftfC81rs2H7Cf6EIR7VWS3omC-2kwzaThHv16k/edit#gid=0"",""NSE Input VaR+ELM!D:J""),7,0),100)"),19.03)</f>
        <v>19.03</v>
      </c>
      <c r="E948" s="7">
        <f t="shared" si="1"/>
        <v>80.97</v>
      </c>
      <c r="F948" s="9" t="s">
        <v>10</v>
      </c>
    </row>
    <row r="949">
      <c r="A949" s="7">
        <v>943.0</v>
      </c>
      <c r="B949" s="10" t="s">
        <v>1894</v>
      </c>
      <c r="C949" s="10" t="s">
        <v>1895</v>
      </c>
      <c r="D949" s="8">
        <f>IFERROR(__xludf.DUMMYFUNCTION("IFERROR(VLOOKUP(C949,IMPORTRANGE(""https://docs.google.com/spreadsheets/d/10KlTSftfC81rs2H7Cf6EIR7VWS3omC-2kwzaThHv16k/edit#gid=0"",""NSE Input VaR+ELM!D:J""),7,0),100)"),15.03)</f>
        <v>15.03</v>
      </c>
      <c r="E949" s="7">
        <f t="shared" si="1"/>
        <v>84.97</v>
      </c>
      <c r="F949" s="9" t="s">
        <v>217</v>
      </c>
    </row>
    <row r="950">
      <c r="A950" s="7">
        <v>944.0</v>
      </c>
      <c r="B950" s="10" t="s">
        <v>1896</v>
      </c>
      <c r="C950" s="10" t="s">
        <v>1897</v>
      </c>
      <c r="D950" s="8">
        <f>IFERROR(__xludf.DUMMYFUNCTION("IFERROR(VLOOKUP(C950,IMPORTRANGE(""https://docs.google.com/spreadsheets/d/10KlTSftfC81rs2H7Cf6EIR7VWS3omC-2kwzaThHv16k/edit#gid=0"",""NSE Input VaR+ELM!D:J""),7,0),100)"),16.63)</f>
        <v>16.63</v>
      </c>
      <c r="E950" s="7">
        <f t="shared" si="1"/>
        <v>83.37</v>
      </c>
      <c r="F950" s="9" t="s">
        <v>10</v>
      </c>
    </row>
    <row r="951">
      <c r="A951" s="7">
        <v>945.0</v>
      </c>
      <c r="B951" s="10" t="s">
        <v>1898</v>
      </c>
      <c r="C951" s="10" t="s">
        <v>1899</v>
      </c>
      <c r="D951" s="8">
        <f>IFERROR(__xludf.DUMMYFUNCTION("IFERROR(VLOOKUP(C951,IMPORTRANGE(""https://docs.google.com/spreadsheets/d/10KlTSftfC81rs2H7Cf6EIR7VWS3omC-2kwzaThHv16k/edit#gid=0"",""NSE Input VaR+ELM!D:J""),7,0),100)"),24.12)</f>
        <v>24.12</v>
      </c>
      <c r="E951" s="7">
        <f t="shared" si="1"/>
        <v>75.88</v>
      </c>
      <c r="F951" s="9" t="s">
        <v>10</v>
      </c>
    </row>
    <row r="952">
      <c r="A952" s="7">
        <v>946.0</v>
      </c>
      <c r="B952" s="10" t="s">
        <v>1900</v>
      </c>
      <c r="C952" s="10" t="s">
        <v>1901</v>
      </c>
      <c r="D952" s="8">
        <f>IFERROR(__xludf.DUMMYFUNCTION("IFERROR(VLOOKUP(C952,IMPORTRANGE(""https://docs.google.com/spreadsheets/d/10KlTSftfC81rs2H7Cf6EIR7VWS3omC-2kwzaThHv16k/edit#gid=0"",""NSE Input VaR+ELM!D:J""),7,0),100)"),13.75)</f>
        <v>13.75</v>
      </c>
      <c r="E952" s="7">
        <f t="shared" si="1"/>
        <v>86.25</v>
      </c>
      <c r="F952" s="9" t="s">
        <v>10</v>
      </c>
    </row>
    <row r="953">
      <c r="A953" s="7">
        <v>947.0</v>
      </c>
      <c r="B953" s="10" t="s">
        <v>1902</v>
      </c>
      <c r="C953" s="10" t="s">
        <v>1903</v>
      </c>
      <c r="D953" s="8">
        <f>IFERROR(__xludf.DUMMYFUNCTION("IFERROR(VLOOKUP(C953,IMPORTRANGE(""https://docs.google.com/spreadsheets/d/10KlTSftfC81rs2H7Cf6EIR7VWS3omC-2kwzaThHv16k/edit#gid=0"",""NSE Input VaR+ELM!D:J""),7,0),100)"),17.99)</f>
        <v>17.99</v>
      </c>
      <c r="E953" s="7">
        <f t="shared" si="1"/>
        <v>82.01</v>
      </c>
      <c r="F953" s="9" t="s">
        <v>10</v>
      </c>
    </row>
    <row r="954">
      <c r="A954" s="7">
        <v>948.0</v>
      </c>
      <c r="B954" s="10" t="s">
        <v>1904</v>
      </c>
      <c r="C954" s="10" t="s">
        <v>1905</v>
      </c>
      <c r="D954" s="8">
        <f>IFERROR(__xludf.DUMMYFUNCTION("IFERROR(VLOOKUP(C954,IMPORTRANGE(""https://docs.google.com/spreadsheets/d/10KlTSftfC81rs2H7Cf6EIR7VWS3omC-2kwzaThHv16k/edit#gid=0"",""NSE Input VaR+ELM!D:J""),7,0),100)"),15.8)</f>
        <v>15.8</v>
      </c>
      <c r="E954" s="7">
        <f t="shared" si="1"/>
        <v>84.2</v>
      </c>
      <c r="F954" s="9" t="s">
        <v>10</v>
      </c>
    </row>
    <row r="955">
      <c r="A955" s="7">
        <v>949.0</v>
      </c>
      <c r="B955" s="10" t="s">
        <v>1906</v>
      </c>
      <c r="C955" s="10" t="s">
        <v>1907</v>
      </c>
      <c r="D955" s="8">
        <f>IFERROR(__xludf.DUMMYFUNCTION("IFERROR(VLOOKUP(C955,IMPORTRANGE(""https://docs.google.com/spreadsheets/d/10KlTSftfC81rs2H7Cf6EIR7VWS3omC-2kwzaThHv16k/edit#gid=0"",""NSE Input VaR+ELM!D:J""),7,0),100)"),50.0)</f>
        <v>50</v>
      </c>
      <c r="E955" s="7">
        <f t="shared" si="1"/>
        <v>50</v>
      </c>
      <c r="F955" s="9" t="s">
        <v>10</v>
      </c>
    </row>
    <row r="956">
      <c r="A956" s="7">
        <v>950.0</v>
      </c>
      <c r="B956" s="10" t="s">
        <v>1908</v>
      </c>
      <c r="C956" s="10" t="s">
        <v>1909</v>
      </c>
      <c r="D956" s="8">
        <f>IFERROR(__xludf.DUMMYFUNCTION("IFERROR(VLOOKUP(C956,IMPORTRANGE(""https://docs.google.com/spreadsheets/d/10KlTSftfC81rs2H7Cf6EIR7VWS3omC-2kwzaThHv16k/edit#gid=0"",""NSE Input VaR+ELM!D:J""),7,0),100)"),24.71)</f>
        <v>24.71</v>
      </c>
      <c r="E956" s="7">
        <f t="shared" si="1"/>
        <v>75.29</v>
      </c>
      <c r="F956" s="9" t="s">
        <v>10</v>
      </c>
    </row>
    <row r="957">
      <c r="A957" s="7">
        <v>951.0</v>
      </c>
      <c r="B957" s="10" t="s">
        <v>1910</v>
      </c>
      <c r="C957" s="10" t="s">
        <v>1911</v>
      </c>
      <c r="D957" s="8">
        <f>IFERROR(__xludf.DUMMYFUNCTION("IFERROR(VLOOKUP(C957,IMPORTRANGE(""https://docs.google.com/spreadsheets/d/10KlTSftfC81rs2H7Cf6EIR7VWS3omC-2kwzaThHv16k/edit#gid=0"",""NSE Input VaR+ELM!D:J""),7,0),100)"),16.22)</f>
        <v>16.22</v>
      </c>
      <c r="E957" s="7">
        <f t="shared" si="1"/>
        <v>83.78</v>
      </c>
      <c r="F957" s="9" t="s">
        <v>10</v>
      </c>
    </row>
    <row r="958">
      <c r="A958" s="7">
        <v>952.0</v>
      </c>
      <c r="B958" s="10" t="s">
        <v>1912</v>
      </c>
      <c r="C958" s="10" t="s">
        <v>1913</v>
      </c>
      <c r="D958" s="8">
        <f>IFERROR(__xludf.DUMMYFUNCTION("IFERROR(VLOOKUP(C958,IMPORTRANGE(""https://docs.google.com/spreadsheets/d/10KlTSftfC81rs2H7Cf6EIR7VWS3omC-2kwzaThHv16k/edit#gid=0"",""NSE Input VaR+ELM!D:J""),7,0),100)"),18.76)</f>
        <v>18.76</v>
      </c>
      <c r="E958" s="7">
        <f t="shared" si="1"/>
        <v>81.24</v>
      </c>
      <c r="F958" s="9" t="s">
        <v>217</v>
      </c>
    </row>
    <row r="959">
      <c r="A959" s="7">
        <v>953.0</v>
      </c>
      <c r="B959" s="10" t="s">
        <v>1914</v>
      </c>
      <c r="C959" s="10" t="s">
        <v>1915</v>
      </c>
      <c r="D959" s="8">
        <f>IFERROR(__xludf.DUMMYFUNCTION("IFERROR(VLOOKUP(C959,IMPORTRANGE(""https://docs.google.com/spreadsheets/d/10KlTSftfC81rs2H7Cf6EIR7VWS3omC-2kwzaThHv16k/edit#gid=0"",""NSE Input VaR+ELM!D:J""),7,0),100)"),29.41)</f>
        <v>29.41</v>
      </c>
      <c r="E959" s="7">
        <f t="shared" si="1"/>
        <v>70.59</v>
      </c>
      <c r="F959" s="9" t="s">
        <v>10</v>
      </c>
    </row>
    <row r="960">
      <c r="A960" s="7">
        <v>954.0</v>
      </c>
      <c r="B960" s="10" t="s">
        <v>1916</v>
      </c>
      <c r="C960" s="10" t="s">
        <v>1917</v>
      </c>
      <c r="D960" s="8">
        <f>IFERROR(__xludf.DUMMYFUNCTION("IFERROR(VLOOKUP(C960,IMPORTRANGE(""https://docs.google.com/spreadsheets/d/10KlTSftfC81rs2H7Cf6EIR7VWS3omC-2kwzaThHv16k/edit#gid=0"",""NSE Input VaR+ELM!D:J""),7,0),100)"),30.64)</f>
        <v>30.64</v>
      </c>
      <c r="E960" s="7">
        <f t="shared" si="1"/>
        <v>69.36</v>
      </c>
      <c r="F960" s="9" t="s">
        <v>10</v>
      </c>
    </row>
    <row r="961">
      <c r="A961" s="7">
        <v>955.0</v>
      </c>
      <c r="B961" s="10" t="s">
        <v>1918</v>
      </c>
      <c r="C961" s="10" t="s">
        <v>1919</v>
      </c>
      <c r="D961" s="8">
        <f>IFERROR(__xludf.DUMMYFUNCTION("IFERROR(VLOOKUP(C961,IMPORTRANGE(""https://docs.google.com/spreadsheets/d/10KlTSftfC81rs2H7Cf6EIR7VWS3omC-2kwzaThHv16k/edit#gid=0"",""NSE Input VaR+ELM!D:J""),7,0),100)"),14.79)</f>
        <v>14.79</v>
      </c>
      <c r="E961" s="7">
        <f t="shared" si="1"/>
        <v>85.21</v>
      </c>
      <c r="F961" s="9" t="s">
        <v>10</v>
      </c>
    </row>
    <row r="962">
      <c r="A962" s="7">
        <v>956.0</v>
      </c>
      <c r="B962" s="10" t="s">
        <v>1920</v>
      </c>
      <c r="C962" s="10" t="s">
        <v>1921</v>
      </c>
      <c r="D962" s="8">
        <f>IFERROR(__xludf.DUMMYFUNCTION("IFERROR(VLOOKUP(C962,IMPORTRANGE(""https://docs.google.com/spreadsheets/d/10KlTSftfC81rs2H7Cf6EIR7VWS3omC-2kwzaThHv16k/edit#gid=0"",""NSE Input VaR+ELM!D:J""),7,0),100)"),28.06)</f>
        <v>28.06</v>
      </c>
      <c r="E962" s="7">
        <f t="shared" si="1"/>
        <v>71.94</v>
      </c>
      <c r="F962" s="9" t="s">
        <v>10</v>
      </c>
    </row>
    <row r="963">
      <c r="A963" s="7">
        <v>957.0</v>
      </c>
      <c r="B963" s="10" t="s">
        <v>1922</v>
      </c>
      <c r="C963" s="10" t="s">
        <v>1923</v>
      </c>
      <c r="D963" s="8">
        <f>IFERROR(__xludf.DUMMYFUNCTION("IFERROR(VLOOKUP(C963,IMPORTRANGE(""https://docs.google.com/spreadsheets/d/10KlTSftfC81rs2H7Cf6EIR7VWS3omC-2kwzaThHv16k/edit#gid=0"",""NSE Input VaR+ELM!D:J""),7,0),100)"),19.98)</f>
        <v>19.98</v>
      </c>
      <c r="E963" s="7">
        <f t="shared" si="1"/>
        <v>80.02</v>
      </c>
      <c r="F963" s="9" t="s">
        <v>10</v>
      </c>
    </row>
    <row r="964">
      <c r="A964" s="7">
        <v>958.0</v>
      </c>
      <c r="B964" s="10" t="s">
        <v>1924</v>
      </c>
      <c r="C964" s="10" t="s">
        <v>1925</v>
      </c>
      <c r="D964" s="8">
        <f>IFERROR(__xludf.DUMMYFUNCTION("IFERROR(VLOOKUP(C964,IMPORTRANGE(""https://docs.google.com/spreadsheets/d/10KlTSftfC81rs2H7Cf6EIR7VWS3omC-2kwzaThHv16k/edit#gid=0"",""NSE Input VaR+ELM!D:J""),7,0),100)"),21.87)</f>
        <v>21.87</v>
      </c>
      <c r="E964" s="7">
        <f t="shared" si="1"/>
        <v>78.13</v>
      </c>
      <c r="F964" s="9" t="s">
        <v>10</v>
      </c>
    </row>
    <row r="965">
      <c r="A965" s="7">
        <v>959.0</v>
      </c>
      <c r="B965" s="10" t="s">
        <v>1926</v>
      </c>
      <c r="C965" s="10" t="s">
        <v>1927</v>
      </c>
      <c r="D965" s="8">
        <f>IFERROR(__xludf.DUMMYFUNCTION("IFERROR(VLOOKUP(C965,IMPORTRANGE(""https://docs.google.com/spreadsheets/d/10KlTSftfC81rs2H7Cf6EIR7VWS3omC-2kwzaThHv16k/edit#gid=0"",""NSE Input VaR+ELM!D:J""),7,0),100)"),17.87)</f>
        <v>17.87</v>
      </c>
      <c r="E965" s="7">
        <f t="shared" si="1"/>
        <v>82.13</v>
      </c>
      <c r="F965" s="9" t="s">
        <v>10</v>
      </c>
    </row>
    <row r="966">
      <c r="A966" s="7">
        <v>960.0</v>
      </c>
      <c r="B966" s="10" t="s">
        <v>1928</v>
      </c>
      <c r="C966" s="10" t="s">
        <v>1929</v>
      </c>
      <c r="D966" s="8">
        <f>IFERROR(__xludf.DUMMYFUNCTION("IFERROR(VLOOKUP(C966,IMPORTRANGE(""https://docs.google.com/spreadsheets/d/10KlTSftfC81rs2H7Cf6EIR7VWS3omC-2kwzaThHv16k/edit#gid=0"",""NSE Input VaR+ELM!D:J""),7,0),100)"),19.81)</f>
        <v>19.81</v>
      </c>
      <c r="E966" s="7">
        <f t="shared" si="1"/>
        <v>80.19</v>
      </c>
      <c r="F966" s="9" t="s">
        <v>10</v>
      </c>
    </row>
    <row r="967">
      <c r="A967" s="7">
        <v>961.0</v>
      </c>
      <c r="B967" s="10" t="s">
        <v>1930</v>
      </c>
      <c r="C967" s="10" t="s">
        <v>1931</v>
      </c>
      <c r="D967" s="8">
        <f>IFERROR(__xludf.DUMMYFUNCTION("IFERROR(VLOOKUP(C967,IMPORTRANGE(""https://docs.google.com/spreadsheets/d/10KlTSftfC81rs2H7Cf6EIR7VWS3omC-2kwzaThHv16k/edit#gid=0"",""NSE Input VaR+ELM!D:J""),7,0),100)"),19.96)</f>
        <v>19.96</v>
      </c>
      <c r="E967" s="7">
        <f t="shared" si="1"/>
        <v>80.04</v>
      </c>
      <c r="F967" s="9" t="s">
        <v>10</v>
      </c>
    </row>
    <row r="968">
      <c r="A968" s="7">
        <v>962.0</v>
      </c>
      <c r="B968" s="10" t="s">
        <v>1932</v>
      </c>
      <c r="C968" s="10" t="s">
        <v>1933</v>
      </c>
      <c r="D968" s="8">
        <f>IFERROR(__xludf.DUMMYFUNCTION("IFERROR(VLOOKUP(C968,IMPORTRANGE(""https://docs.google.com/spreadsheets/d/10KlTSftfC81rs2H7Cf6EIR7VWS3omC-2kwzaThHv16k/edit#gid=0"",""NSE Input VaR+ELM!D:J""),7,0),100)"),29.31)</f>
        <v>29.31</v>
      </c>
      <c r="E968" s="7">
        <f t="shared" si="1"/>
        <v>70.69</v>
      </c>
      <c r="F968" s="9" t="s">
        <v>10</v>
      </c>
    </row>
    <row r="969">
      <c r="A969" s="7">
        <v>963.0</v>
      </c>
      <c r="B969" s="10" t="s">
        <v>1934</v>
      </c>
      <c r="C969" s="10" t="s">
        <v>1935</v>
      </c>
      <c r="D969" s="8">
        <f>IFERROR(__xludf.DUMMYFUNCTION("IFERROR(VLOOKUP(C969,IMPORTRANGE(""https://docs.google.com/spreadsheets/d/10KlTSftfC81rs2H7Cf6EIR7VWS3omC-2kwzaThHv16k/edit#gid=0"",""NSE Input VaR+ELM!D:J""),7,0),100)"),22.79)</f>
        <v>22.79</v>
      </c>
      <c r="E969" s="7">
        <f t="shared" si="1"/>
        <v>77.21</v>
      </c>
      <c r="F969" s="9" t="s">
        <v>10</v>
      </c>
    </row>
    <row r="970">
      <c r="A970" s="7">
        <v>964.0</v>
      </c>
      <c r="B970" s="10" t="s">
        <v>1936</v>
      </c>
      <c r="C970" s="10" t="s">
        <v>1937</v>
      </c>
      <c r="D970" s="8">
        <f>IFERROR(__xludf.DUMMYFUNCTION("IFERROR(VLOOKUP(C970,IMPORTRANGE(""https://docs.google.com/spreadsheets/d/10KlTSftfC81rs2H7Cf6EIR7VWS3omC-2kwzaThHv16k/edit#gid=0"",""NSE Input VaR+ELM!D:J""),7,0),100)"),14.93)</f>
        <v>14.93</v>
      </c>
      <c r="E970" s="7">
        <f t="shared" si="1"/>
        <v>85.07</v>
      </c>
      <c r="F970" s="9" t="s">
        <v>10</v>
      </c>
    </row>
    <row r="971">
      <c r="A971" s="7">
        <v>965.0</v>
      </c>
      <c r="B971" s="10" t="s">
        <v>1938</v>
      </c>
      <c r="C971" s="10" t="s">
        <v>1939</v>
      </c>
      <c r="D971" s="8">
        <f>IFERROR(__xludf.DUMMYFUNCTION("IFERROR(VLOOKUP(C971,IMPORTRANGE(""https://docs.google.com/spreadsheets/d/10KlTSftfC81rs2H7Cf6EIR7VWS3omC-2kwzaThHv16k/edit#gid=0"",""NSE Input VaR+ELM!D:J""),7,0),100)"),22.22)</f>
        <v>22.22</v>
      </c>
      <c r="E971" s="7">
        <f t="shared" si="1"/>
        <v>77.78</v>
      </c>
      <c r="F971" s="9" t="s">
        <v>10</v>
      </c>
    </row>
    <row r="972">
      <c r="A972" s="7">
        <v>966.0</v>
      </c>
      <c r="B972" s="10" t="s">
        <v>1940</v>
      </c>
      <c r="C972" s="10" t="s">
        <v>1941</v>
      </c>
      <c r="D972" s="8">
        <f>IFERROR(__xludf.DUMMYFUNCTION("IFERROR(VLOOKUP(C972,IMPORTRANGE(""https://docs.google.com/spreadsheets/d/10KlTSftfC81rs2H7Cf6EIR7VWS3omC-2kwzaThHv16k/edit#gid=0"",""NSE Input VaR+ELM!D:J""),7,0),100)"),25.42)</f>
        <v>25.42</v>
      </c>
      <c r="E972" s="7">
        <f t="shared" si="1"/>
        <v>74.58</v>
      </c>
      <c r="F972" s="9" t="s">
        <v>217</v>
      </c>
    </row>
    <row r="973">
      <c r="A973" s="7">
        <v>967.0</v>
      </c>
      <c r="B973" s="10" t="s">
        <v>1942</v>
      </c>
      <c r="C973" s="10" t="s">
        <v>1943</v>
      </c>
      <c r="D973" s="8">
        <f>IFERROR(__xludf.DUMMYFUNCTION("IFERROR(VLOOKUP(C973,IMPORTRANGE(""https://docs.google.com/spreadsheets/d/10KlTSftfC81rs2H7Cf6EIR7VWS3omC-2kwzaThHv16k/edit#gid=0"",""NSE Input VaR+ELM!D:J""),7,0),100)"),13.8)</f>
        <v>13.8</v>
      </c>
      <c r="E973" s="7">
        <f t="shared" si="1"/>
        <v>86.2</v>
      </c>
      <c r="F973" s="9" t="s">
        <v>10</v>
      </c>
    </row>
    <row r="974">
      <c r="A974" s="7">
        <v>968.0</v>
      </c>
      <c r="B974" s="10" t="s">
        <v>1944</v>
      </c>
      <c r="C974" s="10" t="s">
        <v>1945</v>
      </c>
      <c r="D974" s="8">
        <f>IFERROR(__xludf.DUMMYFUNCTION("IFERROR(VLOOKUP(C974,IMPORTRANGE(""https://docs.google.com/spreadsheets/d/10KlTSftfC81rs2H7Cf6EIR7VWS3omC-2kwzaThHv16k/edit#gid=0"",""NSE Input VaR+ELM!D:J""),7,0),100)"),27.72)</f>
        <v>27.72</v>
      </c>
      <c r="E974" s="7">
        <f t="shared" si="1"/>
        <v>72.28</v>
      </c>
      <c r="F974" s="9" t="s">
        <v>10</v>
      </c>
    </row>
    <row r="975">
      <c r="A975" s="7">
        <v>969.0</v>
      </c>
      <c r="B975" s="10" t="s">
        <v>1946</v>
      </c>
      <c r="C975" s="10" t="s">
        <v>1947</v>
      </c>
      <c r="D975" s="8">
        <f>IFERROR(__xludf.DUMMYFUNCTION("IFERROR(VLOOKUP(C975,IMPORTRANGE(""https://docs.google.com/spreadsheets/d/10KlTSftfC81rs2H7Cf6EIR7VWS3omC-2kwzaThHv16k/edit#gid=0"",""NSE Input VaR+ELM!D:J""),7,0),100)"),32.38)</f>
        <v>32.38</v>
      </c>
      <c r="E975" s="7">
        <f t="shared" si="1"/>
        <v>67.62</v>
      </c>
      <c r="F975" s="9" t="s">
        <v>10</v>
      </c>
    </row>
    <row r="976">
      <c r="A976" s="7">
        <v>970.0</v>
      </c>
      <c r="B976" s="10" t="s">
        <v>1948</v>
      </c>
      <c r="C976" s="10" t="s">
        <v>1949</v>
      </c>
      <c r="D976" s="8">
        <f>IFERROR(__xludf.DUMMYFUNCTION("IFERROR(VLOOKUP(C976,IMPORTRANGE(""https://docs.google.com/spreadsheets/d/10KlTSftfC81rs2H7Cf6EIR7VWS3omC-2kwzaThHv16k/edit#gid=0"",""NSE Input VaR+ELM!D:J""),7,0),100)"),30.93)</f>
        <v>30.93</v>
      </c>
      <c r="E976" s="7">
        <f t="shared" si="1"/>
        <v>69.07</v>
      </c>
      <c r="F976" s="9" t="s">
        <v>10</v>
      </c>
    </row>
    <row r="977">
      <c r="A977" s="7">
        <v>971.0</v>
      </c>
      <c r="B977" s="10" t="s">
        <v>1950</v>
      </c>
      <c r="C977" s="10" t="s">
        <v>1951</v>
      </c>
      <c r="D977" s="8">
        <f>IFERROR(__xludf.DUMMYFUNCTION("IFERROR(VLOOKUP(C977,IMPORTRANGE(""https://docs.google.com/spreadsheets/d/10KlTSftfC81rs2H7Cf6EIR7VWS3omC-2kwzaThHv16k/edit#gid=0"",""NSE Input VaR+ELM!D:J""),7,0),100)"),27.05)</f>
        <v>27.05</v>
      </c>
      <c r="E977" s="7">
        <f t="shared" si="1"/>
        <v>72.95</v>
      </c>
      <c r="F977" s="9" t="s">
        <v>10</v>
      </c>
    </row>
    <row r="978">
      <c r="A978" s="7">
        <v>972.0</v>
      </c>
      <c r="B978" s="10" t="s">
        <v>1952</v>
      </c>
      <c r="C978" s="10" t="s">
        <v>1953</v>
      </c>
      <c r="D978" s="8">
        <f>IFERROR(__xludf.DUMMYFUNCTION("IFERROR(VLOOKUP(C978,IMPORTRANGE(""https://docs.google.com/spreadsheets/d/10KlTSftfC81rs2H7Cf6EIR7VWS3omC-2kwzaThHv16k/edit#gid=0"",""NSE Input VaR+ELM!D:J""),7,0),100)"),18.43)</f>
        <v>18.43</v>
      </c>
      <c r="E978" s="7">
        <f t="shared" si="1"/>
        <v>81.57</v>
      </c>
      <c r="F978" s="9" t="s">
        <v>217</v>
      </c>
    </row>
    <row r="979">
      <c r="A979" s="7">
        <v>973.0</v>
      </c>
      <c r="B979" s="10" t="s">
        <v>1954</v>
      </c>
      <c r="C979" s="10" t="s">
        <v>1955</v>
      </c>
      <c r="D979" s="8">
        <f>IFERROR(__xludf.DUMMYFUNCTION("IFERROR(VLOOKUP(C979,IMPORTRANGE(""https://docs.google.com/spreadsheets/d/10KlTSftfC81rs2H7Cf6EIR7VWS3omC-2kwzaThHv16k/edit#gid=0"",""NSE Input VaR+ELM!D:J""),7,0),100)"),23.26)</f>
        <v>23.26</v>
      </c>
      <c r="E979" s="7">
        <f t="shared" si="1"/>
        <v>76.74</v>
      </c>
      <c r="F979" s="9" t="s">
        <v>217</v>
      </c>
    </row>
    <row r="980">
      <c r="A980" s="7">
        <v>974.0</v>
      </c>
      <c r="B980" s="10" t="s">
        <v>1956</v>
      </c>
      <c r="C980" s="10" t="s">
        <v>1957</v>
      </c>
      <c r="D980" s="8">
        <f>IFERROR(__xludf.DUMMYFUNCTION("IFERROR(VLOOKUP(C980,IMPORTRANGE(""https://docs.google.com/spreadsheets/d/10KlTSftfC81rs2H7Cf6EIR7VWS3omC-2kwzaThHv16k/edit#gid=0"",""NSE Input VaR+ELM!D:J""),7,0),100)"),28.9)</f>
        <v>28.9</v>
      </c>
      <c r="E980" s="7">
        <f t="shared" si="1"/>
        <v>71.1</v>
      </c>
      <c r="F980" s="9" t="s">
        <v>10</v>
      </c>
    </row>
    <row r="981">
      <c r="A981" s="7">
        <v>975.0</v>
      </c>
      <c r="B981" s="10" t="s">
        <v>1958</v>
      </c>
      <c r="C981" s="10" t="s">
        <v>1959</v>
      </c>
      <c r="D981" s="8">
        <f>IFERROR(__xludf.DUMMYFUNCTION("IFERROR(VLOOKUP(C981,IMPORTRANGE(""https://docs.google.com/spreadsheets/d/10KlTSftfC81rs2H7Cf6EIR7VWS3omC-2kwzaThHv16k/edit#gid=0"",""NSE Input VaR+ELM!D:J""),7,0),100)"),23.39)</f>
        <v>23.39</v>
      </c>
      <c r="E981" s="7">
        <f t="shared" si="1"/>
        <v>76.61</v>
      </c>
      <c r="F981" s="9" t="s">
        <v>217</v>
      </c>
    </row>
    <row r="982">
      <c r="A982" s="7">
        <v>976.0</v>
      </c>
      <c r="B982" s="10" t="s">
        <v>1960</v>
      </c>
      <c r="C982" s="10" t="s">
        <v>1961</v>
      </c>
      <c r="D982" s="8">
        <f>IFERROR(__xludf.DUMMYFUNCTION("IFERROR(VLOOKUP(C982,IMPORTRANGE(""https://docs.google.com/spreadsheets/d/10KlTSftfC81rs2H7Cf6EIR7VWS3omC-2kwzaThHv16k/edit#gid=0"",""NSE Input VaR+ELM!D:J""),7,0),100)"),24.88)</f>
        <v>24.88</v>
      </c>
      <c r="E982" s="7">
        <f t="shared" si="1"/>
        <v>75.12</v>
      </c>
      <c r="F982" s="9" t="s">
        <v>10</v>
      </c>
    </row>
    <row r="983">
      <c r="A983" s="7">
        <v>977.0</v>
      </c>
      <c r="B983" s="10" t="s">
        <v>1962</v>
      </c>
      <c r="C983" s="10" t="s">
        <v>1963</v>
      </c>
      <c r="D983" s="8">
        <f>IFERROR(__xludf.DUMMYFUNCTION("IFERROR(VLOOKUP(C983,IMPORTRANGE(""https://docs.google.com/spreadsheets/d/10KlTSftfC81rs2H7Cf6EIR7VWS3omC-2kwzaThHv16k/edit#gid=0"",""NSE Input VaR+ELM!D:J""),7,0),100)"),21.67)</f>
        <v>21.67</v>
      </c>
      <c r="E983" s="7">
        <f t="shared" si="1"/>
        <v>78.33</v>
      </c>
      <c r="F983" s="9" t="s">
        <v>10</v>
      </c>
    </row>
    <row r="984">
      <c r="A984" s="7">
        <v>978.0</v>
      </c>
      <c r="B984" s="10" t="s">
        <v>1964</v>
      </c>
      <c r="C984" s="10" t="s">
        <v>1965</v>
      </c>
      <c r="D984" s="8">
        <f>IFERROR(__xludf.DUMMYFUNCTION("IFERROR(VLOOKUP(C984,IMPORTRANGE(""https://docs.google.com/spreadsheets/d/10KlTSftfC81rs2H7Cf6EIR7VWS3omC-2kwzaThHv16k/edit#gid=0"",""NSE Input VaR+ELM!D:J""),7,0),100)"),23.87)</f>
        <v>23.87</v>
      </c>
      <c r="E984" s="7">
        <f t="shared" si="1"/>
        <v>76.13</v>
      </c>
      <c r="F984" s="9" t="s">
        <v>10</v>
      </c>
    </row>
    <row r="985">
      <c r="A985" s="7">
        <v>979.0</v>
      </c>
      <c r="B985" s="10" t="s">
        <v>1966</v>
      </c>
      <c r="C985" s="10" t="s">
        <v>1967</v>
      </c>
      <c r="D985" s="8">
        <f>IFERROR(__xludf.DUMMYFUNCTION("IFERROR(VLOOKUP(C985,IMPORTRANGE(""https://docs.google.com/spreadsheets/d/10KlTSftfC81rs2H7Cf6EIR7VWS3omC-2kwzaThHv16k/edit#gid=0"",""NSE Input VaR+ELM!D:J""),7,0),100)"),29.62)</f>
        <v>29.62</v>
      </c>
      <c r="E985" s="7">
        <f t="shared" si="1"/>
        <v>70.38</v>
      </c>
      <c r="F985" s="9" t="s">
        <v>10</v>
      </c>
    </row>
    <row r="986">
      <c r="A986" s="7">
        <v>980.0</v>
      </c>
      <c r="B986" s="10" t="s">
        <v>1968</v>
      </c>
      <c r="C986" s="10" t="s">
        <v>1969</v>
      </c>
      <c r="D986" s="8">
        <f>IFERROR(__xludf.DUMMYFUNCTION("IFERROR(VLOOKUP(C986,IMPORTRANGE(""https://docs.google.com/spreadsheets/d/10KlTSftfC81rs2H7Cf6EIR7VWS3omC-2kwzaThHv16k/edit#gid=0"",""NSE Input VaR+ELM!D:J""),7,0),100)"),14.06)</f>
        <v>14.06</v>
      </c>
      <c r="E986" s="7">
        <f t="shared" si="1"/>
        <v>85.94</v>
      </c>
      <c r="F986" s="9" t="s">
        <v>10</v>
      </c>
    </row>
    <row r="987">
      <c r="A987" s="7">
        <v>981.0</v>
      </c>
      <c r="B987" s="10" t="s">
        <v>1970</v>
      </c>
      <c r="C987" s="10" t="s">
        <v>1971</v>
      </c>
      <c r="D987" s="8">
        <f>IFERROR(__xludf.DUMMYFUNCTION("IFERROR(VLOOKUP(C987,IMPORTRANGE(""https://docs.google.com/spreadsheets/d/10KlTSftfC81rs2H7Cf6EIR7VWS3omC-2kwzaThHv16k/edit#gid=0"",""NSE Input VaR+ELM!D:J""),7,0),100)"),21.49)</f>
        <v>21.49</v>
      </c>
      <c r="E987" s="7">
        <f t="shared" si="1"/>
        <v>78.51</v>
      </c>
      <c r="F987" s="9" t="s">
        <v>10</v>
      </c>
    </row>
    <row r="988">
      <c r="A988" s="7">
        <v>982.0</v>
      </c>
      <c r="B988" s="10" t="s">
        <v>1972</v>
      </c>
      <c r="C988" s="10" t="s">
        <v>1973</v>
      </c>
      <c r="D988" s="8">
        <f>IFERROR(__xludf.DUMMYFUNCTION("IFERROR(VLOOKUP(C988,IMPORTRANGE(""https://docs.google.com/spreadsheets/d/10KlTSftfC81rs2H7Cf6EIR7VWS3omC-2kwzaThHv16k/edit#gid=0"",""NSE Input VaR+ELM!D:J""),7,0),100)"),23.81)</f>
        <v>23.81</v>
      </c>
      <c r="E988" s="7">
        <f t="shared" si="1"/>
        <v>76.19</v>
      </c>
      <c r="F988" s="9" t="s">
        <v>217</v>
      </c>
    </row>
    <row r="989">
      <c r="A989" s="7">
        <v>983.0</v>
      </c>
      <c r="B989" s="10" t="s">
        <v>1974</v>
      </c>
      <c r="C989" s="10" t="s">
        <v>1975</v>
      </c>
      <c r="D989" s="8">
        <f>IFERROR(__xludf.DUMMYFUNCTION("IFERROR(VLOOKUP(C989,IMPORTRANGE(""https://docs.google.com/spreadsheets/d/10KlTSftfC81rs2H7Cf6EIR7VWS3omC-2kwzaThHv16k/edit#gid=0"",""NSE Input VaR+ELM!D:J""),7,0),100)"),50.0)</f>
        <v>50</v>
      </c>
      <c r="E989" s="7">
        <f t="shared" si="1"/>
        <v>50</v>
      </c>
      <c r="F989" s="9" t="s">
        <v>10</v>
      </c>
    </row>
    <row r="990">
      <c r="A990" s="7">
        <v>984.0</v>
      </c>
      <c r="B990" s="10" t="s">
        <v>1976</v>
      </c>
      <c r="C990" s="10" t="s">
        <v>1977</v>
      </c>
      <c r="D990" s="8">
        <f>IFERROR(__xludf.DUMMYFUNCTION("IFERROR(VLOOKUP(C990,IMPORTRANGE(""https://docs.google.com/spreadsheets/d/10KlTSftfC81rs2H7Cf6EIR7VWS3omC-2kwzaThHv16k/edit#gid=0"",""NSE Input VaR+ELM!D:J""),7,0),100)"),17.75)</f>
        <v>17.75</v>
      </c>
      <c r="E990" s="7">
        <f t="shared" si="1"/>
        <v>82.25</v>
      </c>
      <c r="F990" s="9" t="s">
        <v>10</v>
      </c>
    </row>
    <row r="991">
      <c r="A991" s="7">
        <v>985.0</v>
      </c>
      <c r="B991" s="10" t="s">
        <v>1978</v>
      </c>
      <c r="C991" s="10" t="s">
        <v>1979</v>
      </c>
      <c r="D991" s="8">
        <f>IFERROR(__xludf.DUMMYFUNCTION("IFERROR(VLOOKUP(C991,IMPORTRANGE(""https://docs.google.com/spreadsheets/d/10KlTSftfC81rs2H7Cf6EIR7VWS3omC-2kwzaThHv16k/edit#gid=0"",""NSE Input VaR+ELM!D:J""),7,0),100)"),16.05)</f>
        <v>16.05</v>
      </c>
      <c r="E991" s="7">
        <f t="shared" si="1"/>
        <v>83.95</v>
      </c>
      <c r="F991" s="9" t="s">
        <v>10</v>
      </c>
    </row>
    <row r="992">
      <c r="A992" s="7">
        <v>986.0</v>
      </c>
      <c r="B992" s="10" t="s">
        <v>1980</v>
      </c>
      <c r="C992" s="10" t="s">
        <v>1981</v>
      </c>
      <c r="D992" s="8">
        <f>IFERROR(__xludf.DUMMYFUNCTION("IFERROR(VLOOKUP(C992,IMPORTRANGE(""https://docs.google.com/spreadsheets/d/10KlTSftfC81rs2H7Cf6EIR7VWS3omC-2kwzaThHv16k/edit#gid=0"",""NSE Input VaR+ELM!D:J""),7,0),100)"),28.87)</f>
        <v>28.87</v>
      </c>
      <c r="E992" s="7">
        <f t="shared" si="1"/>
        <v>71.13</v>
      </c>
      <c r="F992" s="9" t="s">
        <v>10</v>
      </c>
    </row>
    <row r="993">
      <c r="A993" s="7">
        <v>987.0</v>
      </c>
      <c r="B993" s="10" t="s">
        <v>1982</v>
      </c>
      <c r="C993" s="10" t="s">
        <v>1983</v>
      </c>
      <c r="D993" s="8">
        <f>IFERROR(__xludf.DUMMYFUNCTION("IFERROR(VLOOKUP(C993,IMPORTRANGE(""https://docs.google.com/spreadsheets/d/10KlTSftfC81rs2H7Cf6EIR7VWS3omC-2kwzaThHv16k/edit#gid=0"",""NSE Input VaR+ELM!D:J""),7,0),100)"),12.72)</f>
        <v>12.72</v>
      </c>
      <c r="E993" s="7">
        <f t="shared" si="1"/>
        <v>87.28</v>
      </c>
      <c r="F993" s="9" t="s">
        <v>10</v>
      </c>
    </row>
    <row r="994">
      <c r="A994" s="7">
        <v>988.0</v>
      </c>
      <c r="B994" s="10" t="s">
        <v>1984</v>
      </c>
      <c r="C994" s="10" t="s">
        <v>1985</v>
      </c>
      <c r="D994" s="8">
        <f>IFERROR(__xludf.DUMMYFUNCTION("IFERROR(VLOOKUP(C994,IMPORTRANGE(""https://docs.google.com/spreadsheets/d/10KlTSftfC81rs2H7Cf6EIR7VWS3omC-2kwzaThHv16k/edit#gid=0"",""NSE Input VaR+ELM!D:J""),7,0),100)"),24.56)</f>
        <v>24.56</v>
      </c>
      <c r="E994" s="7">
        <f t="shared" si="1"/>
        <v>75.44</v>
      </c>
      <c r="F994" s="9" t="s">
        <v>10</v>
      </c>
    </row>
    <row r="995">
      <c r="A995" s="7">
        <v>989.0</v>
      </c>
      <c r="B995" s="10" t="s">
        <v>1986</v>
      </c>
      <c r="C995" s="10" t="s">
        <v>1987</v>
      </c>
      <c r="D995" s="8">
        <f>IFERROR(__xludf.DUMMYFUNCTION("IFERROR(VLOOKUP(C995,IMPORTRANGE(""https://docs.google.com/spreadsheets/d/10KlTSftfC81rs2H7Cf6EIR7VWS3omC-2kwzaThHv16k/edit#gid=0"",""NSE Input VaR+ELM!D:J""),7,0),100)"),22.64)</f>
        <v>22.64</v>
      </c>
      <c r="E995" s="7">
        <f t="shared" si="1"/>
        <v>77.36</v>
      </c>
      <c r="F995" s="9" t="s">
        <v>217</v>
      </c>
    </row>
    <row r="996">
      <c r="A996" s="7">
        <v>990.0</v>
      </c>
      <c r="B996" s="10" t="s">
        <v>1988</v>
      </c>
      <c r="C996" s="10" t="s">
        <v>1989</v>
      </c>
      <c r="D996" s="8">
        <f>IFERROR(__xludf.DUMMYFUNCTION("IFERROR(VLOOKUP(C996,IMPORTRANGE(""https://docs.google.com/spreadsheets/d/10KlTSftfC81rs2H7Cf6EIR7VWS3omC-2kwzaThHv16k/edit#gid=0"",""NSE Input VaR+ELM!D:J""),7,0),100)"),50.0)</f>
        <v>50</v>
      </c>
      <c r="E996" s="7">
        <f t="shared" si="1"/>
        <v>50</v>
      </c>
      <c r="F996" s="9" t="s">
        <v>10</v>
      </c>
    </row>
    <row r="997">
      <c r="A997" s="7">
        <v>991.0</v>
      </c>
      <c r="B997" s="10" t="s">
        <v>1990</v>
      </c>
      <c r="C997" s="10" t="s">
        <v>1991</v>
      </c>
      <c r="D997" s="8">
        <f>IFERROR(__xludf.DUMMYFUNCTION("IFERROR(VLOOKUP(C997,IMPORTRANGE(""https://docs.google.com/spreadsheets/d/10KlTSftfC81rs2H7Cf6EIR7VWS3omC-2kwzaThHv16k/edit#gid=0"",""NSE Input VaR+ELM!D:J""),7,0),100)"),26.56)</f>
        <v>26.56</v>
      </c>
      <c r="E997" s="7">
        <f t="shared" si="1"/>
        <v>73.44</v>
      </c>
      <c r="F997" s="9" t="s">
        <v>217</v>
      </c>
    </row>
    <row r="998">
      <c r="A998" s="7">
        <v>992.0</v>
      </c>
      <c r="B998" s="10" t="s">
        <v>1992</v>
      </c>
      <c r="C998" s="10" t="s">
        <v>1993</v>
      </c>
      <c r="D998" s="8">
        <f>IFERROR(__xludf.DUMMYFUNCTION("IFERROR(VLOOKUP(C998,IMPORTRANGE(""https://docs.google.com/spreadsheets/d/10KlTSftfC81rs2H7Cf6EIR7VWS3omC-2kwzaThHv16k/edit#gid=0"",""NSE Input VaR+ELM!D:J""),7,0),100)"),26.97)</f>
        <v>26.97</v>
      </c>
      <c r="E998" s="7">
        <f t="shared" si="1"/>
        <v>73.03</v>
      </c>
      <c r="F998" s="9" t="s">
        <v>10</v>
      </c>
    </row>
    <row r="999">
      <c r="A999" s="7">
        <v>993.0</v>
      </c>
      <c r="B999" s="10" t="s">
        <v>1994</v>
      </c>
      <c r="C999" s="10" t="s">
        <v>1995</v>
      </c>
      <c r="D999" s="8">
        <f>IFERROR(__xludf.DUMMYFUNCTION("IFERROR(VLOOKUP(C999,IMPORTRANGE(""https://docs.google.com/spreadsheets/d/10KlTSftfC81rs2H7Cf6EIR7VWS3omC-2kwzaThHv16k/edit#gid=0"",""NSE Input VaR+ELM!D:J""),7,0),100)"),22.83)</f>
        <v>22.83</v>
      </c>
      <c r="E999" s="7">
        <f t="shared" si="1"/>
        <v>77.17</v>
      </c>
      <c r="F999" s="9" t="s">
        <v>217</v>
      </c>
    </row>
    <row r="1000">
      <c r="A1000" s="7">
        <v>994.0</v>
      </c>
      <c r="B1000" s="10" t="s">
        <v>1996</v>
      </c>
      <c r="C1000" s="10" t="s">
        <v>1997</v>
      </c>
      <c r="D1000" s="8">
        <f>IFERROR(__xludf.DUMMYFUNCTION("IFERROR(VLOOKUP(C1000,IMPORTRANGE(""https://docs.google.com/spreadsheets/d/10KlTSftfC81rs2H7Cf6EIR7VWS3omC-2kwzaThHv16k/edit#gid=0"",""NSE Input VaR+ELM!D:J""),7,0),100)"),30.9)</f>
        <v>30.9</v>
      </c>
      <c r="E1000" s="7">
        <f t="shared" si="1"/>
        <v>69.1</v>
      </c>
      <c r="F1000" s="9" t="s">
        <v>10</v>
      </c>
    </row>
    <row r="1001">
      <c r="A1001" s="7">
        <v>995.0</v>
      </c>
      <c r="B1001" s="10" t="s">
        <v>1998</v>
      </c>
      <c r="C1001" s="10" t="s">
        <v>1999</v>
      </c>
      <c r="D1001" s="8">
        <f>IFERROR(__xludf.DUMMYFUNCTION("IFERROR(VLOOKUP(C1001,IMPORTRANGE(""https://docs.google.com/spreadsheets/d/10KlTSftfC81rs2H7Cf6EIR7VWS3omC-2kwzaThHv16k/edit#gid=0"",""NSE Input VaR+ELM!D:J""),7,0),100)"),24.52)</f>
        <v>24.52</v>
      </c>
      <c r="E1001" s="7">
        <f t="shared" si="1"/>
        <v>75.48</v>
      </c>
      <c r="F1001" s="9" t="s">
        <v>10</v>
      </c>
    </row>
    <row r="1002">
      <c r="A1002" s="7">
        <v>996.0</v>
      </c>
      <c r="B1002" s="10" t="s">
        <v>2000</v>
      </c>
      <c r="C1002" s="10" t="s">
        <v>2001</v>
      </c>
      <c r="D1002" s="8">
        <f>IFERROR(__xludf.DUMMYFUNCTION("IFERROR(VLOOKUP(C1002,IMPORTRANGE(""https://docs.google.com/spreadsheets/d/10KlTSftfC81rs2H7Cf6EIR7VWS3omC-2kwzaThHv16k/edit#gid=0"",""NSE Input VaR+ELM!D:J""),7,0),100)"),26.4)</f>
        <v>26.4</v>
      </c>
      <c r="E1002" s="7">
        <f t="shared" si="1"/>
        <v>73.6</v>
      </c>
      <c r="F1002" s="9" t="s">
        <v>10</v>
      </c>
    </row>
    <row r="1003">
      <c r="A1003" s="7">
        <v>997.0</v>
      </c>
      <c r="B1003" s="10" t="s">
        <v>2002</v>
      </c>
      <c r="C1003" s="10" t="s">
        <v>2003</v>
      </c>
      <c r="D1003" s="8">
        <f>IFERROR(__xludf.DUMMYFUNCTION("IFERROR(VLOOKUP(C1003,IMPORTRANGE(""https://docs.google.com/spreadsheets/d/10KlTSftfC81rs2H7Cf6EIR7VWS3omC-2kwzaThHv16k/edit#gid=0"",""NSE Input VaR+ELM!D:J""),7,0),100)"),33.12)</f>
        <v>33.12</v>
      </c>
      <c r="E1003" s="7">
        <f t="shared" si="1"/>
        <v>66.88</v>
      </c>
      <c r="F1003" s="9" t="s">
        <v>10</v>
      </c>
    </row>
    <row r="1004">
      <c r="A1004" s="7">
        <v>998.0</v>
      </c>
      <c r="B1004" s="10" t="s">
        <v>2004</v>
      </c>
      <c r="C1004" s="10" t="s">
        <v>2005</v>
      </c>
      <c r="D1004" s="8">
        <f>IFERROR(__xludf.DUMMYFUNCTION("IFERROR(VLOOKUP(C1004,IMPORTRANGE(""https://docs.google.com/spreadsheets/d/10KlTSftfC81rs2H7Cf6EIR7VWS3omC-2kwzaThHv16k/edit#gid=0"",""NSE Input VaR+ELM!D:J""),7,0),100)"),30.34)</f>
        <v>30.34</v>
      </c>
      <c r="E1004" s="7">
        <f t="shared" si="1"/>
        <v>69.66</v>
      </c>
      <c r="F1004" s="9" t="s">
        <v>10</v>
      </c>
    </row>
    <row r="1005">
      <c r="A1005" s="7">
        <v>999.0</v>
      </c>
      <c r="B1005" s="10" t="s">
        <v>2006</v>
      </c>
      <c r="C1005" s="10" t="s">
        <v>2007</v>
      </c>
      <c r="D1005" s="8">
        <f>IFERROR(__xludf.DUMMYFUNCTION("IFERROR(VLOOKUP(C1005,IMPORTRANGE(""https://docs.google.com/spreadsheets/d/10KlTSftfC81rs2H7Cf6EIR7VWS3omC-2kwzaThHv16k/edit#gid=0"",""NSE Input VaR+ELM!D:J""),7,0),100)"),29.43)</f>
        <v>29.43</v>
      </c>
      <c r="E1005" s="7">
        <f t="shared" si="1"/>
        <v>70.57</v>
      </c>
      <c r="F1005" s="9" t="s">
        <v>10</v>
      </c>
    </row>
    <row r="1006">
      <c r="A1006" s="7">
        <v>1000.0</v>
      </c>
      <c r="B1006" s="10" t="s">
        <v>2008</v>
      </c>
      <c r="C1006" s="10" t="s">
        <v>2009</v>
      </c>
      <c r="D1006" s="8">
        <f>IFERROR(__xludf.DUMMYFUNCTION("IFERROR(VLOOKUP(C1006,IMPORTRANGE(""https://docs.google.com/spreadsheets/d/10KlTSftfC81rs2H7Cf6EIR7VWS3omC-2kwzaThHv16k/edit#gid=0"",""NSE Input VaR+ELM!D:J""),7,0),100)"),24.56)</f>
        <v>24.56</v>
      </c>
      <c r="E1006" s="7">
        <f t="shared" si="1"/>
        <v>75.44</v>
      </c>
      <c r="F1006" s="9" t="s">
        <v>10</v>
      </c>
    </row>
    <row r="1007">
      <c r="A1007" s="7">
        <v>1001.0</v>
      </c>
      <c r="B1007" s="10" t="s">
        <v>2010</v>
      </c>
      <c r="C1007" s="10" t="s">
        <v>2011</v>
      </c>
      <c r="D1007" s="8">
        <f>IFERROR(__xludf.DUMMYFUNCTION("IFERROR(VLOOKUP(C1007,IMPORTRANGE(""https://docs.google.com/spreadsheets/d/10KlTSftfC81rs2H7Cf6EIR7VWS3omC-2kwzaThHv16k/edit#gid=0"",""NSE Input VaR+ELM!D:J""),7,0),100)"),27.13)</f>
        <v>27.13</v>
      </c>
      <c r="E1007" s="7">
        <f t="shared" si="1"/>
        <v>72.87</v>
      </c>
      <c r="F1007" s="9" t="s">
        <v>10</v>
      </c>
    </row>
    <row r="1008">
      <c r="A1008" s="7">
        <v>1002.0</v>
      </c>
      <c r="B1008" s="10" t="s">
        <v>2012</v>
      </c>
      <c r="C1008" s="10" t="s">
        <v>2013</v>
      </c>
      <c r="D1008" s="8">
        <f>IFERROR(__xludf.DUMMYFUNCTION("IFERROR(VLOOKUP(C1008,IMPORTRANGE(""https://docs.google.com/spreadsheets/d/10KlTSftfC81rs2H7Cf6EIR7VWS3omC-2kwzaThHv16k/edit#gid=0"",""NSE Input VaR+ELM!D:J""),7,0),100)"),18.18)</f>
        <v>18.18</v>
      </c>
      <c r="E1008" s="7">
        <f t="shared" si="1"/>
        <v>81.82</v>
      </c>
      <c r="F1008" s="9" t="s">
        <v>10</v>
      </c>
    </row>
    <row r="1009">
      <c r="A1009" s="7">
        <v>1003.0</v>
      </c>
      <c r="B1009" s="10" t="s">
        <v>2014</v>
      </c>
      <c r="C1009" s="10" t="s">
        <v>2015</v>
      </c>
      <c r="D1009" s="8">
        <f>IFERROR(__xludf.DUMMYFUNCTION("IFERROR(VLOOKUP(C1009,IMPORTRANGE(""https://docs.google.com/spreadsheets/d/10KlTSftfC81rs2H7Cf6EIR7VWS3omC-2kwzaThHv16k/edit#gid=0"",""NSE Input VaR+ELM!D:J""),7,0),100)"),21.06)</f>
        <v>21.06</v>
      </c>
      <c r="E1009" s="7">
        <f t="shared" si="1"/>
        <v>78.94</v>
      </c>
      <c r="F1009" s="9" t="s">
        <v>217</v>
      </c>
    </row>
    <row r="1010">
      <c r="A1010" s="7">
        <v>1004.0</v>
      </c>
      <c r="B1010" s="10" t="s">
        <v>2016</v>
      </c>
      <c r="C1010" s="10" t="s">
        <v>2017</v>
      </c>
      <c r="D1010" s="8">
        <f>IFERROR(__xludf.DUMMYFUNCTION("IFERROR(VLOOKUP(C1010,IMPORTRANGE(""https://docs.google.com/spreadsheets/d/10KlTSftfC81rs2H7Cf6EIR7VWS3omC-2kwzaThHv16k/edit#gid=0"",""NSE Input VaR+ELM!D:J""),7,0),100)"),35.0)</f>
        <v>35</v>
      </c>
      <c r="E1010" s="7">
        <f t="shared" si="1"/>
        <v>65</v>
      </c>
      <c r="F1010" s="9" t="s">
        <v>10</v>
      </c>
    </row>
    <row r="1011">
      <c r="A1011" s="7">
        <v>1005.0</v>
      </c>
      <c r="B1011" s="10" t="s">
        <v>2018</v>
      </c>
      <c r="C1011" s="10" t="s">
        <v>2019</v>
      </c>
      <c r="D1011" s="8">
        <f>IFERROR(__xludf.DUMMYFUNCTION("IFERROR(VLOOKUP(C1011,IMPORTRANGE(""https://docs.google.com/spreadsheets/d/10KlTSftfC81rs2H7Cf6EIR7VWS3omC-2kwzaThHv16k/edit#gid=0"",""NSE Input VaR+ELM!D:J""),7,0),100)"),25.68)</f>
        <v>25.68</v>
      </c>
      <c r="E1011" s="7">
        <f t="shared" si="1"/>
        <v>74.32</v>
      </c>
      <c r="F1011" s="9" t="s">
        <v>10</v>
      </c>
    </row>
    <row r="1012">
      <c r="A1012" s="7">
        <v>1006.0</v>
      </c>
      <c r="B1012" s="10" t="s">
        <v>2020</v>
      </c>
      <c r="C1012" s="10" t="s">
        <v>2021</v>
      </c>
      <c r="D1012" s="8">
        <f>IFERROR(__xludf.DUMMYFUNCTION("IFERROR(VLOOKUP(C1012,IMPORTRANGE(""https://docs.google.com/spreadsheets/d/10KlTSftfC81rs2H7Cf6EIR7VWS3omC-2kwzaThHv16k/edit#gid=0"",""NSE Input VaR+ELM!D:J""),7,0),100)"),30.0)</f>
        <v>30</v>
      </c>
      <c r="E1012" s="7">
        <f t="shared" si="1"/>
        <v>70</v>
      </c>
      <c r="F1012" s="9" t="s">
        <v>10</v>
      </c>
    </row>
    <row r="1013">
      <c r="A1013" s="7">
        <v>1007.0</v>
      </c>
      <c r="B1013" s="10" t="s">
        <v>2022</v>
      </c>
      <c r="C1013" s="10" t="s">
        <v>2023</v>
      </c>
      <c r="D1013" s="8">
        <f>IFERROR(__xludf.DUMMYFUNCTION("IFERROR(VLOOKUP(C1013,IMPORTRANGE(""https://docs.google.com/spreadsheets/d/10KlTSftfC81rs2H7Cf6EIR7VWS3omC-2kwzaThHv16k/edit#gid=0"",""NSE Input VaR+ELM!D:J""),7,0),100)"),27.06)</f>
        <v>27.06</v>
      </c>
      <c r="E1013" s="7">
        <f t="shared" si="1"/>
        <v>72.94</v>
      </c>
      <c r="F1013" s="9" t="s">
        <v>10</v>
      </c>
    </row>
    <row r="1014">
      <c r="A1014" s="7">
        <v>1008.0</v>
      </c>
      <c r="B1014" s="10" t="s">
        <v>2024</v>
      </c>
      <c r="C1014" s="10" t="s">
        <v>2025</v>
      </c>
      <c r="D1014" s="8">
        <f>IFERROR(__xludf.DUMMYFUNCTION("IFERROR(VLOOKUP(C1014,IMPORTRANGE(""https://docs.google.com/spreadsheets/d/10KlTSftfC81rs2H7Cf6EIR7VWS3omC-2kwzaThHv16k/edit#gid=0"",""NSE Input VaR+ELM!D:J""),7,0),100)"),26.3)</f>
        <v>26.3</v>
      </c>
      <c r="E1014" s="7">
        <f t="shared" si="1"/>
        <v>73.7</v>
      </c>
      <c r="F1014" s="9" t="s">
        <v>10</v>
      </c>
    </row>
    <row r="1015">
      <c r="A1015" s="7">
        <v>1009.0</v>
      </c>
      <c r="B1015" s="10" t="s">
        <v>2026</v>
      </c>
      <c r="C1015" s="10" t="s">
        <v>2027</v>
      </c>
      <c r="D1015" s="8">
        <f>IFERROR(__xludf.DUMMYFUNCTION("IFERROR(VLOOKUP(C1015,IMPORTRANGE(""https://docs.google.com/spreadsheets/d/10KlTSftfC81rs2H7Cf6EIR7VWS3omC-2kwzaThHv16k/edit#gid=0"",""NSE Input VaR+ELM!D:J""),7,0),100)"),18.77)</f>
        <v>18.77</v>
      </c>
      <c r="E1015" s="7">
        <f t="shared" si="1"/>
        <v>81.23</v>
      </c>
      <c r="F1015" s="9" t="s">
        <v>217</v>
      </c>
    </row>
    <row r="1016">
      <c r="A1016" s="7">
        <v>1010.0</v>
      </c>
      <c r="B1016" s="10" t="s">
        <v>2028</v>
      </c>
      <c r="C1016" s="10" t="s">
        <v>2029</v>
      </c>
      <c r="D1016" s="8">
        <f>IFERROR(__xludf.DUMMYFUNCTION("IFERROR(VLOOKUP(C1016,IMPORTRANGE(""https://docs.google.com/spreadsheets/d/10KlTSftfC81rs2H7Cf6EIR7VWS3omC-2kwzaThHv16k/edit#gid=0"",""NSE Input VaR+ELM!D:J""),7,0),100)"),16.8)</f>
        <v>16.8</v>
      </c>
      <c r="E1016" s="7">
        <f t="shared" si="1"/>
        <v>83.2</v>
      </c>
      <c r="F1016" s="9" t="s">
        <v>10</v>
      </c>
    </row>
    <row r="1017">
      <c r="A1017" s="7">
        <v>1011.0</v>
      </c>
      <c r="B1017" s="10" t="s">
        <v>2030</v>
      </c>
      <c r="C1017" s="10" t="s">
        <v>2031</v>
      </c>
      <c r="D1017" s="8">
        <f>IFERROR(__xludf.DUMMYFUNCTION("IFERROR(VLOOKUP(C1017,IMPORTRANGE(""https://docs.google.com/spreadsheets/d/10KlTSftfC81rs2H7Cf6EIR7VWS3omC-2kwzaThHv16k/edit#gid=0"",""NSE Input VaR+ELM!D:J""),7,0),100)"),28.81)</f>
        <v>28.81</v>
      </c>
      <c r="E1017" s="7">
        <f t="shared" si="1"/>
        <v>71.19</v>
      </c>
      <c r="F1017" s="9" t="s">
        <v>10</v>
      </c>
    </row>
    <row r="1018">
      <c r="A1018" s="7">
        <v>1012.0</v>
      </c>
      <c r="B1018" s="10" t="s">
        <v>2032</v>
      </c>
      <c r="C1018" s="10" t="s">
        <v>2033</v>
      </c>
      <c r="D1018" s="8">
        <f>IFERROR(__xludf.DUMMYFUNCTION("IFERROR(VLOOKUP(C1018,IMPORTRANGE(""https://docs.google.com/spreadsheets/d/10KlTSftfC81rs2H7Cf6EIR7VWS3omC-2kwzaThHv16k/edit#gid=0"",""NSE Input VaR+ELM!D:J""),7,0),100)"),26.57)</f>
        <v>26.57</v>
      </c>
      <c r="E1018" s="7">
        <f t="shared" si="1"/>
        <v>73.43</v>
      </c>
      <c r="F1018" s="9" t="s">
        <v>10</v>
      </c>
    </row>
    <row r="1019">
      <c r="A1019" s="7">
        <v>1013.0</v>
      </c>
      <c r="B1019" s="10" t="s">
        <v>2034</v>
      </c>
      <c r="C1019" s="10" t="s">
        <v>2035</v>
      </c>
      <c r="D1019" s="8">
        <f>IFERROR(__xludf.DUMMYFUNCTION("IFERROR(VLOOKUP(C1019,IMPORTRANGE(""https://docs.google.com/spreadsheets/d/10KlTSftfC81rs2H7Cf6EIR7VWS3omC-2kwzaThHv16k/edit#gid=0"",""NSE Input VaR+ELM!D:J""),7,0),100)"),25.37)</f>
        <v>25.37</v>
      </c>
      <c r="E1019" s="7">
        <f t="shared" si="1"/>
        <v>74.63</v>
      </c>
      <c r="F1019" s="9" t="s">
        <v>10</v>
      </c>
    </row>
    <row r="1020">
      <c r="A1020" s="7">
        <v>1014.0</v>
      </c>
      <c r="B1020" s="10" t="s">
        <v>2036</v>
      </c>
      <c r="C1020" s="10" t="s">
        <v>2037</v>
      </c>
      <c r="D1020" s="8">
        <f>IFERROR(__xludf.DUMMYFUNCTION("IFERROR(VLOOKUP(C1020,IMPORTRANGE(""https://docs.google.com/spreadsheets/d/10KlTSftfC81rs2H7Cf6EIR7VWS3omC-2kwzaThHv16k/edit#gid=0"",""NSE Input VaR+ELM!D:J""),7,0),100)"),12.5)</f>
        <v>12.5</v>
      </c>
      <c r="E1020" s="7">
        <f t="shared" si="1"/>
        <v>87.5</v>
      </c>
      <c r="F1020" s="9" t="s">
        <v>10</v>
      </c>
    </row>
    <row r="1021">
      <c r="A1021" s="7">
        <v>1015.0</v>
      </c>
      <c r="B1021" s="10" t="s">
        <v>2038</v>
      </c>
      <c r="C1021" s="10" t="s">
        <v>2039</v>
      </c>
      <c r="D1021" s="8">
        <f>IFERROR(__xludf.DUMMYFUNCTION("IFERROR(VLOOKUP(C1021,IMPORTRANGE(""https://docs.google.com/spreadsheets/d/10KlTSftfC81rs2H7Cf6EIR7VWS3omC-2kwzaThHv16k/edit#gid=0"",""NSE Input VaR+ELM!D:J""),7,0),100)"),14.83)</f>
        <v>14.83</v>
      </c>
      <c r="E1021" s="7">
        <f t="shared" si="1"/>
        <v>85.17</v>
      </c>
      <c r="F1021" s="9" t="s">
        <v>10</v>
      </c>
    </row>
    <row r="1022">
      <c r="A1022" s="7">
        <v>1016.0</v>
      </c>
      <c r="B1022" s="10" t="s">
        <v>2040</v>
      </c>
      <c r="C1022" s="10" t="s">
        <v>2041</v>
      </c>
      <c r="D1022" s="8">
        <f>IFERROR(__xludf.DUMMYFUNCTION("IFERROR(VLOOKUP(C1022,IMPORTRANGE(""https://docs.google.com/spreadsheets/d/10KlTSftfC81rs2H7Cf6EIR7VWS3omC-2kwzaThHv16k/edit#gid=0"",""NSE Input VaR+ELM!D:J""),7,0),100)"),18.21)</f>
        <v>18.21</v>
      </c>
      <c r="E1022" s="7">
        <f t="shared" si="1"/>
        <v>81.79</v>
      </c>
      <c r="F1022" s="9" t="s">
        <v>10</v>
      </c>
    </row>
    <row r="1023">
      <c r="A1023" s="7">
        <v>1017.0</v>
      </c>
      <c r="B1023" s="10" t="s">
        <v>2042</v>
      </c>
      <c r="C1023" s="10" t="s">
        <v>2043</v>
      </c>
      <c r="D1023" s="8">
        <f>IFERROR(__xludf.DUMMYFUNCTION("IFERROR(VLOOKUP(C1023,IMPORTRANGE(""https://docs.google.com/spreadsheets/d/10KlTSftfC81rs2H7Cf6EIR7VWS3omC-2kwzaThHv16k/edit#gid=0"",""NSE Input VaR+ELM!D:J""),7,0),100)"),25.9)</f>
        <v>25.9</v>
      </c>
      <c r="E1023" s="7">
        <f t="shared" si="1"/>
        <v>74.1</v>
      </c>
      <c r="F1023" s="9" t="s">
        <v>10</v>
      </c>
    </row>
    <row r="1024">
      <c r="A1024" s="7">
        <v>1018.0</v>
      </c>
      <c r="B1024" s="10" t="s">
        <v>2044</v>
      </c>
      <c r="C1024" s="10" t="s">
        <v>2045</v>
      </c>
      <c r="D1024" s="8">
        <f>IFERROR(__xludf.DUMMYFUNCTION("IFERROR(VLOOKUP(C1024,IMPORTRANGE(""https://docs.google.com/spreadsheets/d/10KlTSftfC81rs2H7Cf6EIR7VWS3omC-2kwzaThHv16k/edit#gid=0"",""NSE Input VaR+ELM!D:J""),7,0),100)"),21.59)</f>
        <v>21.59</v>
      </c>
      <c r="E1024" s="7">
        <f t="shared" si="1"/>
        <v>78.41</v>
      </c>
      <c r="F1024" s="9" t="s">
        <v>10</v>
      </c>
    </row>
    <row r="1025">
      <c r="A1025" s="7">
        <v>1019.0</v>
      </c>
      <c r="B1025" s="10" t="s">
        <v>2046</v>
      </c>
      <c r="C1025" s="10" t="s">
        <v>2047</v>
      </c>
      <c r="D1025" s="8">
        <f>IFERROR(__xludf.DUMMYFUNCTION("IFERROR(VLOOKUP(C1025,IMPORTRANGE(""https://docs.google.com/spreadsheets/d/10KlTSftfC81rs2H7Cf6EIR7VWS3omC-2kwzaThHv16k/edit#gid=0"",""NSE Input VaR+ELM!D:J""),7,0),100)"),25.02)</f>
        <v>25.02</v>
      </c>
      <c r="E1025" s="7">
        <f t="shared" si="1"/>
        <v>74.98</v>
      </c>
      <c r="F1025" s="9" t="s">
        <v>10</v>
      </c>
    </row>
    <row r="1026">
      <c r="A1026" s="7">
        <v>1020.0</v>
      </c>
      <c r="B1026" s="10" t="s">
        <v>2048</v>
      </c>
      <c r="C1026" s="10" t="s">
        <v>2049</v>
      </c>
      <c r="D1026" s="8">
        <f>IFERROR(__xludf.DUMMYFUNCTION("IFERROR(VLOOKUP(C1026,IMPORTRANGE(""https://docs.google.com/spreadsheets/d/10KlTSftfC81rs2H7Cf6EIR7VWS3omC-2kwzaThHv16k/edit#gid=0"",""NSE Input VaR+ELM!D:J""),7,0),100)"),19.85)</f>
        <v>19.85</v>
      </c>
      <c r="E1026" s="7">
        <f t="shared" si="1"/>
        <v>80.15</v>
      </c>
      <c r="F1026" s="9" t="s">
        <v>10</v>
      </c>
    </row>
    <row r="1027">
      <c r="A1027" s="7">
        <v>1021.0</v>
      </c>
      <c r="B1027" s="10" t="s">
        <v>2050</v>
      </c>
      <c r="C1027" s="10" t="s">
        <v>2051</v>
      </c>
      <c r="D1027" s="8">
        <f>IFERROR(__xludf.DUMMYFUNCTION("IFERROR(VLOOKUP(C1027,IMPORTRANGE(""https://docs.google.com/spreadsheets/d/10KlTSftfC81rs2H7Cf6EIR7VWS3omC-2kwzaThHv16k/edit#gid=0"",""NSE Input VaR+ELM!D:J""),7,0),100)"),26.7)</f>
        <v>26.7</v>
      </c>
      <c r="E1027" s="7">
        <f t="shared" si="1"/>
        <v>73.3</v>
      </c>
      <c r="F1027" s="9" t="s">
        <v>10</v>
      </c>
    </row>
    <row r="1028">
      <c r="A1028" s="7">
        <v>1022.0</v>
      </c>
      <c r="B1028" s="10" t="s">
        <v>2052</v>
      </c>
      <c r="C1028" s="10" t="s">
        <v>2053</v>
      </c>
      <c r="D1028" s="8">
        <f>IFERROR(__xludf.DUMMYFUNCTION("IFERROR(VLOOKUP(C1028,IMPORTRANGE(""https://docs.google.com/spreadsheets/d/10KlTSftfC81rs2H7Cf6EIR7VWS3omC-2kwzaThHv16k/edit#gid=0"",""NSE Input VaR+ELM!D:J""),7,0),100)"),24.09)</f>
        <v>24.09</v>
      </c>
      <c r="E1028" s="7">
        <f t="shared" si="1"/>
        <v>75.91</v>
      </c>
      <c r="F1028" s="9" t="s">
        <v>10</v>
      </c>
    </row>
    <row r="1029">
      <c r="A1029" s="7">
        <v>1023.0</v>
      </c>
      <c r="B1029" s="10" t="s">
        <v>2054</v>
      </c>
      <c r="C1029" s="10" t="s">
        <v>2055</v>
      </c>
      <c r="D1029" s="8">
        <f>IFERROR(__xludf.DUMMYFUNCTION("IFERROR(VLOOKUP(C1029,IMPORTRANGE(""https://docs.google.com/spreadsheets/d/10KlTSftfC81rs2H7Cf6EIR7VWS3omC-2kwzaThHv16k/edit#gid=0"",""NSE Input VaR+ELM!D:J""),7,0),100)"),24.51)</f>
        <v>24.51</v>
      </c>
      <c r="E1029" s="7">
        <f t="shared" si="1"/>
        <v>75.49</v>
      </c>
      <c r="F1029" s="9" t="s">
        <v>217</v>
      </c>
    </row>
    <row r="1030">
      <c r="A1030" s="7">
        <v>1024.0</v>
      </c>
      <c r="B1030" s="10" t="s">
        <v>2056</v>
      </c>
      <c r="C1030" s="10" t="s">
        <v>2057</v>
      </c>
      <c r="D1030" s="8">
        <f>IFERROR(__xludf.DUMMYFUNCTION("IFERROR(VLOOKUP(C1030,IMPORTRANGE(""https://docs.google.com/spreadsheets/d/10KlTSftfC81rs2H7Cf6EIR7VWS3omC-2kwzaThHv16k/edit#gid=0"",""NSE Input VaR+ELM!D:J""),7,0),100)"),50.0)</f>
        <v>50</v>
      </c>
      <c r="E1030" s="7">
        <f t="shared" si="1"/>
        <v>50</v>
      </c>
      <c r="F1030" s="9" t="s">
        <v>10</v>
      </c>
    </row>
    <row r="1031">
      <c r="A1031" s="7">
        <v>1025.0</v>
      </c>
      <c r="B1031" s="10" t="s">
        <v>2058</v>
      </c>
      <c r="C1031" s="10" t="s">
        <v>2059</v>
      </c>
      <c r="D1031" s="8">
        <f>IFERROR(__xludf.DUMMYFUNCTION("IFERROR(VLOOKUP(C1031,IMPORTRANGE(""https://docs.google.com/spreadsheets/d/10KlTSftfC81rs2H7Cf6EIR7VWS3omC-2kwzaThHv16k/edit#gid=0"",""NSE Input VaR+ELM!D:J""),7,0),100)"),17.01)</f>
        <v>17.01</v>
      </c>
      <c r="E1031" s="7">
        <f t="shared" si="1"/>
        <v>82.99</v>
      </c>
      <c r="F1031" s="9" t="s">
        <v>10</v>
      </c>
    </row>
    <row r="1032">
      <c r="A1032" s="7">
        <v>1026.0</v>
      </c>
      <c r="B1032" s="10" t="s">
        <v>2060</v>
      </c>
      <c r="C1032" s="10" t="s">
        <v>2061</v>
      </c>
      <c r="D1032" s="8">
        <f>IFERROR(__xludf.DUMMYFUNCTION("IFERROR(VLOOKUP(C1032,IMPORTRANGE(""https://docs.google.com/spreadsheets/d/10KlTSftfC81rs2H7Cf6EIR7VWS3omC-2kwzaThHv16k/edit#gid=0"",""NSE Input VaR+ELM!D:J""),7,0),100)"),26.43)</f>
        <v>26.43</v>
      </c>
      <c r="E1032" s="7">
        <f t="shared" si="1"/>
        <v>73.57</v>
      </c>
      <c r="F1032" s="9" t="s">
        <v>10</v>
      </c>
    </row>
    <row r="1033">
      <c r="A1033" s="7">
        <v>1027.0</v>
      </c>
      <c r="B1033" s="10" t="s">
        <v>2062</v>
      </c>
      <c r="C1033" s="10" t="s">
        <v>2063</v>
      </c>
      <c r="D1033" s="8">
        <f>IFERROR(__xludf.DUMMYFUNCTION("IFERROR(VLOOKUP(C1033,IMPORTRANGE(""https://docs.google.com/spreadsheets/d/10KlTSftfC81rs2H7Cf6EIR7VWS3omC-2kwzaThHv16k/edit#gid=0"",""NSE Input VaR+ELM!D:J""),7,0),100)"),24.27)</f>
        <v>24.27</v>
      </c>
      <c r="E1033" s="7">
        <f t="shared" si="1"/>
        <v>75.73</v>
      </c>
      <c r="F1033" s="9" t="s">
        <v>10</v>
      </c>
    </row>
    <row r="1034">
      <c r="A1034" s="7">
        <v>1028.0</v>
      </c>
      <c r="B1034" s="10" t="s">
        <v>2064</v>
      </c>
      <c r="C1034" s="10" t="s">
        <v>2065</v>
      </c>
      <c r="D1034" s="8">
        <f>IFERROR(__xludf.DUMMYFUNCTION("IFERROR(VLOOKUP(C1034,IMPORTRANGE(""https://docs.google.com/spreadsheets/d/10KlTSftfC81rs2H7Cf6EIR7VWS3omC-2kwzaThHv16k/edit#gid=0"",""NSE Input VaR+ELM!D:J""),7,0),100)"),22.26)</f>
        <v>22.26</v>
      </c>
      <c r="E1034" s="7">
        <f t="shared" si="1"/>
        <v>77.74</v>
      </c>
      <c r="F1034" s="9" t="s">
        <v>10</v>
      </c>
    </row>
    <row r="1035">
      <c r="A1035" s="7">
        <v>1029.0</v>
      </c>
      <c r="B1035" s="10" t="s">
        <v>2066</v>
      </c>
      <c r="C1035" s="10" t="s">
        <v>2067</v>
      </c>
      <c r="D1035" s="8">
        <f>IFERROR(__xludf.DUMMYFUNCTION("IFERROR(VLOOKUP(C1035,IMPORTRANGE(""https://docs.google.com/spreadsheets/d/10KlTSftfC81rs2H7Cf6EIR7VWS3omC-2kwzaThHv16k/edit#gid=0"",""NSE Input VaR+ELM!D:J""),7,0),100)"),26.85)</f>
        <v>26.85</v>
      </c>
      <c r="E1035" s="7">
        <f t="shared" si="1"/>
        <v>73.15</v>
      </c>
      <c r="F1035" s="9" t="s">
        <v>10</v>
      </c>
    </row>
    <row r="1036">
      <c r="A1036" s="7">
        <v>1030.0</v>
      </c>
      <c r="B1036" s="10" t="s">
        <v>2068</v>
      </c>
      <c r="C1036" s="10" t="s">
        <v>2069</v>
      </c>
      <c r="D1036" s="8">
        <f>IFERROR(__xludf.DUMMYFUNCTION("IFERROR(VLOOKUP(C1036,IMPORTRANGE(""https://docs.google.com/spreadsheets/d/10KlTSftfC81rs2H7Cf6EIR7VWS3omC-2kwzaThHv16k/edit#gid=0"",""NSE Input VaR+ELM!D:J""),7,0),100)"),26.12)</f>
        <v>26.12</v>
      </c>
      <c r="E1036" s="7">
        <f t="shared" si="1"/>
        <v>73.88</v>
      </c>
      <c r="F1036" s="9" t="s">
        <v>10</v>
      </c>
    </row>
    <row r="1037">
      <c r="A1037" s="7">
        <v>1031.0</v>
      </c>
      <c r="B1037" s="10" t="s">
        <v>2070</v>
      </c>
      <c r="C1037" s="10" t="s">
        <v>2071</v>
      </c>
      <c r="D1037" s="8">
        <f>IFERROR(__xludf.DUMMYFUNCTION("IFERROR(VLOOKUP(C1037,IMPORTRANGE(""https://docs.google.com/spreadsheets/d/10KlTSftfC81rs2H7Cf6EIR7VWS3omC-2kwzaThHv16k/edit#gid=0"",""NSE Input VaR+ELM!D:J""),7,0),100)"),29.9)</f>
        <v>29.9</v>
      </c>
      <c r="E1037" s="7">
        <f t="shared" si="1"/>
        <v>70.1</v>
      </c>
      <c r="F1037" s="9" t="s">
        <v>217</v>
      </c>
    </row>
    <row r="1038">
      <c r="A1038" s="7">
        <v>1032.0</v>
      </c>
      <c r="B1038" s="10" t="s">
        <v>2072</v>
      </c>
      <c r="C1038" s="10" t="s">
        <v>2073</v>
      </c>
      <c r="D1038" s="8">
        <f>IFERROR(__xludf.DUMMYFUNCTION("IFERROR(VLOOKUP(C1038,IMPORTRANGE(""https://docs.google.com/spreadsheets/d/10KlTSftfC81rs2H7Cf6EIR7VWS3omC-2kwzaThHv16k/edit#gid=0"",""NSE Input VaR+ELM!D:J""),7,0),100)"),27.77)</f>
        <v>27.77</v>
      </c>
      <c r="E1038" s="7">
        <f t="shared" si="1"/>
        <v>72.23</v>
      </c>
      <c r="F1038" s="9" t="s">
        <v>10</v>
      </c>
    </row>
    <row r="1039">
      <c r="A1039" s="7">
        <v>1033.0</v>
      </c>
      <c r="B1039" s="10" t="s">
        <v>2074</v>
      </c>
      <c r="C1039" s="10" t="s">
        <v>2075</v>
      </c>
      <c r="D1039" s="8">
        <f>IFERROR(__xludf.DUMMYFUNCTION("IFERROR(VLOOKUP(C1039,IMPORTRANGE(""https://docs.google.com/spreadsheets/d/10KlTSftfC81rs2H7Cf6EIR7VWS3omC-2kwzaThHv16k/edit#gid=0"",""NSE Input VaR+ELM!D:J""),7,0),100)"),23.68)</f>
        <v>23.68</v>
      </c>
      <c r="E1039" s="7">
        <f t="shared" si="1"/>
        <v>76.32</v>
      </c>
      <c r="F1039" s="9" t="s">
        <v>10</v>
      </c>
    </row>
    <row r="1040">
      <c r="A1040" s="7">
        <v>1034.0</v>
      </c>
      <c r="B1040" s="10" t="s">
        <v>2076</v>
      </c>
      <c r="C1040" s="10" t="s">
        <v>2077</v>
      </c>
      <c r="D1040" s="8">
        <f>IFERROR(__xludf.DUMMYFUNCTION("IFERROR(VLOOKUP(C1040,IMPORTRANGE(""https://docs.google.com/spreadsheets/d/10KlTSftfC81rs2H7Cf6EIR7VWS3omC-2kwzaThHv16k/edit#gid=0"",""NSE Input VaR+ELM!D:J""),7,0),100)"),16.79)</f>
        <v>16.79</v>
      </c>
      <c r="E1040" s="7">
        <f t="shared" si="1"/>
        <v>83.21</v>
      </c>
      <c r="F1040" s="9" t="s">
        <v>10</v>
      </c>
    </row>
    <row r="1041">
      <c r="A1041" s="7">
        <v>1035.0</v>
      </c>
      <c r="B1041" s="10" t="s">
        <v>2078</v>
      </c>
      <c r="C1041" s="10" t="s">
        <v>2079</v>
      </c>
      <c r="D1041" s="8">
        <f>IFERROR(__xludf.DUMMYFUNCTION("IFERROR(VLOOKUP(C1041,IMPORTRANGE(""https://docs.google.com/spreadsheets/d/10KlTSftfC81rs2H7Cf6EIR7VWS3omC-2kwzaThHv16k/edit#gid=0"",""NSE Input VaR+ELM!D:J""),7,0),100)"),15.19)</f>
        <v>15.19</v>
      </c>
      <c r="E1041" s="7">
        <f t="shared" si="1"/>
        <v>84.81</v>
      </c>
      <c r="F1041" s="9" t="s">
        <v>217</v>
      </c>
    </row>
    <row r="1042">
      <c r="A1042" s="7">
        <v>1036.0</v>
      </c>
      <c r="B1042" s="10" t="s">
        <v>2080</v>
      </c>
      <c r="C1042" s="10" t="s">
        <v>2081</v>
      </c>
      <c r="D1042" s="8">
        <f>IFERROR(__xludf.DUMMYFUNCTION("IFERROR(VLOOKUP(C1042,IMPORTRANGE(""https://docs.google.com/spreadsheets/d/10KlTSftfC81rs2H7Cf6EIR7VWS3omC-2kwzaThHv16k/edit#gid=0"",""NSE Input VaR+ELM!D:J""),7,0),100)"),23.56)</f>
        <v>23.56</v>
      </c>
      <c r="E1042" s="7">
        <f t="shared" si="1"/>
        <v>76.44</v>
      </c>
      <c r="F1042" s="9" t="s">
        <v>10</v>
      </c>
    </row>
    <row r="1043">
      <c r="A1043" s="7">
        <v>1037.0</v>
      </c>
      <c r="B1043" s="10" t="s">
        <v>2082</v>
      </c>
      <c r="C1043" s="10" t="s">
        <v>2083</v>
      </c>
      <c r="D1043" s="8">
        <f>IFERROR(__xludf.DUMMYFUNCTION("IFERROR(VLOOKUP(C1043,IMPORTRANGE(""https://docs.google.com/spreadsheets/d/10KlTSftfC81rs2H7Cf6EIR7VWS3omC-2kwzaThHv16k/edit#gid=0"",""NSE Input VaR+ELM!D:J""),7,0),100)"),21.6)</f>
        <v>21.6</v>
      </c>
      <c r="E1043" s="7">
        <f t="shared" si="1"/>
        <v>78.4</v>
      </c>
      <c r="F1043" s="9" t="s">
        <v>10</v>
      </c>
    </row>
    <row r="1044">
      <c r="A1044" s="7">
        <v>1038.0</v>
      </c>
      <c r="B1044" s="10" t="s">
        <v>2084</v>
      </c>
      <c r="C1044" s="10" t="s">
        <v>2085</v>
      </c>
      <c r="D1044" s="8">
        <f>IFERROR(__xludf.DUMMYFUNCTION("IFERROR(VLOOKUP(C1044,IMPORTRANGE(""https://docs.google.com/spreadsheets/d/10KlTSftfC81rs2H7Cf6EIR7VWS3omC-2kwzaThHv16k/edit#gid=0"",""NSE Input VaR+ELM!D:J""),7,0),100)"),23.66)</f>
        <v>23.66</v>
      </c>
      <c r="E1044" s="7">
        <f t="shared" si="1"/>
        <v>76.34</v>
      </c>
      <c r="F1044" s="9" t="s">
        <v>10</v>
      </c>
    </row>
    <row r="1045">
      <c r="A1045" s="7">
        <v>1039.0</v>
      </c>
      <c r="B1045" s="10" t="s">
        <v>2086</v>
      </c>
      <c r="C1045" s="10" t="s">
        <v>2087</v>
      </c>
      <c r="D1045" s="8">
        <f>IFERROR(__xludf.DUMMYFUNCTION("IFERROR(VLOOKUP(C1045,IMPORTRANGE(""https://docs.google.com/spreadsheets/d/10KlTSftfC81rs2H7Cf6EIR7VWS3omC-2kwzaThHv16k/edit#gid=0"",""NSE Input VaR+ELM!D:J""),7,0),100)"),23.58)</f>
        <v>23.58</v>
      </c>
      <c r="E1045" s="7">
        <f t="shared" si="1"/>
        <v>76.42</v>
      </c>
      <c r="F1045" s="9" t="s">
        <v>10</v>
      </c>
    </row>
    <row r="1046">
      <c r="A1046" s="7">
        <v>1040.0</v>
      </c>
      <c r="B1046" s="10" t="s">
        <v>2088</v>
      </c>
      <c r="C1046" s="10" t="s">
        <v>2089</v>
      </c>
      <c r="D1046" s="8">
        <f>IFERROR(__xludf.DUMMYFUNCTION("IFERROR(VLOOKUP(C1046,IMPORTRANGE(""https://docs.google.com/spreadsheets/d/10KlTSftfC81rs2H7Cf6EIR7VWS3omC-2kwzaThHv16k/edit#gid=0"",""NSE Input VaR+ELM!D:J""),7,0),100)"),26.11)</f>
        <v>26.11</v>
      </c>
      <c r="E1046" s="7">
        <f t="shared" si="1"/>
        <v>73.89</v>
      </c>
      <c r="F1046" s="9" t="s">
        <v>10</v>
      </c>
    </row>
    <row r="1047">
      <c r="A1047" s="7">
        <v>1041.0</v>
      </c>
      <c r="B1047" s="10" t="s">
        <v>2090</v>
      </c>
      <c r="C1047" s="10" t="s">
        <v>2091</v>
      </c>
      <c r="D1047" s="8">
        <f>IFERROR(__xludf.DUMMYFUNCTION("IFERROR(VLOOKUP(C1047,IMPORTRANGE(""https://docs.google.com/spreadsheets/d/10KlTSftfC81rs2H7Cf6EIR7VWS3omC-2kwzaThHv16k/edit#gid=0"",""NSE Input VaR+ELM!D:J""),7,0),100)"),26.25)</f>
        <v>26.25</v>
      </c>
      <c r="E1047" s="7">
        <f t="shared" si="1"/>
        <v>73.75</v>
      </c>
      <c r="F1047" s="9" t="s">
        <v>10</v>
      </c>
    </row>
    <row r="1048">
      <c r="A1048" s="7">
        <v>1042.0</v>
      </c>
      <c r="B1048" s="10" t="s">
        <v>2092</v>
      </c>
      <c r="C1048" s="10" t="s">
        <v>2093</v>
      </c>
      <c r="D1048" s="8">
        <f>IFERROR(__xludf.DUMMYFUNCTION("IFERROR(VLOOKUP(C1048,IMPORTRANGE(""https://docs.google.com/spreadsheets/d/10KlTSftfC81rs2H7Cf6EIR7VWS3omC-2kwzaThHv16k/edit#gid=0"",""NSE Input VaR+ELM!D:J""),7,0),100)"),25.64)</f>
        <v>25.64</v>
      </c>
      <c r="E1048" s="7">
        <f t="shared" si="1"/>
        <v>74.36</v>
      </c>
      <c r="F1048" s="9" t="s">
        <v>217</v>
      </c>
    </row>
    <row r="1049">
      <c r="A1049" s="7">
        <v>1043.0</v>
      </c>
      <c r="B1049" s="10" t="s">
        <v>2094</v>
      </c>
      <c r="C1049" s="10" t="s">
        <v>2095</v>
      </c>
      <c r="D1049" s="8">
        <f>IFERROR(__xludf.DUMMYFUNCTION("IFERROR(VLOOKUP(C1049,IMPORTRANGE(""https://docs.google.com/spreadsheets/d/10KlTSftfC81rs2H7Cf6EIR7VWS3omC-2kwzaThHv16k/edit#gid=0"",""NSE Input VaR+ELM!D:J""),7,0),100)"),21.55)</f>
        <v>21.55</v>
      </c>
      <c r="E1049" s="7">
        <f t="shared" si="1"/>
        <v>78.45</v>
      </c>
      <c r="F1049" s="9" t="s">
        <v>10</v>
      </c>
    </row>
    <row r="1050">
      <c r="A1050" s="7">
        <v>1044.0</v>
      </c>
      <c r="B1050" s="10" t="s">
        <v>2096</v>
      </c>
      <c r="C1050" s="10" t="s">
        <v>2097</v>
      </c>
      <c r="D1050" s="8">
        <f>IFERROR(__xludf.DUMMYFUNCTION("IFERROR(VLOOKUP(C1050,IMPORTRANGE(""https://docs.google.com/spreadsheets/d/10KlTSftfC81rs2H7Cf6EIR7VWS3omC-2kwzaThHv16k/edit#gid=0"",""NSE Input VaR+ELM!D:J""),7,0),100)"),28.19)</f>
        <v>28.19</v>
      </c>
      <c r="E1050" s="7">
        <f t="shared" si="1"/>
        <v>71.81</v>
      </c>
      <c r="F1050" s="9" t="s">
        <v>10</v>
      </c>
    </row>
    <row r="1051">
      <c r="A1051" s="7">
        <v>1045.0</v>
      </c>
      <c r="B1051" s="10" t="s">
        <v>2098</v>
      </c>
      <c r="C1051" s="10" t="s">
        <v>2099</v>
      </c>
      <c r="D1051" s="8">
        <f>IFERROR(__xludf.DUMMYFUNCTION("IFERROR(VLOOKUP(C1051,IMPORTRANGE(""https://docs.google.com/spreadsheets/d/10KlTSftfC81rs2H7Cf6EIR7VWS3omC-2kwzaThHv16k/edit#gid=0"",""NSE Input VaR+ELM!D:J""),7,0),100)"),21.68)</f>
        <v>21.68</v>
      </c>
      <c r="E1051" s="7">
        <f t="shared" si="1"/>
        <v>78.32</v>
      </c>
      <c r="F1051" s="9" t="s">
        <v>10</v>
      </c>
    </row>
    <row r="1052">
      <c r="A1052" s="7">
        <v>1046.0</v>
      </c>
      <c r="B1052" s="10" t="s">
        <v>2100</v>
      </c>
      <c r="C1052" s="10" t="s">
        <v>2101</v>
      </c>
      <c r="D1052" s="8">
        <f>IFERROR(__xludf.DUMMYFUNCTION("IFERROR(VLOOKUP(C1052,IMPORTRANGE(""https://docs.google.com/spreadsheets/d/10KlTSftfC81rs2H7Cf6EIR7VWS3omC-2kwzaThHv16k/edit#gid=0"",""NSE Input VaR+ELM!D:J""),7,0),100)"),17.54)</f>
        <v>17.54</v>
      </c>
      <c r="E1052" s="7">
        <f t="shared" si="1"/>
        <v>82.46</v>
      </c>
      <c r="F1052" s="9" t="s">
        <v>217</v>
      </c>
    </row>
    <row r="1053">
      <c r="A1053" s="7">
        <v>1047.0</v>
      </c>
      <c r="B1053" s="10" t="s">
        <v>2102</v>
      </c>
      <c r="C1053" s="10" t="s">
        <v>2103</v>
      </c>
      <c r="D1053" s="8">
        <f>IFERROR(__xludf.DUMMYFUNCTION("IFERROR(VLOOKUP(C1053,IMPORTRANGE(""https://docs.google.com/spreadsheets/d/10KlTSftfC81rs2H7Cf6EIR7VWS3omC-2kwzaThHv16k/edit#gid=0"",""NSE Input VaR+ELM!D:J""),7,0),100)"),29.42)</f>
        <v>29.42</v>
      </c>
      <c r="E1053" s="7">
        <f t="shared" si="1"/>
        <v>70.58</v>
      </c>
      <c r="F1053" s="9" t="s">
        <v>10</v>
      </c>
    </row>
    <row r="1054">
      <c r="A1054" s="7">
        <v>1048.0</v>
      </c>
      <c r="B1054" s="10" t="s">
        <v>2104</v>
      </c>
      <c r="C1054" s="10" t="s">
        <v>2105</v>
      </c>
      <c r="D1054" s="8">
        <f>IFERROR(__xludf.DUMMYFUNCTION("IFERROR(VLOOKUP(C1054,IMPORTRANGE(""https://docs.google.com/spreadsheets/d/10KlTSftfC81rs2H7Cf6EIR7VWS3omC-2kwzaThHv16k/edit#gid=0"",""NSE Input VaR+ELM!D:J""),7,0),100)"),20.05)</f>
        <v>20.05</v>
      </c>
      <c r="E1054" s="7">
        <f t="shared" si="1"/>
        <v>79.95</v>
      </c>
      <c r="F1054" s="9" t="s">
        <v>10</v>
      </c>
    </row>
    <row r="1055">
      <c r="A1055" s="7">
        <v>1049.0</v>
      </c>
      <c r="B1055" s="10" t="s">
        <v>2106</v>
      </c>
      <c r="C1055" s="10" t="s">
        <v>2107</v>
      </c>
      <c r="D1055" s="8">
        <f>IFERROR(__xludf.DUMMYFUNCTION("IFERROR(VLOOKUP(C1055,IMPORTRANGE(""https://docs.google.com/spreadsheets/d/10KlTSftfC81rs2H7Cf6EIR7VWS3omC-2kwzaThHv16k/edit#gid=0"",""NSE Input VaR+ELM!D:J""),7,0),100)"),22.71)</f>
        <v>22.71</v>
      </c>
      <c r="E1055" s="7">
        <f t="shared" si="1"/>
        <v>77.29</v>
      </c>
      <c r="F1055" s="9" t="s">
        <v>10</v>
      </c>
    </row>
    <row r="1056">
      <c r="A1056" s="7">
        <v>1050.0</v>
      </c>
      <c r="B1056" s="10" t="s">
        <v>2108</v>
      </c>
      <c r="C1056" s="10" t="s">
        <v>2109</v>
      </c>
      <c r="D1056" s="8">
        <f>IFERROR(__xludf.DUMMYFUNCTION("IFERROR(VLOOKUP(C1056,IMPORTRANGE(""https://docs.google.com/spreadsheets/d/10KlTSftfC81rs2H7Cf6EIR7VWS3omC-2kwzaThHv16k/edit#gid=0"",""NSE Input VaR+ELM!D:J""),7,0),100)"),19.9)</f>
        <v>19.9</v>
      </c>
      <c r="E1056" s="7">
        <f t="shared" si="1"/>
        <v>80.1</v>
      </c>
      <c r="F1056" s="9" t="s">
        <v>217</v>
      </c>
    </row>
    <row r="1057">
      <c r="A1057" s="7">
        <v>1051.0</v>
      </c>
      <c r="B1057" s="10" t="s">
        <v>2110</v>
      </c>
      <c r="C1057" s="10" t="s">
        <v>2111</v>
      </c>
      <c r="D1057" s="8">
        <f>IFERROR(__xludf.DUMMYFUNCTION("IFERROR(VLOOKUP(C1057,IMPORTRANGE(""https://docs.google.com/spreadsheets/d/10KlTSftfC81rs2H7Cf6EIR7VWS3omC-2kwzaThHv16k/edit#gid=0"",""NSE Input VaR+ELM!D:J""),7,0),100)"),25.44)</f>
        <v>25.44</v>
      </c>
      <c r="E1057" s="7">
        <f t="shared" si="1"/>
        <v>74.56</v>
      </c>
      <c r="F1057" s="9" t="s">
        <v>10</v>
      </c>
    </row>
    <row r="1058">
      <c r="A1058" s="7">
        <v>1052.0</v>
      </c>
      <c r="B1058" s="10" t="s">
        <v>2112</v>
      </c>
      <c r="C1058" s="10" t="s">
        <v>2113</v>
      </c>
      <c r="D1058" s="8">
        <f>IFERROR(__xludf.DUMMYFUNCTION("IFERROR(VLOOKUP(C1058,IMPORTRANGE(""https://docs.google.com/spreadsheets/d/10KlTSftfC81rs2H7Cf6EIR7VWS3omC-2kwzaThHv16k/edit#gid=0"",""NSE Input VaR+ELM!D:J""),7,0),100)"),27.95)</f>
        <v>27.95</v>
      </c>
      <c r="E1058" s="7">
        <f t="shared" si="1"/>
        <v>72.05</v>
      </c>
      <c r="F1058" s="9" t="s">
        <v>10</v>
      </c>
    </row>
    <row r="1059">
      <c r="A1059" s="7">
        <v>1053.0</v>
      </c>
      <c r="B1059" s="10" t="s">
        <v>2114</v>
      </c>
      <c r="C1059" s="10" t="s">
        <v>2115</v>
      </c>
      <c r="D1059" s="8">
        <f>IFERROR(__xludf.DUMMYFUNCTION("IFERROR(VLOOKUP(C1059,IMPORTRANGE(""https://docs.google.com/spreadsheets/d/10KlTSftfC81rs2H7Cf6EIR7VWS3omC-2kwzaThHv16k/edit#gid=0"",""NSE Input VaR+ELM!D:J""),7,0),100)"),30.93)</f>
        <v>30.93</v>
      </c>
      <c r="E1059" s="7">
        <f t="shared" si="1"/>
        <v>69.07</v>
      </c>
      <c r="F1059" s="9" t="s">
        <v>10</v>
      </c>
    </row>
    <row r="1060">
      <c r="A1060" s="7">
        <v>1054.0</v>
      </c>
      <c r="B1060" s="10" t="s">
        <v>2116</v>
      </c>
      <c r="C1060" s="10" t="s">
        <v>2117</v>
      </c>
      <c r="D1060" s="8">
        <f>IFERROR(__xludf.DUMMYFUNCTION("IFERROR(VLOOKUP(C1060,IMPORTRANGE(""https://docs.google.com/spreadsheets/d/10KlTSftfC81rs2H7Cf6EIR7VWS3omC-2kwzaThHv16k/edit#gid=0"",""NSE Input VaR+ELM!D:J""),7,0),100)"),20.58)</f>
        <v>20.58</v>
      </c>
      <c r="E1060" s="7">
        <f t="shared" si="1"/>
        <v>79.42</v>
      </c>
      <c r="F1060" s="9" t="s">
        <v>10</v>
      </c>
    </row>
    <row r="1061">
      <c r="A1061" s="7">
        <v>1055.0</v>
      </c>
      <c r="B1061" s="10" t="s">
        <v>2118</v>
      </c>
      <c r="C1061" s="10" t="s">
        <v>2119</v>
      </c>
      <c r="D1061" s="8">
        <f>IFERROR(__xludf.DUMMYFUNCTION("IFERROR(VLOOKUP(C1061,IMPORTRANGE(""https://docs.google.com/spreadsheets/d/10KlTSftfC81rs2H7Cf6EIR7VWS3omC-2kwzaThHv16k/edit#gid=0"",""NSE Input VaR+ELM!D:J""),7,0),100)"),18.47)</f>
        <v>18.47</v>
      </c>
      <c r="E1061" s="7">
        <f t="shared" si="1"/>
        <v>81.53</v>
      </c>
      <c r="F1061" s="9" t="s">
        <v>10</v>
      </c>
    </row>
    <row r="1062">
      <c r="A1062" s="7">
        <v>1056.0</v>
      </c>
      <c r="B1062" s="10" t="s">
        <v>2120</v>
      </c>
      <c r="C1062" s="10" t="s">
        <v>2121</v>
      </c>
      <c r="D1062" s="8">
        <f>IFERROR(__xludf.DUMMYFUNCTION("IFERROR(VLOOKUP(C1062,IMPORTRANGE(""https://docs.google.com/spreadsheets/d/10KlTSftfC81rs2H7Cf6EIR7VWS3omC-2kwzaThHv16k/edit#gid=0"",""NSE Input VaR+ELM!D:J""),7,0),100)"),16.11)</f>
        <v>16.11</v>
      </c>
      <c r="E1062" s="7">
        <f t="shared" si="1"/>
        <v>83.89</v>
      </c>
      <c r="F1062" s="9" t="s">
        <v>10</v>
      </c>
    </row>
    <row r="1063">
      <c r="A1063" s="7">
        <v>1057.0</v>
      </c>
      <c r="B1063" s="10" t="s">
        <v>2122</v>
      </c>
      <c r="C1063" s="10" t="s">
        <v>2123</v>
      </c>
      <c r="D1063" s="8">
        <f>IFERROR(__xludf.DUMMYFUNCTION("IFERROR(VLOOKUP(C1063,IMPORTRANGE(""https://docs.google.com/spreadsheets/d/10KlTSftfC81rs2H7Cf6EIR7VWS3omC-2kwzaThHv16k/edit#gid=0"",""NSE Input VaR+ELM!D:J""),7,0),100)"),16.87)</f>
        <v>16.87</v>
      </c>
      <c r="E1063" s="7">
        <f t="shared" si="1"/>
        <v>83.13</v>
      </c>
      <c r="F1063" s="9" t="s">
        <v>10</v>
      </c>
    </row>
    <row r="1064">
      <c r="A1064" s="7">
        <v>1058.0</v>
      </c>
      <c r="B1064" s="10" t="s">
        <v>2124</v>
      </c>
      <c r="C1064" s="10" t="s">
        <v>2125</v>
      </c>
      <c r="D1064" s="8">
        <f>IFERROR(__xludf.DUMMYFUNCTION("IFERROR(VLOOKUP(C1064,IMPORTRANGE(""https://docs.google.com/spreadsheets/d/10KlTSftfC81rs2H7Cf6EIR7VWS3omC-2kwzaThHv16k/edit#gid=0"",""NSE Input VaR+ELM!D:J""),7,0),100)"),22.66)</f>
        <v>22.66</v>
      </c>
      <c r="E1064" s="7">
        <f t="shared" si="1"/>
        <v>77.34</v>
      </c>
      <c r="F1064" s="9" t="s">
        <v>217</v>
      </c>
    </row>
    <row r="1065">
      <c r="A1065" s="7">
        <v>1059.0</v>
      </c>
      <c r="B1065" s="10" t="s">
        <v>2126</v>
      </c>
      <c r="C1065" s="10" t="s">
        <v>2127</v>
      </c>
      <c r="D1065" s="8">
        <f>IFERROR(__xludf.DUMMYFUNCTION("IFERROR(VLOOKUP(C1065,IMPORTRANGE(""https://docs.google.com/spreadsheets/d/10KlTSftfC81rs2H7Cf6EIR7VWS3omC-2kwzaThHv16k/edit#gid=0"",""NSE Input VaR+ELM!D:J""),7,0),100)"),16.42)</f>
        <v>16.42</v>
      </c>
      <c r="E1065" s="7">
        <f t="shared" si="1"/>
        <v>83.58</v>
      </c>
      <c r="F1065" s="9" t="s">
        <v>10</v>
      </c>
    </row>
    <row r="1066">
      <c r="A1066" s="7">
        <v>1060.0</v>
      </c>
      <c r="B1066" s="10" t="s">
        <v>2128</v>
      </c>
      <c r="C1066" s="10" t="s">
        <v>2129</v>
      </c>
      <c r="D1066" s="8">
        <f>IFERROR(__xludf.DUMMYFUNCTION("IFERROR(VLOOKUP(C1066,IMPORTRANGE(""https://docs.google.com/spreadsheets/d/10KlTSftfC81rs2H7Cf6EIR7VWS3omC-2kwzaThHv16k/edit#gid=0"",""NSE Input VaR+ELM!D:J""),7,0),100)"),25.04)</f>
        <v>25.04</v>
      </c>
      <c r="E1066" s="7">
        <f t="shared" si="1"/>
        <v>74.96</v>
      </c>
      <c r="F1066" s="9" t="s">
        <v>10</v>
      </c>
    </row>
    <row r="1067">
      <c r="A1067" s="7">
        <v>1061.0</v>
      </c>
      <c r="B1067" s="10" t="s">
        <v>2130</v>
      </c>
      <c r="C1067" s="10" t="s">
        <v>2131</v>
      </c>
      <c r="D1067" s="8">
        <f>IFERROR(__xludf.DUMMYFUNCTION("IFERROR(VLOOKUP(C1067,IMPORTRANGE(""https://docs.google.com/spreadsheets/d/10KlTSftfC81rs2H7Cf6EIR7VWS3omC-2kwzaThHv16k/edit#gid=0"",""NSE Input VaR+ELM!D:J""),7,0),100)"),18.43)</f>
        <v>18.43</v>
      </c>
      <c r="E1067" s="7">
        <f t="shared" si="1"/>
        <v>81.57</v>
      </c>
      <c r="F1067" s="9" t="s">
        <v>10</v>
      </c>
    </row>
    <row r="1068">
      <c r="A1068" s="7">
        <v>1062.0</v>
      </c>
      <c r="B1068" s="10" t="s">
        <v>2132</v>
      </c>
      <c r="C1068" s="10" t="s">
        <v>2133</v>
      </c>
      <c r="D1068" s="8">
        <f>IFERROR(__xludf.DUMMYFUNCTION("IFERROR(VLOOKUP(C1068,IMPORTRANGE(""https://docs.google.com/spreadsheets/d/10KlTSftfC81rs2H7Cf6EIR7VWS3omC-2kwzaThHv16k/edit#gid=0"",""NSE Input VaR+ELM!D:J""),7,0),100)"),13.56)</f>
        <v>13.56</v>
      </c>
      <c r="E1068" s="7">
        <f t="shared" si="1"/>
        <v>86.44</v>
      </c>
      <c r="F1068" s="9" t="s">
        <v>10</v>
      </c>
    </row>
    <row r="1069">
      <c r="A1069" s="7">
        <v>1063.0</v>
      </c>
      <c r="B1069" s="10" t="s">
        <v>2134</v>
      </c>
      <c r="C1069" s="10" t="s">
        <v>2135</v>
      </c>
      <c r="D1069" s="8">
        <f>IFERROR(__xludf.DUMMYFUNCTION("IFERROR(VLOOKUP(C1069,IMPORTRANGE(""https://docs.google.com/spreadsheets/d/10KlTSftfC81rs2H7Cf6EIR7VWS3omC-2kwzaThHv16k/edit#gid=0"",""NSE Input VaR+ELM!D:J""),7,0),100)"),16.48)</f>
        <v>16.48</v>
      </c>
      <c r="E1069" s="7">
        <f t="shared" si="1"/>
        <v>83.52</v>
      </c>
      <c r="F1069" s="9" t="s">
        <v>10</v>
      </c>
    </row>
    <row r="1070">
      <c r="A1070" s="7">
        <v>1064.0</v>
      </c>
      <c r="B1070" s="10" t="s">
        <v>2136</v>
      </c>
      <c r="C1070" s="10" t="s">
        <v>2137</v>
      </c>
      <c r="D1070" s="8">
        <f>IFERROR(__xludf.DUMMYFUNCTION("IFERROR(VLOOKUP(C1070,IMPORTRANGE(""https://docs.google.com/spreadsheets/d/10KlTSftfC81rs2H7Cf6EIR7VWS3omC-2kwzaThHv16k/edit#gid=0"",""NSE Input VaR+ELM!D:J""),7,0),100)"),25.97)</f>
        <v>25.97</v>
      </c>
      <c r="E1070" s="7">
        <f t="shared" si="1"/>
        <v>74.03</v>
      </c>
      <c r="F1070" s="9" t="s">
        <v>217</v>
      </c>
    </row>
    <row r="1071">
      <c r="A1071" s="7">
        <v>1065.0</v>
      </c>
      <c r="B1071" s="10" t="s">
        <v>2138</v>
      </c>
      <c r="C1071" s="10" t="s">
        <v>2139</v>
      </c>
      <c r="D1071" s="8">
        <f>IFERROR(__xludf.DUMMYFUNCTION("IFERROR(VLOOKUP(C1071,IMPORTRANGE(""https://docs.google.com/spreadsheets/d/10KlTSftfC81rs2H7Cf6EIR7VWS3omC-2kwzaThHv16k/edit#gid=0"",""NSE Input VaR+ELM!D:J""),7,0),100)"),50.0)</f>
        <v>50</v>
      </c>
      <c r="E1071" s="7">
        <f t="shared" si="1"/>
        <v>50</v>
      </c>
      <c r="F1071" s="9" t="s">
        <v>217</v>
      </c>
    </row>
    <row r="1072">
      <c r="A1072" s="7">
        <v>1066.0</v>
      </c>
      <c r="B1072" s="10" t="s">
        <v>2140</v>
      </c>
      <c r="C1072" s="10" t="s">
        <v>2141</v>
      </c>
      <c r="D1072" s="8">
        <f>IFERROR(__xludf.DUMMYFUNCTION("IFERROR(VLOOKUP(C1072,IMPORTRANGE(""https://docs.google.com/spreadsheets/d/10KlTSftfC81rs2H7Cf6EIR7VWS3omC-2kwzaThHv16k/edit#gid=0"",""NSE Input VaR+ELM!D:J""),7,0),100)"),15.31)</f>
        <v>15.31</v>
      </c>
      <c r="E1072" s="7">
        <f t="shared" si="1"/>
        <v>84.69</v>
      </c>
      <c r="F1072" s="9" t="s">
        <v>10</v>
      </c>
    </row>
    <row r="1073">
      <c r="A1073" s="7">
        <v>1067.0</v>
      </c>
      <c r="B1073" s="10" t="s">
        <v>2142</v>
      </c>
      <c r="C1073" s="10" t="s">
        <v>2143</v>
      </c>
      <c r="D1073" s="8">
        <f>IFERROR(__xludf.DUMMYFUNCTION("IFERROR(VLOOKUP(C1073,IMPORTRANGE(""https://docs.google.com/spreadsheets/d/10KlTSftfC81rs2H7Cf6EIR7VWS3omC-2kwzaThHv16k/edit#gid=0"",""NSE Input VaR+ELM!D:J""),7,0),100)"),24.9)</f>
        <v>24.9</v>
      </c>
      <c r="E1073" s="7">
        <f t="shared" si="1"/>
        <v>75.1</v>
      </c>
      <c r="F1073" s="9" t="s">
        <v>10</v>
      </c>
    </row>
    <row r="1074">
      <c r="A1074" s="7">
        <v>1068.0</v>
      </c>
      <c r="B1074" s="10" t="s">
        <v>2144</v>
      </c>
      <c r="C1074" s="10" t="s">
        <v>2145</v>
      </c>
      <c r="D1074" s="8">
        <f>IFERROR(__xludf.DUMMYFUNCTION("IFERROR(VLOOKUP(C1074,IMPORTRANGE(""https://docs.google.com/spreadsheets/d/10KlTSftfC81rs2H7Cf6EIR7VWS3omC-2kwzaThHv16k/edit#gid=0"",""NSE Input VaR+ELM!D:J""),7,0),100)"),21.97)</f>
        <v>21.97</v>
      </c>
      <c r="E1074" s="7">
        <f t="shared" si="1"/>
        <v>78.03</v>
      </c>
      <c r="F1074" s="9" t="s">
        <v>10</v>
      </c>
    </row>
    <row r="1075">
      <c r="A1075" s="7">
        <v>1069.0</v>
      </c>
      <c r="B1075" s="10" t="s">
        <v>2146</v>
      </c>
      <c r="C1075" s="10" t="s">
        <v>2147</v>
      </c>
      <c r="D1075" s="8">
        <f>IFERROR(__xludf.DUMMYFUNCTION("IFERROR(VLOOKUP(C1075,IMPORTRANGE(""https://docs.google.com/spreadsheets/d/10KlTSftfC81rs2H7Cf6EIR7VWS3omC-2kwzaThHv16k/edit#gid=0"",""NSE Input VaR+ELM!D:J""),7,0),100)"),23.6)</f>
        <v>23.6</v>
      </c>
      <c r="E1075" s="7">
        <f t="shared" si="1"/>
        <v>76.4</v>
      </c>
      <c r="F1075" s="9" t="s">
        <v>217</v>
      </c>
    </row>
    <row r="1076">
      <c r="A1076" s="7">
        <v>1070.0</v>
      </c>
      <c r="B1076" s="10" t="s">
        <v>2148</v>
      </c>
      <c r="C1076" s="10" t="s">
        <v>2149</v>
      </c>
      <c r="D1076" s="8">
        <f>IFERROR(__xludf.DUMMYFUNCTION("IFERROR(VLOOKUP(C1076,IMPORTRANGE(""https://docs.google.com/spreadsheets/d/10KlTSftfC81rs2H7Cf6EIR7VWS3omC-2kwzaThHv16k/edit#gid=0"",""NSE Input VaR+ELM!D:J""),7,0),100)"),21.27)</f>
        <v>21.27</v>
      </c>
      <c r="E1076" s="7">
        <f t="shared" si="1"/>
        <v>78.73</v>
      </c>
      <c r="F1076" s="9" t="s">
        <v>10</v>
      </c>
    </row>
    <row r="1077">
      <c r="A1077" s="7">
        <v>1071.0</v>
      </c>
      <c r="B1077" s="10" t="s">
        <v>2150</v>
      </c>
      <c r="C1077" s="10" t="s">
        <v>2151</v>
      </c>
      <c r="D1077" s="8">
        <f>IFERROR(__xludf.DUMMYFUNCTION("IFERROR(VLOOKUP(C1077,IMPORTRANGE(""https://docs.google.com/spreadsheets/d/10KlTSftfC81rs2H7Cf6EIR7VWS3omC-2kwzaThHv16k/edit#gid=0"",""NSE Input VaR+ELM!D:J""),7,0),100)"),22.61)</f>
        <v>22.61</v>
      </c>
      <c r="E1077" s="7">
        <f t="shared" si="1"/>
        <v>77.39</v>
      </c>
      <c r="F1077" s="9" t="s">
        <v>10</v>
      </c>
    </row>
    <row r="1078">
      <c r="A1078" s="7">
        <v>1072.0</v>
      </c>
      <c r="B1078" s="10" t="s">
        <v>2152</v>
      </c>
      <c r="C1078" s="10" t="s">
        <v>2153</v>
      </c>
      <c r="D1078" s="8">
        <f>IFERROR(__xludf.DUMMYFUNCTION("IFERROR(VLOOKUP(C1078,IMPORTRANGE(""https://docs.google.com/spreadsheets/d/10KlTSftfC81rs2H7Cf6EIR7VWS3omC-2kwzaThHv16k/edit#gid=0"",""NSE Input VaR+ELM!D:J""),7,0),100)"),24.4)</f>
        <v>24.4</v>
      </c>
      <c r="E1078" s="7">
        <f t="shared" si="1"/>
        <v>75.6</v>
      </c>
      <c r="F1078" s="9" t="s">
        <v>10</v>
      </c>
    </row>
    <row r="1079">
      <c r="A1079" s="7">
        <v>1073.0</v>
      </c>
      <c r="B1079" s="10" t="s">
        <v>2154</v>
      </c>
      <c r="C1079" s="10" t="s">
        <v>2155</v>
      </c>
      <c r="D1079" s="8">
        <f>IFERROR(__xludf.DUMMYFUNCTION("IFERROR(VLOOKUP(C1079,IMPORTRANGE(""https://docs.google.com/spreadsheets/d/10KlTSftfC81rs2H7Cf6EIR7VWS3omC-2kwzaThHv16k/edit#gid=0"",""NSE Input VaR+ELM!D:J""),7,0),100)"),18.12)</f>
        <v>18.12</v>
      </c>
      <c r="E1079" s="7">
        <f t="shared" si="1"/>
        <v>81.88</v>
      </c>
      <c r="F1079" s="9" t="s">
        <v>10</v>
      </c>
    </row>
    <row r="1080">
      <c r="A1080" s="7">
        <v>1074.0</v>
      </c>
      <c r="B1080" s="10" t="s">
        <v>2156</v>
      </c>
      <c r="C1080" s="10" t="s">
        <v>2157</v>
      </c>
      <c r="D1080" s="8">
        <f>IFERROR(__xludf.DUMMYFUNCTION("IFERROR(VLOOKUP(C1080,IMPORTRANGE(""https://docs.google.com/spreadsheets/d/10KlTSftfC81rs2H7Cf6EIR7VWS3omC-2kwzaThHv16k/edit#gid=0"",""NSE Input VaR+ELM!D:J""),7,0),100)"),19.75)</f>
        <v>19.75</v>
      </c>
      <c r="E1080" s="7">
        <f t="shared" si="1"/>
        <v>80.25</v>
      </c>
      <c r="F1080" s="9" t="s">
        <v>10</v>
      </c>
    </row>
    <row r="1081">
      <c r="A1081" s="7">
        <v>1075.0</v>
      </c>
      <c r="B1081" s="10" t="s">
        <v>2158</v>
      </c>
      <c r="C1081" s="10" t="s">
        <v>2159</v>
      </c>
      <c r="D1081" s="8">
        <f>IFERROR(__xludf.DUMMYFUNCTION("IFERROR(VLOOKUP(C1081,IMPORTRANGE(""https://docs.google.com/spreadsheets/d/10KlTSftfC81rs2H7Cf6EIR7VWS3omC-2kwzaThHv16k/edit#gid=0"",""NSE Input VaR+ELM!D:J""),7,0),100)"),19.54)</f>
        <v>19.54</v>
      </c>
      <c r="E1081" s="7">
        <f t="shared" si="1"/>
        <v>80.46</v>
      </c>
      <c r="F1081" s="9" t="s">
        <v>10</v>
      </c>
    </row>
    <row r="1082">
      <c r="A1082" s="7">
        <v>1076.0</v>
      </c>
      <c r="B1082" s="10" t="s">
        <v>2160</v>
      </c>
      <c r="C1082" s="10" t="s">
        <v>2161</v>
      </c>
      <c r="D1082" s="8">
        <f>IFERROR(__xludf.DUMMYFUNCTION("IFERROR(VLOOKUP(C1082,IMPORTRANGE(""https://docs.google.com/spreadsheets/d/10KlTSftfC81rs2H7Cf6EIR7VWS3omC-2kwzaThHv16k/edit#gid=0"",""NSE Input VaR+ELM!D:J""),7,0),100)"),18.51)</f>
        <v>18.51</v>
      </c>
      <c r="E1082" s="7">
        <f t="shared" si="1"/>
        <v>81.49</v>
      </c>
      <c r="F1082" s="9" t="s">
        <v>10</v>
      </c>
    </row>
    <row r="1083">
      <c r="A1083" s="7">
        <v>1077.0</v>
      </c>
      <c r="B1083" s="10" t="s">
        <v>2162</v>
      </c>
      <c r="C1083" s="10" t="s">
        <v>2163</v>
      </c>
      <c r="D1083" s="8">
        <f>IFERROR(__xludf.DUMMYFUNCTION("IFERROR(VLOOKUP(C1083,IMPORTRANGE(""https://docs.google.com/spreadsheets/d/10KlTSftfC81rs2H7Cf6EIR7VWS3omC-2kwzaThHv16k/edit#gid=0"",""NSE Input VaR+ELM!D:J""),7,0),100)"),100.0)</f>
        <v>100</v>
      </c>
      <c r="E1083" s="7">
        <f t="shared" si="1"/>
        <v>0</v>
      </c>
      <c r="F1083" s="9" t="s">
        <v>10</v>
      </c>
    </row>
    <row r="1084">
      <c r="A1084" s="7">
        <v>1078.0</v>
      </c>
      <c r="B1084" s="10" t="s">
        <v>2164</v>
      </c>
      <c r="C1084" s="10" t="s">
        <v>2165</v>
      </c>
      <c r="D1084" s="8">
        <f>IFERROR(__xludf.DUMMYFUNCTION("IFERROR(VLOOKUP(C1084,IMPORTRANGE(""https://docs.google.com/spreadsheets/d/10KlTSftfC81rs2H7Cf6EIR7VWS3omC-2kwzaThHv16k/edit#gid=0"",""NSE Input VaR+ELM!D:J""),7,0),100)"),17.39)</f>
        <v>17.39</v>
      </c>
      <c r="E1084" s="7">
        <f t="shared" si="1"/>
        <v>82.61</v>
      </c>
      <c r="F1084" s="9" t="s">
        <v>217</v>
      </c>
    </row>
    <row r="1085">
      <c r="A1085" s="7">
        <v>1079.0</v>
      </c>
      <c r="B1085" s="10" t="s">
        <v>2166</v>
      </c>
      <c r="C1085" s="10" t="s">
        <v>2167</v>
      </c>
      <c r="D1085" s="8">
        <f>IFERROR(__xludf.DUMMYFUNCTION("IFERROR(VLOOKUP(C1085,IMPORTRANGE(""https://docs.google.com/spreadsheets/d/10KlTSftfC81rs2H7Cf6EIR7VWS3omC-2kwzaThHv16k/edit#gid=0"",""NSE Input VaR+ELM!D:J""),7,0),100)"),26.47)</f>
        <v>26.47</v>
      </c>
      <c r="E1085" s="7">
        <f t="shared" si="1"/>
        <v>73.53</v>
      </c>
      <c r="F1085" s="9" t="s">
        <v>10</v>
      </c>
    </row>
    <row r="1086">
      <c r="A1086" s="7">
        <v>1080.0</v>
      </c>
      <c r="B1086" s="10" t="s">
        <v>2168</v>
      </c>
      <c r="C1086" s="10" t="s">
        <v>2169</v>
      </c>
      <c r="D1086" s="8">
        <f>IFERROR(__xludf.DUMMYFUNCTION("IFERROR(VLOOKUP(C1086,IMPORTRANGE(""https://docs.google.com/spreadsheets/d/10KlTSftfC81rs2H7Cf6EIR7VWS3omC-2kwzaThHv16k/edit#gid=0"",""NSE Input VaR+ELM!D:J""),7,0),100)"),28.41)</f>
        <v>28.41</v>
      </c>
      <c r="E1086" s="7">
        <f t="shared" si="1"/>
        <v>71.59</v>
      </c>
      <c r="F1086" s="9" t="s">
        <v>10</v>
      </c>
    </row>
    <row r="1087">
      <c r="A1087" s="7">
        <v>1081.0</v>
      </c>
      <c r="B1087" s="10" t="s">
        <v>2170</v>
      </c>
      <c r="C1087" s="10" t="s">
        <v>2171</v>
      </c>
      <c r="D1087" s="8">
        <f>IFERROR(__xludf.DUMMYFUNCTION("IFERROR(VLOOKUP(C1087,IMPORTRANGE(""https://docs.google.com/spreadsheets/d/10KlTSftfC81rs2H7Cf6EIR7VWS3omC-2kwzaThHv16k/edit#gid=0"",""NSE Input VaR+ELM!D:J""),7,0),100)"),22.83)</f>
        <v>22.83</v>
      </c>
      <c r="E1087" s="7">
        <f t="shared" si="1"/>
        <v>77.17</v>
      </c>
      <c r="F1087" s="9" t="s">
        <v>10</v>
      </c>
    </row>
    <row r="1088">
      <c r="A1088" s="7">
        <v>1082.0</v>
      </c>
      <c r="B1088" s="10" t="s">
        <v>2172</v>
      </c>
      <c r="C1088" s="10" t="s">
        <v>2173</v>
      </c>
      <c r="D1088" s="8">
        <f>IFERROR(__xludf.DUMMYFUNCTION("IFERROR(VLOOKUP(C1088,IMPORTRANGE(""https://docs.google.com/spreadsheets/d/10KlTSftfC81rs2H7Cf6EIR7VWS3omC-2kwzaThHv16k/edit#gid=0"",""NSE Input VaR+ELM!D:J""),7,0),100)"),28.24)</f>
        <v>28.24</v>
      </c>
      <c r="E1088" s="7">
        <f t="shared" si="1"/>
        <v>71.76</v>
      </c>
      <c r="F1088" s="9" t="s">
        <v>10</v>
      </c>
    </row>
    <row r="1089">
      <c r="A1089" s="7">
        <v>1083.0</v>
      </c>
      <c r="B1089" s="10" t="s">
        <v>2174</v>
      </c>
      <c r="C1089" s="10" t="s">
        <v>2175</v>
      </c>
      <c r="D1089" s="8">
        <f>IFERROR(__xludf.DUMMYFUNCTION("IFERROR(VLOOKUP(C1089,IMPORTRANGE(""https://docs.google.com/spreadsheets/d/10KlTSftfC81rs2H7Cf6EIR7VWS3omC-2kwzaThHv16k/edit#gid=0"",""NSE Input VaR+ELM!D:J""),7,0),100)"),23.31)</f>
        <v>23.31</v>
      </c>
      <c r="E1089" s="7">
        <f t="shared" si="1"/>
        <v>76.69</v>
      </c>
      <c r="F1089" s="9" t="s">
        <v>10</v>
      </c>
    </row>
    <row r="1090">
      <c r="A1090" s="7">
        <v>1084.0</v>
      </c>
      <c r="B1090" s="10" t="s">
        <v>2176</v>
      </c>
      <c r="C1090" s="10" t="s">
        <v>2177</v>
      </c>
      <c r="D1090" s="8">
        <f>IFERROR(__xludf.DUMMYFUNCTION("IFERROR(VLOOKUP(C1090,IMPORTRANGE(""https://docs.google.com/spreadsheets/d/10KlTSftfC81rs2H7Cf6EIR7VWS3omC-2kwzaThHv16k/edit#gid=0"",""NSE Input VaR+ELM!D:J""),7,0),100)"),28.05)</f>
        <v>28.05</v>
      </c>
      <c r="E1090" s="7">
        <f t="shared" si="1"/>
        <v>71.95</v>
      </c>
      <c r="F1090" s="9" t="s">
        <v>10</v>
      </c>
    </row>
    <row r="1091">
      <c r="A1091" s="7">
        <v>1085.0</v>
      </c>
      <c r="B1091" s="10" t="s">
        <v>2178</v>
      </c>
      <c r="C1091" s="10" t="s">
        <v>2179</v>
      </c>
      <c r="D1091" s="8">
        <f>IFERROR(__xludf.DUMMYFUNCTION("IFERROR(VLOOKUP(C1091,IMPORTRANGE(""https://docs.google.com/spreadsheets/d/10KlTSftfC81rs2H7Cf6EIR7VWS3omC-2kwzaThHv16k/edit#gid=0"",""NSE Input VaR+ELM!D:J""),7,0),100)"),22.4)</f>
        <v>22.4</v>
      </c>
      <c r="E1091" s="7">
        <f t="shared" si="1"/>
        <v>77.6</v>
      </c>
      <c r="F1091" s="9" t="s">
        <v>10</v>
      </c>
    </row>
    <row r="1092">
      <c r="A1092" s="7">
        <v>1086.0</v>
      </c>
      <c r="B1092" s="10" t="s">
        <v>2180</v>
      </c>
      <c r="C1092" s="10" t="s">
        <v>2181</v>
      </c>
      <c r="D1092" s="8">
        <f>IFERROR(__xludf.DUMMYFUNCTION("IFERROR(VLOOKUP(C1092,IMPORTRANGE(""https://docs.google.com/spreadsheets/d/10KlTSftfC81rs2H7Cf6EIR7VWS3omC-2kwzaThHv16k/edit#gid=0"",""NSE Input VaR+ELM!D:J""),7,0),100)"),29.58)</f>
        <v>29.58</v>
      </c>
      <c r="E1092" s="7">
        <f t="shared" si="1"/>
        <v>70.42</v>
      </c>
      <c r="F1092" s="9" t="s">
        <v>217</v>
      </c>
    </row>
    <row r="1093">
      <c r="A1093" s="7">
        <v>1087.0</v>
      </c>
      <c r="B1093" s="10" t="s">
        <v>2182</v>
      </c>
      <c r="C1093" s="10" t="s">
        <v>2183</v>
      </c>
      <c r="D1093" s="8">
        <f>IFERROR(__xludf.DUMMYFUNCTION("IFERROR(VLOOKUP(C1093,IMPORTRANGE(""https://docs.google.com/spreadsheets/d/10KlTSftfC81rs2H7Cf6EIR7VWS3omC-2kwzaThHv16k/edit#gid=0"",""NSE Input VaR+ELM!D:J""),7,0),100)"),12.5)</f>
        <v>12.5</v>
      </c>
      <c r="E1093" s="7">
        <f t="shared" si="1"/>
        <v>87.5</v>
      </c>
      <c r="F1093" s="9" t="s">
        <v>10</v>
      </c>
    </row>
    <row r="1094">
      <c r="A1094" s="7">
        <v>1088.0</v>
      </c>
      <c r="B1094" s="10" t="s">
        <v>2184</v>
      </c>
      <c r="C1094" s="10" t="s">
        <v>2185</v>
      </c>
      <c r="D1094" s="8">
        <f>IFERROR(__xludf.DUMMYFUNCTION("IFERROR(VLOOKUP(C1094,IMPORTRANGE(""https://docs.google.com/spreadsheets/d/10KlTSftfC81rs2H7Cf6EIR7VWS3omC-2kwzaThHv16k/edit#gid=0"",""NSE Input VaR+ELM!D:J""),7,0),100)"),21.01)</f>
        <v>21.01</v>
      </c>
      <c r="E1094" s="7">
        <f t="shared" si="1"/>
        <v>78.99</v>
      </c>
      <c r="F1094" s="9" t="s">
        <v>10</v>
      </c>
    </row>
    <row r="1095">
      <c r="A1095" s="7">
        <v>1089.0</v>
      </c>
      <c r="B1095" s="10" t="s">
        <v>2186</v>
      </c>
      <c r="C1095" s="10" t="s">
        <v>2187</v>
      </c>
      <c r="D1095" s="8">
        <f>IFERROR(__xludf.DUMMYFUNCTION("IFERROR(VLOOKUP(C1095,IMPORTRANGE(""https://docs.google.com/spreadsheets/d/10KlTSftfC81rs2H7Cf6EIR7VWS3omC-2kwzaThHv16k/edit#gid=0"",""NSE Input VaR+ELM!D:J""),7,0),100)"),30.69)</f>
        <v>30.69</v>
      </c>
      <c r="E1095" s="7">
        <f t="shared" si="1"/>
        <v>69.31</v>
      </c>
      <c r="F1095" s="9" t="s">
        <v>10</v>
      </c>
    </row>
    <row r="1096">
      <c r="A1096" s="7">
        <v>1090.0</v>
      </c>
      <c r="B1096" s="10" t="s">
        <v>2188</v>
      </c>
      <c r="C1096" s="10" t="s">
        <v>2189</v>
      </c>
      <c r="D1096" s="8">
        <f>IFERROR(__xludf.DUMMYFUNCTION("IFERROR(VLOOKUP(C1096,IMPORTRANGE(""https://docs.google.com/spreadsheets/d/10KlTSftfC81rs2H7Cf6EIR7VWS3omC-2kwzaThHv16k/edit#gid=0"",""NSE Input VaR+ELM!D:J""),7,0),100)"),20.87)</f>
        <v>20.87</v>
      </c>
      <c r="E1096" s="7">
        <f t="shared" si="1"/>
        <v>79.13</v>
      </c>
      <c r="F1096" s="9" t="s">
        <v>10</v>
      </c>
    </row>
    <row r="1097">
      <c r="A1097" s="7">
        <v>1091.0</v>
      </c>
      <c r="B1097" s="10" t="s">
        <v>2190</v>
      </c>
      <c r="C1097" s="10" t="s">
        <v>2191</v>
      </c>
      <c r="D1097" s="8">
        <f>IFERROR(__xludf.DUMMYFUNCTION("IFERROR(VLOOKUP(C1097,IMPORTRANGE(""https://docs.google.com/spreadsheets/d/10KlTSftfC81rs2H7Cf6EIR7VWS3omC-2kwzaThHv16k/edit#gid=0"",""NSE Input VaR+ELM!D:J""),7,0),100)"),20.15)</f>
        <v>20.15</v>
      </c>
      <c r="E1097" s="7">
        <f t="shared" si="1"/>
        <v>79.85</v>
      </c>
      <c r="F1097" s="9" t="s">
        <v>10</v>
      </c>
    </row>
    <row r="1098">
      <c r="A1098" s="7">
        <v>1092.0</v>
      </c>
      <c r="B1098" s="10" t="s">
        <v>2192</v>
      </c>
      <c r="C1098" s="10" t="s">
        <v>2193</v>
      </c>
      <c r="D1098" s="8">
        <f>IFERROR(__xludf.DUMMYFUNCTION("IFERROR(VLOOKUP(C1098,IMPORTRANGE(""https://docs.google.com/spreadsheets/d/10KlTSftfC81rs2H7Cf6EIR7VWS3omC-2kwzaThHv16k/edit#gid=0"",""NSE Input VaR+ELM!D:J""),7,0),100)"),21.9)</f>
        <v>21.9</v>
      </c>
      <c r="E1098" s="7">
        <f t="shared" si="1"/>
        <v>78.1</v>
      </c>
      <c r="F1098" s="9" t="s">
        <v>10</v>
      </c>
    </row>
    <row r="1099">
      <c r="A1099" s="7">
        <v>1093.0</v>
      </c>
      <c r="B1099" s="10" t="s">
        <v>2194</v>
      </c>
      <c r="C1099" s="10" t="s">
        <v>2195</v>
      </c>
      <c r="D1099" s="8">
        <f>IFERROR(__xludf.DUMMYFUNCTION("IFERROR(VLOOKUP(C1099,IMPORTRANGE(""https://docs.google.com/spreadsheets/d/10KlTSftfC81rs2H7Cf6EIR7VWS3omC-2kwzaThHv16k/edit#gid=0"",""NSE Input VaR+ELM!D:J""),7,0),100)"),15.28)</f>
        <v>15.28</v>
      </c>
      <c r="E1099" s="7">
        <f t="shared" si="1"/>
        <v>84.72</v>
      </c>
      <c r="F1099" s="9" t="s">
        <v>10</v>
      </c>
    </row>
    <row r="1100">
      <c r="A1100" s="7">
        <v>1094.0</v>
      </c>
      <c r="B1100" s="10" t="s">
        <v>2196</v>
      </c>
      <c r="C1100" s="10" t="s">
        <v>2197</v>
      </c>
      <c r="D1100" s="8">
        <f>IFERROR(__xludf.DUMMYFUNCTION("IFERROR(VLOOKUP(C1100,IMPORTRANGE(""https://docs.google.com/spreadsheets/d/10KlTSftfC81rs2H7Cf6EIR7VWS3omC-2kwzaThHv16k/edit#gid=0"",""NSE Input VaR+ELM!D:J""),7,0),100)"),17.62)</f>
        <v>17.62</v>
      </c>
      <c r="E1100" s="7">
        <f t="shared" si="1"/>
        <v>82.38</v>
      </c>
      <c r="F1100" s="9" t="s">
        <v>10</v>
      </c>
    </row>
    <row r="1101">
      <c r="A1101" s="7">
        <v>1095.0</v>
      </c>
      <c r="B1101" s="10" t="s">
        <v>2198</v>
      </c>
      <c r="C1101" s="10" t="s">
        <v>2199</v>
      </c>
      <c r="D1101" s="8">
        <f>IFERROR(__xludf.DUMMYFUNCTION("IFERROR(VLOOKUP(C1101,IMPORTRANGE(""https://docs.google.com/spreadsheets/d/10KlTSftfC81rs2H7Cf6EIR7VWS3omC-2kwzaThHv16k/edit#gid=0"",""NSE Input VaR+ELM!D:J""),7,0),100)"),22.66)</f>
        <v>22.66</v>
      </c>
      <c r="E1101" s="7">
        <f t="shared" si="1"/>
        <v>77.34</v>
      </c>
      <c r="F1101" s="9" t="s">
        <v>10</v>
      </c>
    </row>
    <row r="1102">
      <c r="A1102" s="7">
        <v>1096.0</v>
      </c>
      <c r="B1102" s="10" t="s">
        <v>2200</v>
      </c>
      <c r="C1102" s="10" t="s">
        <v>2201</v>
      </c>
      <c r="D1102" s="8">
        <f>IFERROR(__xludf.DUMMYFUNCTION("IFERROR(VLOOKUP(C1102,IMPORTRANGE(""https://docs.google.com/spreadsheets/d/10KlTSftfC81rs2H7Cf6EIR7VWS3omC-2kwzaThHv16k/edit#gid=0"",""NSE Input VaR+ELM!D:J""),7,0),100)"),26.25)</f>
        <v>26.25</v>
      </c>
      <c r="E1102" s="7">
        <f t="shared" si="1"/>
        <v>73.75</v>
      </c>
      <c r="F1102" s="9" t="s">
        <v>10</v>
      </c>
    </row>
    <row r="1103">
      <c r="A1103" s="7">
        <v>1097.0</v>
      </c>
      <c r="B1103" s="10" t="s">
        <v>2202</v>
      </c>
      <c r="C1103" s="10" t="s">
        <v>2203</v>
      </c>
      <c r="D1103" s="8">
        <f>IFERROR(__xludf.DUMMYFUNCTION("IFERROR(VLOOKUP(C1103,IMPORTRANGE(""https://docs.google.com/spreadsheets/d/10KlTSftfC81rs2H7Cf6EIR7VWS3omC-2kwzaThHv16k/edit#gid=0"",""NSE Input VaR+ELM!D:J""),7,0),100)"),19.88)</f>
        <v>19.88</v>
      </c>
      <c r="E1103" s="7">
        <f t="shared" si="1"/>
        <v>80.12</v>
      </c>
      <c r="F1103" s="9" t="s">
        <v>10</v>
      </c>
    </row>
    <row r="1104">
      <c r="A1104" s="7">
        <v>1098.0</v>
      </c>
      <c r="B1104" s="10" t="s">
        <v>2204</v>
      </c>
      <c r="C1104" s="10" t="s">
        <v>2205</v>
      </c>
      <c r="D1104" s="8">
        <f>IFERROR(__xludf.DUMMYFUNCTION("IFERROR(VLOOKUP(C1104,IMPORTRANGE(""https://docs.google.com/spreadsheets/d/10KlTSftfC81rs2H7Cf6EIR7VWS3omC-2kwzaThHv16k/edit#gid=0"",""NSE Input VaR+ELM!D:J""),7,0),100)"),23.15)</f>
        <v>23.15</v>
      </c>
      <c r="E1104" s="7">
        <f t="shared" si="1"/>
        <v>76.85</v>
      </c>
      <c r="F1104" s="9" t="s">
        <v>217</v>
      </c>
    </row>
    <row r="1105">
      <c r="A1105" s="7">
        <v>1099.0</v>
      </c>
      <c r="B1105" s="10" t="s">
        <v>2206</v>
      </c>
      <c r="C1105" s="10" t="s">
        <v>2207</v>
      </c>
      <c r="D1105" s="8">
        <f>IFERROR(__xludf.DUMMYFUNCTION("IFERROR(VLOOKUP(C1105,IMPORTRANGE(""https://docs.google.com/spreadsheets/d/10KlTSftfC81rs2H7Cf6EIR7VWS3omC-2kwzaThHv16k/edit#gid=0"",""NSE Input VaR+ELM!D:J""),7,0),100)"),50.0)</f>
        <v>50</v>
      </c>
      <c r="E1105" s="7">
        <f t="shared" si="1"/>
        <v>50</v>
      </c>
      <c r="F1105" s="9" t="s">
        <v>217</v>
      </c>
    </row>
    <row r="1106">
      <c r="A1106" s="7">
        <v>1100.0</v>
      </c>
      <c r="B1106" s="10" t="s">
        <v>2208</v>
      </c>
      <c r="C1106" s="10" t="s">
        <v>2209</v>
      </c>
      <c r="D1106" s="8">
        <f>IFERROR(__xludf.DUMMYFUNCTION("IFERROR(VLOOKUP(C1106,IMPORTRANGE(""https://docs.google.com/spreadsheets/d/10KlTSftfC81rs2H7Cf6EIR7VWS3omC-2kwzaThHv16k/edit#gid=0"",""NSE Input VaR+ELM!D:J""),7,0),100)"),23.82)</f>
        <v>23.82</v>
      </c>
      <c r="E1106" s="7">
        <f t="shared" si="1"/>
        <v>76.18</v>
      </c>
      <c r="F1106" s="9" t="s">
        <v>10</v>
      </c>
    </row>
    <row r="1107">
      <c r="A1107" s="7">
        <v>1101.0</v>
      </c>
      <c r="B1107" s="10" t="s">
        <v>2210</v>
      </c>
      <c r="C1107" s="10" t="s">
        <v>2211</v>
      </c>
      <c r="D1107" s="8">
        <f>IFERROR(__xludf.DUMMYFUNCTION("IFERROR(VLOOKUP(C1107,IMPORTRANGE(""https://docs.google.com/spreadsheets/d/10KlTSftfC81rs2H7Cf6EIR7VWS3omC-2kwzaThHv16k/edit#gid=0"",""NSE Input VaR+ELM!D:J""),7,0),100)"),20.29)</f>
        <v>20.29</v>
      </c>
      <c r="E1107" s="7">
        <f t="shared" si="1"/>
        <v>79.71</v>
      </c>
      <c r="F1107" s="9" t="s">
        <v>10</v>
      </c>
    </row>
    <row r="1108">
      <c r="A1108" s="7">
        <v>1102.0</v>
      </c>
      <c r="B1108" s="10" t="s">
        <v>2212</v>
      </c>
      <c r="C1108" s="10" t="s">
        <v>2213</v>
      </c>
      <c r="D1108" s="8">
        <f>IFERROR(__xludf.DUMMYFUNCTION("IFERROR(VLOOKUP(C1108,IMPORTRANGE(""https://docs.google.com/spreadsheets/d/10KlTSftfC81rs2H7Cf6EIR7VWS3omC-2kwzaThHv16k/edit#gid=0"",""NSE Input VaR+ELM!D:J""),7,0),100)"),20.98)</f>
        <v>20.98</v>
      </c>
      <c r="E1108" s="7">
        <f t="shared" si="1"/>
        <v>79.02</v>
      </c>
      <c r="F1108" s="9" t="s">
        <v>10</v>
      </c>
    </row>
    <row r="1109">
      <c r="A1109" s="7">
        <v>1103.0</v>
      </c>
      <c r="B1109" s="10" t="s">
        <v>2214</v>
      </c>
      <c r="C1109" s="10" t="s">
        <v>2215</v>
      </c>
      <c r="D1109" s="8">
        <f>IFERROR(__xludf.DUMMYFUNCTION("IFERROR(VLOOKUP(C1109,IMPORTRANGE(""https://docs.google.com/spreadsheets/d/10KlTSftfC81rs2H7Cf6EIR7VWS3omC-2kwzaThHv16k/edit#gid=0"",""NSE Input VaR+ELM!D:J""),7,0),100)"),32.52)</f>
        <v>32.52</v>
      </c>
      <c r="E1109" s="7">
        <f t="shared" si="1"/>
        <v>67.48</v>
      </c>
      <c r="F1109" s="9" t="s">
        <v>10</v>
      </c>
    </row>
    <row r="1110">
      <c r="A1110" s="7">
        <v>1104.0</v>
      </c>
      <c r="B1110" s="10" t="s">
        <v>2216</v>
      </c>
      <c r="C1110" s="10" t="s">
        <v>2217</v>
      </c>
      <c r="D1110" s="8">
        <f>IFERROR(__xludf.DUMMYFUNCTION("IFERROR(VLOOKUP(C1110,IMPORTRANGE(""https://docs.google.com/spreadsheets/d/10KlTSftfC81rs2H7Cf6EIR7VWS3omC-2kwzaThHv16k/edit#gid=0"",""NSE Input VaR+ELM!D:J""),7,0),100)"),20.01)</f>
        <v>20.01</v>
      </c>
      <c r="E1110" s="7">
        <f t="shared" si="1"/>
        <v>79.99</v>
      </c>
      <c r="F1110" s="9" t="s">
        <v>10</v>
      </c>
    </row>
    <row r="1111">
      <c r="A1111" s="7">
        <v>1105.0</v>
      </c>
      <c r="B1111" s="10" t="s">
        <v>2218</v>
      </c>
      <c r="C1111" s="10" t="s">
        <v>2219</v>
      </c>
      <c r="D1111" s="8">
        <f>IFERROR(__xludf.DUMMYFUNCTION("IFERROR(VLOOKUP(C1111,IMPORTRANGE(""https://docs.google.com/spreadsheets/d/10KlTSftfC81rs2H7Cf6EIR7VWS3omC-2kwzaThHv16k/edit#gid=0"",""NSE Input VaR+ELM!D:J""),7,0),100)"),19.77)</f>
        <v>19.77</v>
      </c>
      <c r="E1111" s="7">
        <f t="shared" si="1"/>
        <v>80.23</v>
      </c>
      <c r="F1111" s="9" t="s">
        <v>10</v>
      </c>
    </row>
    <row r="1112">
      <c r="A1112" s="7">
        <v>1106.0</v>
      </c>
      <c r="B1112" s="10" t="s">
        <v>2220</v>
      </c>
      <c r="C1112" s="10" t="s">
        <v>2221</v>
      </c>
      <c r="D1112" s="8">
        <f>IFERROR(__xludf.DUMMYFUNCTION("IFERROR(VLOOKUP(C1112,IMPORTRANGE(""https://docs.google.com/spreadsheets/d/10KlTSftfC81rs2H7Cf6EIR7VWS3omC-2kwzaThHv16k/edit#gid=0"",""NSE Input VaR+ELM!D:J""),7,0),100)"),17.13)</f>
        <v>17.13</v>
      </c>
      <c r="E1112" s="7">
        <f t="shared" si="1"/>
        <v>82.87</v>
      </c>
      <c r="F1112" s="9" t="s">
        <v>10</v>
      </c>
    </row>
    <row r="1113">
      <c r="A1113" s="7">
        <v>1107.0</v>
      </c>
      <c r="B1113" s="10" t="s">
        <v>2222</v>
      </c>
      <c r="C1113" s="10" t="s">
        <v>2223</v>
      </c>
      <c r="D1113" s="8">
        <f>IFERROR(__xludf.DUMMYFUNCTION("IFERROR(VLOOKUP(C1113,IMPORTRANGE(""https://docs.google.com/spreadsheets/d/10KlTSftfC81rs2H7Cf6EIR7VWS3omC-2kwzaThHv16k/edit#gid=0"",""NSE Input VaR+ELM!D:J""),7,0),100)"),20.23)</f>
        <v>20.23</v>
      </c>
      <c r="E1113" s="7">
        <f t="shared" si="1"/>
        <v>79.77</v>
      </c>
      <c r="F1113" s="9" t="s">
        <v>217</v>
      </c>
    </row>
    <row r="1114">
      <c r="A1114" s="7">
        <v>1108.0</v>
      </c>
      <c r="B1114" s="10" t="s">
        <v>2224</v>
      </c>
      <c r="C1114" s="10" t="s">
        <v>2225</v>
      </c>
      <c r="D1114" s="8">
        <f>IFERROR(__xludf.DUMMYFUNCTION("IFERROR(VLOOKUP(C1114,IMPORTRANGE(""https://docs.google.com/spreadsheets/d/10KlTSftfC81rs2H7Cf6EIR7VWS3omC-2kwzaThHv16k/edit#gid=0"",""NSE Input VaR+ELM!D:J""),7,0),100)"),16.84)</f>
        <v>16.84</v>
      </c>
      <c r="E1114" s="7">
        <f t="shared" si="1"/>
        <v>83.16</v>
      </c>
      <c r="F1114" s="9" t="s">
        <v>217</v>
      </c>
    </row>
    <row r="1115">
      <c r="A1115" s="7">
        <v>1109.0</v>
      </c>
      <c r="B1115" s="10" t="s">
        <v>2226</v>
      </c>
      <c r="C1115" s="10" t="s">
        <v>2227</v>
      </c>
      <c r="D1115" s="8">
        <f>IFERROR(__xludf.DUMMYFUNCTION("IFERROR(VLOOKUP(C1115,IMPORTRANGE(""https://docs.google.com/spreadsheets/d/10KlTSftfC81rs2H7Cf6EIR7VWS3omC-2kwzaThHv16k/edit#gid=0"",""NSE Input VaR+ELM!D:J""),7,0),100)"),16.43)</f>
        <v>16.43</v>
      </c>
      <c r="E1115" s="7">
        <f t="shared" si="1"/>
        <v>83.57</v>
      </c>
      <c r="F1115" s="9" t="s">
        <v>10</v>
      </c>
    </row>
    <row r="1116">
      <c r="A1116" s="7">
        <v>1110.0</v>
      </c>
      <c r="B1116" s="10" t="s">
        <v>2228</v>
      </c>
      <c r="C1116" s="10" t="s">
        <v>2229</v>
      </c>
      <c r="D1116" s="8">
        <f>IFERROR(__xludf.DUMMYFUNCTION("IFERROR(VLOOKUP(C1116,IMPORTRANGE(""https://docs.google.com/spreadsheets/d/10KlTSftfC81rs2H7Cf6EIR7VWS3omC-2kwzaThHv16k/edit#gid=0"",""NSE Input VaR+ELM!D:J""),7,0),100)"),17.45)</f>
        <v>17.45</v>
      </c>
      <c r="E1116" s="7">
        <f t="shared" si="1"/>
        <v>82.55</v>
      </c>
      <c r="F1116" s="9" t="s">
        <v>217</v>
      </c>
    </row>
    <row r="1117">
      <c r="A1117" s="7">
        <v>1111.0</v>
      </c>
      <c r="B1117" s="10" t="s">
        <v>2230</v>
      </c>
      <c r="C1117" s="10" t="s">
        <v>2231</v>
      </c>
      <c r="D1117" s="8">
        <f>IFERROR(__xludf.DUMMYFUNCTION("IFERROR(VLOOKUP(C1117,IMPORTRANGE(""https://docs.google.com/spreadsheets/d/10KlTSftfC81rs2H7Cf6EIR7VWS3omC-2kwzaThHv16k/edit#gid=0"",""NSE Input VaR+ELM!D:J""),7,0),100)"),16.36)</f>
        <v>16.36</v>
      </c>
      <c r="E1117" s="7">
        <f t="shared" si="1"/>
        <v>83.64</v>
      </c>
      <c r="F1117" s="9" t="s">
        <v>10</v>
      </c>
    </row>
    <row r="1118">
      <c r="A1118" s="7">
        <v>1112.0</v>
      </c>
      <c r="B1118" s="10" t="s">
        <v>2232</v>
      </c>
      <c r="C1118" s="10" t="s">
        <v>2233</v>
      </c>
      <c r="D1118" s="8">
        <f>IFERROR(__xludf.DUMMYFUNCTION("IFERROR(VLOOKUP(C1118,IMPORTRANGE(""https://docs.google.com/spreadsheets/d/10KlTSftfC81rs2H7Cf6EIR7VWS3omC-2kwzaThHv16k/edit#gid=0"",""NSE Input VaR+ELM!D:J""),7,0),100)"),27.85)</f>
        <v>27.85</v>
      </c>
      <c r="E1118" s="7">
        <f t="shared" si="1"/>
        <v>72.15</v>
      </c>
      <c r="F1118" s="9" t="s">
        <v>10</v>
      </c>
    </row>
    <row r="1119">
      <c r="A1119" s="7">
        <v>1113.0</v>
      </c>
      <c r="B1119" s="10" t="s">
        <v>2234</v>
      </c>
      <c r="C1119" s="10" t="s">
        <v>2235</v>
      </c>
      <c r="D1119" s="8">
        <f>IFERROR(__xludf.DUMMYFUNCTION("IFERROR(VLOOKUP(C1119,IMPORTRANGE(""https://docs.google.com/spreadsheets/d/10KlTSftfC81rs2H7Cf6EIR7VWS3omC-2kwzaThHv16k/edit#gid=0"",""NSE Input VaR+ELM!D:J""),7,0),100)"),21.5)</f>
        <v>21.5</v>
      </c>
      <c r="E1119" s="7">
        <f t="shared" si="1"/>
        <v>78.5</v>
      </c>
      <c r="F1119" s="9" t="s">
        <v>10</v>
      </c>
    </row>
    <row r="1120">
      <c r="A1120" s="7">
        <v>1114.0</v>
      </c>
      <c r="B1120" s="10" t="s">
        <v>2236</v>
      </c>
      <c r="C1120" s="10" t="s">
        <v>2237</v>
      </c>
      <c r="D1120" s="8">
        <f>IFERROR(__xludf.DUMMYFUNCTION("IFERROR(VLOOKUP(C1120,IMPORTRANGE(""https://docs.google.com/spreadsheets/d/10KlTSftfC81rs2H7Cf6EIR7VWS3omC-2kwzaThHv16k/edit#gid=0"",""NSE Input VaR+ELM!D:J""),7,0),100)"),17.58)</f>
        <v>17.58</v>
      </c>
      <c r="E1120" s="7">
        <f t="shared" si="1"/>
        <v>82.42</v>
      </c>
      <c r="F1120" s="9" t="s">
        <v>10</v>
      </c>
    </row>
    <row r="1121">
      <c r="A1121" s="7">
        <v>1115.0</v>
      </c>
      <c r="B1121" s="10" t="s">
        <v>2238</v>
      </c>
      <c r="C1121" s="10" t="s">
        <v>2239</v>
      </c>
      <c r="D1121" s="8">
        <f>IFERROR(__xludf.DUMMYFUNCTION("IFERROR(VLOOKUP(C1121,IMPORTRANGE(""https://docs.google.com/spreadsheets/d/10KlTSftfC81rs2H7Cf6EIR7VWS3omC-2kwzaThHv16k/edit#gid=0"",""NSE Input VaR+ELM!D:J""),7,0),100)"),31.1)</f>
        <v>31.1</v>
      </c>
      <c r="E1121" s="7">
        <f t="shared" si="1"/>
        <v>68.9</v>
      </c>
      <c r="F1121" s="9" t="s">
        <v>10</v>
      </c>
    </row>
    <row r="1122">
      <c r="A1122" s="7">
        <v>1116.0</v>
      </c>
      <c r="B1122" s="10" t="s">
        <v>2240</v>
      </c>
      <c r="C1122" s="10" t="s">
        <v>2241</v>
      </c>
      <c r="D1122" s="8">
        <f>IFERROR(__xludf.DUMMYFUNCTION("IFERROR(VLOOKUP(C1122,IMPORTRANGE(""https://docs.google.com/spreadsheets/d/10KlTSftfC81rs2H7Cf6EIR7VWS3omC-2kwzaThHv16k/edit#gid=0"",""NSE Input VaR+ELM!D:J""),7,0),100)"),20.44)</f>
        <v>20.44</v>
      </c>
      <c r="E1122" s="7">
        <f t="shared" si="1"/>
        <v>79.56</v>
      </c>
      <c r="F1122" s="9" t="s">
        <v>10</v>
      </c>
    </row>
    <row r="1123">
      <c r="A1123" s="7">
        <v>1117.0</v>
      </c>
      <c r="B1123" s="10" t="s">
        <v>2242</v>
      </c>
      <c r="C1123" s="10" t="s">
        <v>2243</v>
      </c>
      <c r="D1123" s="8">
        <f>IFERROR(__xludf.DUMMYFUNCTION("IFERROR(VLOOKUP(C1123,IMPORTRANGE(""https://docs.google.com/spreadsheets/d/10KlTSftfC81rs2H7Cf6EIR7VWS3omC-2kwzaThHv16k/edit#gid=0"",""NSE Input VaR+ELM!D:J""),7,0),100)"),15.57)</f>
        <v>15.57</v>
      </c>
      <c r="E1123" s="7">
        <f t="shared" si="1"/>
        <v>84.43</v>
      </c>
      <c r="F1123" s="9" t="s">
        <v>10</v>
      </c>
    </row>
    <row r="1124">
      <c r="A1124" s="7">
        <v>1118.0</v>
      </c>
      <c r="B1124" s="10" t="s">
        <v>2244</v>
      </c>
      <c r="C1124" s="10" t="s">
        <v>2245</v>
      </c>
      <c r="D1124" s="8">
        <f>IFERROR(__xludf.DUMMYFUNCTION("IFERROR(VLOOKUP(C1124,IMPORTRANGE(""https://docs.google.com/spreadsheets/d/10KlTSftfC81rs2H7Cf6EIR7VWS3omC-2kwzaThHv16k/edit#gid=0"",""NSE Input VaR+ELM!D:J""),7,0),100)"),20.29)</f>
        <v>20.29</v>
      </c>
      <c r="E1124" s="7">
        <f t="shared" si="1"/>
        <v>79.71</v>
      </c>
      <c r="F1124" s="9" t="s">
        <v>10</v>
      </c>
    </row>
    <row r="1125">
      <c r="A1125" s="7">
        <v>1119.0</v>
      </c>
      <c r="B1125" s="10" t="s">
        <v>2246</v>
      </c>
      <c r="C1125" s="10" t="s">
        <v>2247</v>
      </c>
      <c r="D1125" s="8">
        <f>IFERROR(__xludf.DUMMYFUNCTION("IFERROR(VLOOKUP(C1125,IMPORTRANGE(""https://docs.google.com/spreadsheets/d/10KlTSftfC81rs2H7Cf6EIR7VWS3omC-2kwzaThHv16k/edit#gid=0"",""NSE Input VaR+ELM!D:J""),7,0),100)"),26.03)</f>
        <v>26.03</v>
      </c>
      <c r="E1125" s="7">
        <f t="shared" si="1"/>
        <v>73.97</v>
      </c>
      <c r="F1125" s="9" t="s">
        <v>10</v>
      </c>
    </row>
    <row r="1126">
      <c r="A1126" s="7">
        <v>1120.0</v>
      </c>
      <c r="B1126" s="10" t="s">
        <v>2248</v>
      </c>
      <c r="C1126" s="10" t="s">
        <v>2249</v>
      </c>
      <c r="D1126" s="8">
        <f>IFERROR(__xludf.DUMMYFUNCTION("IFERROR(VLOOKUP(C1126,IMPORTRANGE(""https://docs.google.com/spreadsheets/d/10KlTSftfC81rs2H7Cf6EIR7VWS3omC-2kwzaThHv16k/edit#gid=0"",""NSE Input VaR+ELM!D:J""),7,0),100)"),21.58)</f>
        <v>21.58</v>
      </c>
      <c r="E1126" s="7">
        <f t="shared" si="1"/>
        <v>78.42</v>
      </c>
      <c r="F1126" s="9" t="s">
        <v>10</v>
      </c>
    </row>
    <row r="1127">
      <c r="A1127" s="7">
        <v>1121.0</v>
      </c>
      <c r="B1127" s="10" t="s">
        <v>2250</v>
      </c>
      <c r="C1127" s="10" t="s">
        <v>2251</v>
      </c>
      <c r="D1127" s="8">
        <f>IFERROR(__xludf.DUMMYFUNCTION("IFERROR(VLOOKUP(C1127,IMPORTRANGE(""https://docs.google.com/spreadsheets/d/10KlTSftfC81rs2H7Cf6EIR7VWS3omC-2kwzaThHv16k/edit#gid=0"",""NSE Input VaR+ELM!D:J""),7,0),100)"),26.07)</f>
        <v>26.07</v>
      </c>
      <c r="E1127" s="7">
        <f t="shared" si="1"/>
        <v>73.93</v>
      </c>
      <c r="F1127" s="9" t="s">
        <v>217</v>
      </c>
    </row>
    <row r="1128">
      <c r="A1128" s="7">
        <v>1122.0</v>
      </c>
      <c r="B1128" s="10" t="s">
        <v>2252</v>
      </c>
      <c r="C1128" s="10" t="s">
        <v>2253</v>
      </c>
      <c r="D1128" s="8">
        <f>IFERROR(__xludf.DUMMYFUNCTION("IFERROR(VLOOKUP(C1128,IMPORTRANGE(""https://docs.google.com/spreadsheets/d/10KlTSftfC81rs2H7Cf6EIR7VWS3omC-2kwzaThHv16k/edit#gid=0"",""NSE Input VaR+ELM!D:J""),7,0),100)"),25.84)</f>
        <v>25.84</v>
      </c>
      <c r="E1128" s="7">
        <f t="shared" si="1"/>
        <v>74.16</v>
      </c>
      <c r="F1128" s="9" t="s">
        <v>10</v>
      </c>
    </row>
    <row r="1129">
      <c r="A1129" s="7">
        <v>1123.0</v>
      </c>
      <c r="B1129" s="10" t="s">
        <v>2254</v>
      </c>
      <c r="C1129" s="10" t="s">
        <v>2255</v>
      </c>
      <c r="D1129" s="8">
        <f>IFERROR(__xludf.DUMMYFUNCTION("IFERROR(VLOOKUP(C1129,IMPORTRANGE(""https://docs.google.com/spreadsheets/d/10KlTSftfC81rs2H7Cf6EIR7VWS3omC-2kwzaThHv16k/edit#gid=0"",""NSE Input VaR+ELM!D:J""),7,0),100)"),18.07)</f>
        <v>18.07</v>
      </c>
      <c r="E1129" s="7">
        <f t="shared" si="1"/>
        <v>81.93</v>
      </c>
      <c r="F1129" s="9" t="s">
        <v>10</v>
      </c>
    </row>
    <row r="1130">
      <c r="A1130" s="7">
        <v>1124.0</v>
      </c>
      <c r="B1130" s="10" t="s">
        <v>2256</v>
      </c>
      <c r="C1130" s="10" t="s">
        <v>2257</v>
      </c>
      <c r="D1130" s="8">
        <f>IFERROR(__xludf.DUMMYFUNCTION("IFERROR(VLOOKUP(C1130,IMPORTRANGE(""https://docs.google.com/spreadsheets/d/10KlTSftfC81rs2H7Cf6EIR7VWS3omC-2kwzaThHv16k/edit#gid=0"",""NSE Input VaR+ELM!D:J""),7,0),100)"),50.0)</f>
        <v>50</v>
      </c>
      <c r="E1130" s="7">
        <f t="shared" si="1"/>
        <v>50</v>
      </c>
      <c r="F1130" s="9" t="s">
        <v>10</v>
      </c>
    </row>
    <row r="1131">
      <c r="A1131" s="7">
        <v>1125.0</v>
      </c>
      <c r="B1131" s="10" t="s">
        <v>2258</v>
      </c>
      <c r="C1131" s="10" t="s">
        <v>2259</v>
      </c>
      <c r="D1131" s="8">
        <f>IFERROR(__xludf.DUMMYFUNCTION("IFERROR(VLOOKUP(C1131,IMPORTRANGE(""https://docs.google.com/spreadsheets/d/10KlTSftfC81rs2H7Cf6EIR7VWS3omC-2kwzaThHv16k/edit#gid=0"",""NSE Input VaR+ELM!D:J""),7,0),100)"),26.3)</f>
        <v>26.3</v>
      </c>
      <c r="E1131" s="7">
        <f t="shared" si="1"/>
        <v>73.7</v>
      </c>
      <c r="F1131" s="9" t="s">
        <v>10</v>
      </c>
    </row>
    <row r="1132">
      <c r="A1132" s="7">
        <v>1126.0</v>
      </c>
      <c r="B1132" s="10" t="s">
        <v>2260</v>
      </c>
      <c r="C1132" s="10" t="s">
        <v>2261</v>
      </c>
      <c r="D1132" s="8">
        <f>IFERROR(__xludf.DUMMYFUNCTION("IFERROR(VLOOKUP(C1132,IMPORTRANGE(""https://docs.google.com/spreadsheets/d/10KlTSftfC81rs2H7Cf6EIR7VWS3omC-2kwzaThHv16k/edit#gid=0"",""NSE Input VaR+ELM!D:J""),7,0),100)"),23.36)</f>
        <v>23.36</v>
      </c>
      <c r="E1132" s="7">
        <f t="shared" si="1"/>
        <v>76.64</v>
      </c>
      <c r="F1132" s="9" t="s">
        <v>10</v>
      </c>
    </row>
    <row r="1133">
      <c r="A1133" s="7">
        <v>1127.0</v>
      </c>
      <c r="B1133" s="10" t="s">
        <v>2262</v>
      </c>
      <c r="C1133" s="10" t="s">
        <v>2263</v>
      </c>
      <c r="D1133" s="8">
        <f>IFERROR(__xludf.DUMMYFUNCTION("IFERROR(VLOOKUP(C1133,IMPORTRANGE(""https://docs.google.com/spreadsheets/d/10KlTSftfC81rs2H7Cf6EIR7VWS3omC-2kwzaThHv16k/edit#gid=0"",""NSE Input VaR+ELM!D:J""),7,0),100)"),13.98)</f>
        <v>13.98</v>
      </c>
      <c r="E1133" s="7">
        <f t="shared" si="1"/>
        <v>86.02</v>
      </c>
      <c r="F1133" s="9" t="s">
        <v>217</v>
      </c>
    </row>
    <row r="1134">
      <c r="A1134" s="7">
        <v>1128.0</v>
      </c>
      <c r="B1134" s="10" t="s">
        <v>2264</v>
      </c>
      <c r="C1134" s="10" t="s">
        <v>2265</v>
      </c>
      <c r="D1134" s="8">
        <f>IFERROR(__xludf.DUMMYFUNCTION("IFERROR(VLOOKUP(C1134,IMPORTRANGE(""https://docs.google.com/spreadsheets/d/10KlTSftfC81rs2H7Cf6EIR7VWS3omC-2kwzaThHv16k/edit#gid=0"",""NSE Input VaR+ELM!D:J""),7,0),100)"),22.72)</f>
        <v>22.72</v>
      </c>
      <c r="E1134" s="7">
        <f t="shared" si="1"/>
        <v>77.28</v>
      </c>
      <c r="F1134" s="9" t="s">
        <v>10</v>
      </c>
    </row>
    <row r="1135">
      <c r="A1135" s="7">
        <v>1129.0</v>
      </c>
      <c r="B1135" s="10" t="s">
        <v>2266</v>
      </c>
      <c r="C1135" s="10" t="s">
        <v>2267</v>
      </c>
      <c r="D1135" s="8">
        <f>IFERROR(__xludf.DUMMYFUNCTION("IFERROR(VLOOKUP(C1135,IMPORTRANGE(""https://docs.google.com/spreadsheets/d/10KlTSftfC81rs2H7Cf6EIR7VWS3omC-2kwzaThHv16k/edit#gid=0"",""NSE Input VaR+ELM!D:J""),7,0),100)"),15.76)</f>
        <v>15.76</v>
      </c>
      <c r="E1135" s="7">
        <f t="shared" si="1"/>
        <v>84.24</v>
      </c>
      <c r="F1135" s="9" t="s">
        <v>10</v>
      </c>
    </row>
    <row r="1136">
      <c r="A1136" s="7">
        <v>1130.0</v>
      </c>
      <c r="B1136" s="10" t="s">
        <v>2268</v>
      </c>
      <c r="C1136" s="10" t="s">
        <v>2269</v>
      </c>
      <c r="D1136" s="8">
        <f>IFERROR(__xludf.DUMMYFUNCTION("IFERROR(VLOOKUP(C1136,IMPORTRANGE(""https://docs.google.com/spreadsheets/d/10KlTSftfC81rs2H7Cf6EIR7VWS3omC-2kwzaThHv16k/edit#gid=0"",""NSE Input VaR+ELM!D:J""),7,0),100)"),16.05)</f>
        <v>16.05</v>
      </c>
      <c r="E1136" s="7">
        <f t="shared" si="1"/>
        <v>83.95</v>
      </c>
      <c r="F1136" s="9" t="s">
        <v>10</v>
      </c>
    </row>
    <row r="1137">
      <c r="A1137" s="7">
        <v>1131.0</v>
      </c>
      <c r="B1137" s="10" t="s">
        <v>2270</v>
      </c>
      <c r="C1137" s="10" t="s">
        <v>2271</v>
      </c>
      <c r="D1137" s="8">
        <f>IFERROR(__xludf.DUMMYFUNCTION("IFERROR(VLOOKUP(C1137,IMPORTRANGE(""https://docs.google.com/spreadsheets/d/10KlTSftfC81rs2H7Cf6EIR7VWS3omC-2kwzaThHv16k/edit#gid=0"",""NSE Input VaR+ELM!D:J""),7,0),100)"),18.73)</f>
        <v>18.73</v>
      </c>
      <c r="E1137" s="7">
        <f t="shared" si="1"/>
        <v>81.27</v>
      </c>
      <c r="F1137" s="9" t="s">
        <v>10</v>
      </c>
    </row>
    <row r="1138">
      <c r="A1138" s="7">
        <v>1132.0</v>
      </c>
      <c r="B1138" s="10" t="s">
        <v>2272</v>
      </c>
      <c r="C1138" s="10" t="s">
        <v>2273</v>
      </c>
      <c r="D1138" s="8">
        <f>IFERROR(__xludf.DUMMYFUNCTION("IFERROR(VLOOKUP(C1138,IMPORTRANGE(""https://docs.google.com/spreadsheets/d/10KlTSftfC81rs2H7Cf6EIR7VWS3omC-2kwzaThHv16k/edit#gid=0"",""NSE Input VaR+ELM!D:J""),7,0),100)"),26.31)</f>
        <v>26.31</v>
      </c>
      <c r="E1138" s="7">
        <f t="shared" si="1"/>
        <v>73.69</v>
      </c>
      <c r="F1138" s="9" t="s">
        <v>10</v>
      </c>
    </row>
    <row r="1139">
      <c r="A1139" s="7">
        <v>1133.0</v>
      </c>
      <c r="B1139" s="10" t="s">
        <v>2274</v>
      </c>
      <c r="C1139" s="10" t="s">
        <v>2275</v>
      </c>
      <c r="D1139" s="8">
        <f>IFERROR(__xludf.DUMMYFUNCTION("IFERROR(VLOOKUP(C1139,IMPORTRANGE(""https://docs.google.com/spreadsheets/d/10KlTSftfC81rs2H7Cf6EIR7VWS3omC-2kwzaThHv16k/edit#gid=0"",""NSE Input VaR+ELM!D:J""),7,0),100)"),26.29)</f>
        <v>26.29</v>
      </c>
      <c r="E1139" s="7">
        <f t="shared" si="1"/>
        <v>73.71</v>
      </c>
      <c r="F1139" s="9" t="s">
        <v>10</v>
      </c>
    </row>
    <row r="1140">
      <c r="A1140" s="7">
        <v>1134.0</v>
      </c>
      <c r="B1140" s="10" t="s">
        <v>2276</v>
      </c>
      <c r="C1140" s="10" t="s">
        <v>2277</v>
      </c>
      <c r="D1140" s="8">
        <f>IFERROR(__xludf.DUMMYFUNCTION("IFERROR(VLOOKUP(C1140,IMPORTRANGE(""https://docs.google.com/spreadsheets/d/10KlTSftfC81rs2H7Cf6EIR7VWS3omC-2kwzaThHv16k/edit#gid=0"",""NSE Input VaR+ELM!D:J""),7,0),100)"),30.36)</f>
        <v>30.36</v>
      </c>
      <c r="E1140" s="7">
        <f t="shared" si="1"/>
        <v>69.64</v>
      </c>
      <c r="F1140" s="9" t="s">
        <v>10</v>
      </c>
    </row>
    <row r="1141">
      <c r="A1141" s="7">
        <v>1135.0</v>
      </c>
      <c r="B1141" s="10" t="s">
        <v>2278</v>
      </c>
      <c r="C1141" s="10" t="s">
        <v>2279</v>
      </c>
      <c r="D1141" s="8">
        <f>IFERROR(__xludf.DUMMYFUNCTION("IFERROR(VLOOKUP(C1141,IMPORTRANGE(""https://docs.google.com/spreadsheets/d/10KlTSftfC81rs2H7Cf6EIR7VWS3omC-2kwzaThHv16k/edit#gid=0"",""NSE Input VaR+ELM!D:J""),7,0),100)"),23.09)</f>
        <v>23.09</v>
      </c>
      <c r="E1141" s="7">
        <f t="shared" si="1"/>
        <v>76.91</v>
      </c>
      <c r="F1141" s="9" t="s">
        <v>10</v>
      </c>
    </row>
    <row r="1142">
      <c r="A1142" s="10">
        <v>1136.0</v>
      </c>
      <c r="B1142" s="10" t="s">
        <v>2280</v>
      </c>
      <c r="C1142" s="10" t="s">
        <v>2281</v>
      </c>
      <c r="D1142" s="8">
        <f>IFERROR(__xludf.DUMMYFUNCTION("IFERROR(VLOOKUP(C1142,IMPORTRANGE(""https://docs.google.com/spreadsheets/d/10KlTSftfC81rs2H7Cf6EIR7VWS3omC-2kwzaThHv16k/edit#gid=0"",""NSE Input VaR+ELM!D:J""),7,0),100)"),19.08)</f>
        <v>19.08</v>
      </c>
      <c r="E1142" s="7">
        <f t="shared" si="1"/>
        <v>80.92</v>
      </c>
      <c r="F1142" s="9" t="s">
        <v>10</v>
      </c>
    </row>
    <row r="1143">
      <c r="A1143" s="7">
        <v>1137.0</v>
      </c>
      <c r="B1143" s="10" t="s">
        <v>2282</v>
      </c>
      <c r="C1143" s="10" t="s">
        <v>2283</v>
      </c>
      <c r="D1143" s="8">
        <f>IFERROR(__xludf.DUMMYFUNCTION("IFERROR(VLOOKUP(C1143,IMPORTRANGE(""https://docs.google.com/spreadsheets/d/10KlTSftfC81rs2H7Cf6EIR7VWS3omC-2kwzaThHv16k/edit#gid=0"",""NSE Input VaR+ELM!D:J""),7,0),100)"),20.58)</f>
        <v>20.58</v>
      </c>
      <c r="E1143" s="7">
        <f t="shared" si="1"/>
        <v>79.42</v>
      </c>
      <c r="F1143" s="9" t="s">
        <v>217</v>
      </c>
    </row>
    <row r="1144">
      <c r="A1144" s="7">
        <v>1138.0</v>
      </c>
      <c r="B1144" s="10" t="s">
        <v>2284</v>
      </c>
      <c r="C1144" s="10" t="s">
        <v>2285</v>
      </c>
      <c r="D1144" s="8">
        <f>IFERROR(__xludf.DUMMYFUNCTION("IFERROR(VLOOKUP(C1144,IMPORTRANGE(""https://docs.google.com/spreadsheets/d/10KlTSftfC81rs2H7Cf6EIR7VWS3omC-2kwzaThHv16k/edit#gid=0"",""NSE Input VaR+ELM!D:J""),7,0),100)"),19.15)</f>
        <v>19.15</v>
      </c>
      <c r="E1144" s="7">
        <f t="shared" si="1"/>
        <v>80.85</v>
      </c>
      <c r="F1144" s="9" t="s">
        <v>10</v>
      </c>
    </row>
    <row r="1145">
      <c r="A1145" s="7">
        <v>1139.0</v>
      </c>
      <c r="B1145" s="10" t="s">
        <v>2286</v>
      </c>
      <c r="C1145" s="10" t="s">
        <v>2287</v>
      </c>
      <c r="D1145" s="8">
        <f>IFERROR(__xludf.DUMMYFUNCTION("IFERROR(VLOOKUP(C1145,IMPORTRANGE(""https://docs.google.com/spreadsheets/d/10KlTSftfC81rs2H7Cf6EIR7VWS3omC-2kwzaThHv16k/edit#gid=0"",""NSE Input VaR+ELM!D:J""),7,0),100)"),17.98)</f>
        <v>17.98</v>
      </c>
      <c r="E1145" s="7">
        <f t="shared" si="1"/>
        <v>82.02</v>
      </c>
      <c r="F1145" s="9" t="s">
        <v>10</v>
      </c>
    </row>
    <row r="1146">
      <c r="A1146" s="10">
        <v>1140.0</v>
      </c>
      <c r="B1146" s="10" t="s">
        <v>2288</v>
      </c>
      <c r="C1146" s="10" t="s">
        <v>2289</v>
      </c>
      <c r="D1146" s="8">
        <f>IFERROR(__xludf.DUMMYFUNCTION("IFERROR(VLOOKUP(C1146,IMPORTRANGE(""https://docs.google.com/spreadsheets/d/10KlTSftfC81rs2H7Cf6EIR7VWS3omC-2kwzaThHv16k/edit#gid=0"",""NSE Input VaR+ELM!D:J""),7,0),100)"),18.73)</f>
        <v>18.73</v>
      </c>
      <c r="E1146" s="7">
        <f t="shared" si="1"/>
        <v>81.27</v>
      </c>
      <c r="F1146" s="9" t="s">
        <v>10</v>
      </c>
    </row>
    <row r="1147">
      <c r="A1147" s="7">
        <v>1141.0</v>
      </c>
      <c r="B1147" s="10" t="s">
        <v>2290</v>
      </c>
      <c r="C1147" s="10" t="s">
        <v>2291</v>
      </c>
      <c r="D1147" s="8">
        <f>IFERROR(__xludf.DUMMYFUNCTION("IFERROR(VLOOKUP(C1147,IMPORTRANGE(""https://docs.google.com/spreadsheets/d/10KlTSftfC81rs2H7Cf6EIR7VWS3omC-2kwzaThHv16k/edit#gid=0"",""NSE Input VaR+ELM!D:J""),7,0),100)"),22.16)</f>
        <v>22.16</v>
      </c>
      <c r="E1147" s="7">
        <f t="shared" si="1"/>
        <v>77.84</v>
      </c>
      <c r="F1147" s="9" t="s">
        <v>10</v>
      </c>
    </row>
    <row r="1148">
      <c r="A1148" s="7">
        <v>1142.0</v>
      </c>
      <c r="B1148" s="10" t="s">
        <v>2292</v>
      </c>
      <c r="C1148" s="10" t="s">
        <v>2293</v>
      </c>
      <c r="D1148" s="8">
        <f>IFERROR(__xludf.DUMMYFUNCTION("IFERROR(VLOOKUP(C1148,IMPORTRANGE(""https://docs.google.com/spreadsheets/d/10KlTSftfC81rs2H7Cf6EIR7VWS3omC-2kwzaThHv16k/edit#gid=0"",""NSE Input VaR+ELM!D:J""),7,0),100)"),15.74)</f>
        <v>15.74</v>
      </c>
      <c r="E1148" s="7">
        <f t="shared" si="1"/>
        <v>84.26</v>
      </c>
      <c r="F1148" s="9" t="s">
        <v>10</v>
      </c>
    </row>
    <row r="1149">
      <c r="A1149" s="7">
        <v>1143.0</v>
      </c>
      <c r="B1149" s="10" t="s">
        <v>2294</v>
      </c>
      <c r="C1149" s="10" t="s">
        <v>2295</v>
      </c>
      <c r="D1149" s="8">
        <f>IFERROR(__xludf.DUMMYFUNCTION("IFERROR(VLOOKUP(C1149,IMPORTRANGE(""https://docs.google.com/spreadsheets/d/10KlTSftfC81rs2H7Cf6EIR7VWS3omC-2kwzaThHv16k/edit#gid=0"",""NSE Input VaR+ELM!D:J""),7,0),100)"),19.05)</f>
        <v>19.05</v>
      </c>
      <c r="E1149" s="7">
        <f t="shared" si="1"/>
        <v>80.95</v>
      </c>
      <c r="F1149" s="9" t="s">
        <v>10</v>
      </c>
    </row>
    <row r="1150">
      <c r="A1150" s="10">
        <v>1144.0</v>
      </c>
      <c r="B1150" s="10" t="s">
        <v>2296</v>
      </c>
      <c r="C1150" s="10" t="s">
        <v>2297</v>
      </c>
      <c r="D1150" s="8">
        <f>IFERROR(__xludf.DUMMYFUNCTION("IFERROR(VLOOKUP(C1150,IMPORTRANGE(""https://docs.google.com/spreadsheets/d/10KlTSftfC81rs2H7Cf6EIR7VWS3omC-2kwzaThHv16k/edit#gid=0"",""NSE Input VaR+ELM!D:J""),7,0),100)"),23.23)</f>
        <v>23.23</v>
      </c>
      <c r="E1150" s="7">
        <f t="shared" si="1"/>
        <v>76.77</v>
      </c>
      <c r="F1150" s="9" t="s">
        <v>10</v>
      </c>
    </row>
    <row r="1151">
      <c r="A1151" s="7">
        <v>1145.0</v>
      </c>
      <c r="B1151" s="10" t="s">
        <v>2298</v>
      </c>
      <c r="C1151" s="10" t="s">
        <v>2299</v>
      </c>
      <c r="D1151" s="8">
        <f>IFERROR(__xludf.DUMMYFUNCTION("IFERROR(VLOOKUP(C1151,IMPORTRANGE(""https://docs.google.com/spreadsheets/d/10KlTSftfC81rs2H7Cf6EIR7VWS3omC-2kwzaThHv16k/edit#gid=0"",""NSE Input VaR+ELM!D:J""),7,0),100)"),20.17)</f>
        <v>20.17</v>
      </c>
      <c r="E1151" s="7">
        <f t="shared" si="1"/>
        <v>79.83</v>
      </c>
      <c r="F1151" s="9" t="s">
        <v>10</v>
      </c>
    </row>
    <row r="1152">
      <c r="A1152" s="7">
        <v>1146.0</v>
      </c>
      <c r="B1152" s="10" t="s">
        <v>2300</v>
      </c>
      <c r="C1152" s="10" t="s">
        <v>2301</v>
      </c>
      <c r="D1152" s="8">
        <f>IFERROR(__xludf.DUMMYFUNCTION("IFERROR(VLOOKUP(C1152,IMPORTRANGE(""https://docs.google.com/spreadsheets/d/10KlTSftfC81rs2H7Cf6EIR7VWS3omC-2kwzaThHv16k/edit#gid=0"",""NSE Input VaR+ELM!D:J""),7,0),100)"),15.68)</f>
        <v>15.68</v>
      </c>
      <c r="E1152" s="7">
        <f t="shared" si="1"/>
        <v>84.32</v>
      </c>
      <c r="F1152" s="9" t="s">
        <v>10</v>
      </c>
    </row>
    <row r="1153">
      <c r="A1153" s="7">
        <v>1147.0</v>
      </c>
      <c r="B1153" s="10" t="s">
        <v>2302</v>
      </c>
      <c r="C1153" s="10" t="s">
        <v>2303</v>
      </c>
      <c r="D1153" s="8">
        <f>IFERROR(__xludf.DUMMYFUNCTION("IFERROR(VLOOKUP(C1153,IMPORTRANGE(""https://docs.google.com/spreadsheets/d/10KlTSftfC81rs2H7Cf6EIR7VWS3omC-2kwzaThHv16k/edit#gid=0"",""NSE Input VaR+ELM!D:J""),7,0),100)"),22.95)</f>
        <v>22.95</v>
      </c>
      <c r="E1153" s="7">
        <f t="shared" si="1"/>
        <v>77.05</v>
      </c>
      <c r="F1153" s="9" t="s">
        <v>217</v>
      </c>
    </row>
    <row r="1154">
      <c r="A1154" s="7">
        <v>1148.0</v>
      </c>
      <c r="B1154" s="10" t="s">
        <v>2304</v>
      </c>
      <c r="C1154" s="10" t="s">
        <v>2305</v>
      </c>
      <c r="D1154" s="8">
        <f>IFERROR(__xludf.DUMMYFUNCTION("IFERROR(VLOOKUP(C1154,IMPORTRANGE(""https://docs.google.com/spreadsheets/d/10KlTSftfC81rs2H7Cf6EIR7VWS3omC-2kwzaThHv16k/edit#gid=0"",""NSE Input VaR+ELM!D:J""),7,0),100)"),23.94)</f>
        <v>23.94</v>
      </c>
      <c r="E1154" s="7">
        <f t="shared" si="1"/>
        <v>76.06</v>
      </c>
      <c r="F1154" s="9" t="s">
        <v>10</v>
      </c>
    </row>
    <row r="1155">
      <c r="A1155" s="7">
        <v>1149.0</v>
      </c>
      <c r="B1155" s="10" t="s">
        <v>2306</v>
      </c>
      <c r="C1155" s="10" t="s">
        <v>2307</v>
      </c>
      <c r="D1155" s="8">
        <f>IFERROR(__xludf.DUMMYFUNCTION("IFERROR(VLOOKUP(C1155,IMPORTRANGE(""https://docs.google.com/spreadsheets/d/10KlTSftfC81rs2H7Cf6EIR7VWS3omC-2kwzaThHv16k/edit#gid=0"",""NSE Input VaR+ELM!D:J""),7,0),100)"),21.19)</f>
        <v>21.19</v>
      </c>
      <c r="E1155" s="7">
        <f t="shared" si="1"/>
        <v>78.81</v>
      </c>
      <c r="F1155" s="9" t="s">
        <v>10</v>
      </c>
    </row>
    <row r="1156">
      <c r="A1156" s="10">
        <v>1150.0</v>
      </c>
      <c r="B1156" s="10" t="s">
        <v>2308</v>
      </c>
      <c r="C1156" s="10" t="s">
        <v>2309</v>
      </c>
      <c r="D1156" s="8">
        <f>IFERROR(__xludf.DUMMYFUNCTION("IFERROR(VLOOKUP(C1156,IMPORTRANGE(""https://docs.google.com/spreadsheets/d/10KlTSftfC81rs2H7Cf6EIR7VWS3omC-2kwzaThHv16k/edit#gid=0"",""NSE Input VaR+ELM!D:J""),7,0),100)"),22.68)</f>
        <v>22.68</v>
      </c>
      <c r="E1156" s="7">
        <f t="shared" si="1"/>
        <v>77.32</v>
      </c>
      <c r="F1156" s="9" t="s">
        <v>10</v>
      </c>
    </row>
    <row r="1157">
      <c r="A1157" s="7">
        <v>1151.0</v>
      </c>
      <c r="B1157" s="10" t="s">
        <v>2310</v>
      </c>
      <c r="C1157" s="10" t="s">
        <v>2311</v>
      </c>
      <c r="D1157" s="8">
        <f>IFERROR(__xludf.DUMMYFUNCTION("IFERROR(VLOOKUP(C1157,IMPORTRANGE(""https://docs.google.com/spreadsheets/d/10KlTSftfC81rs2H7Cf6EIR7VWS3omC-2kwzaThHv16k/edit#gid=0"",""NSE Input VaR+ELM!D:J""),7,0),100)"),27.94)</f>
        <v>27.94</v>
      </c>
      <c r="E1157" s="7">
        <f t="shared" si="1"/>
        <v>72.06</v>
      </c>
      <c r="F1157" s="9" t="s">
        <v>10</v>
      </c>
    </row>
    <row r="1158">
      <c r="A1158" s="7">
        <v>1152.0</v>
      </c>
      <c r="B1158" s="10" t="s">
        <v>2312</v>
      </c>
      <c r="C1158" s="10" t="s">
        <v>2313</v>
      </c>
      <c r="D1158" s="8">
        <f>IFERROR(__xludf.DUMMYFUNCTION("IFERROR(VLOOKUP(C1158,IMPORTRANGE(""https://docs.google.com/spreadsheets/d/10KlTSftfC81rs2H7Cf6EIR7VWS3omC-2kwzaThHv16k/edit#gid=0"",""NSE Input VaR+ELM!D:J""),7,0),100)"),25.16)</f>
        <v>25.16</v>
      </c>
      <c r="E1158" s="7">
        <f t="shared" si="1"/>
        <v>74.84</v>
      </c>
      <c r="F1158" s="9" t="s">
        <v>10</v>
      </c>
    </row>
    <row r="1159">
      <c r="A1159" s="7">
        <v>1153.0</v>
      </c>
      <c r="B1159" s="10" t="s">
        <v>2314</v>
      </c>
      <c r="C1159" s="10" t="s">
        <v>2315</v>
      </c>
      <c r="D1159" s="8">
        <f>IFERROR(__xludf.DUMMYFUNCTION("IFERROR(VLOOKUP(C1159,IMPORTRANGE(""https://docs.google.com/spreadsheets/d/10KlTSftfC81rs2H7Cf6EIR7VWS3omC-2kwzaThHv16k/edit#gid=0"",""NSE Input VaR+ELM!D:J""),7,0),100)"),18.9)</f>
        <v>18.9</v>
      </c>
      <c r="E1159" s="7">
        <f t="shared" si="1"/>
        <v>81.1</v>
      </c>
      <c r="F1159" s="9" t="s">
        <v>10</v>
      </c>
    </row>
    <row r="1160">
      <c r="A1160" s="7">
        <v>1154.0</v>
      </c>
      <c r="B1160" s="10" t="s">
        <v>2316</v>
      </c>
      <c r="C1160" s="10" t="s">
        <v>2317</v>
      </c>
      <c r="D1160" s="8">
        <f>IFERROR(__xludf.DUMMYFUNCTION("IFERROR(VLOOKUP(C1160,IMPORTRANGE(""https://docs.google.com/spreadsheets/d/10KlTSftfC81rs2H7Cf6EIR7VWS3omC-2kwzaThHv16k/edit#gid=0"",""NSE Input VaR+ELM!D:J""),7,0),100)"),20.06)</f>
        <v>20.06</v>
      </c>
      <c r="E1160" s="7">
        <f t="shared" si="1"/>
        <v>79.94</v>
      </c>
      <c r="F1160" s="9" t="s">
        <v>10</v>
      </c>
    </row>
    <row r="1161">
      <c r="A1161" s="7">
        <v>1155.0</v>
      </c>
      <c r="B1161" s="10" t="s">
        <v>2318</v>
      </c>
      <c r="C1161" s="10" t="s">
        <v>2319</v>
      </c>
      <c r="D1161" s="8">
        <f>IFERROR(__xludf.DUMMYFUNCTION("IFERROR(VLOOKUP(C1161,IMPORTRANGE(""https://docs.google.com/spreadsheets/d/10KlTSftfC81rs2H7Cf6EIR7VWS3omC-2kwzaThHv16k/edit#gid=0"",""NSE Input VaR+ELM!D:J""),7,0),100)"),14.93)</f>
        <v>14.93</v>
      </c>
      <c r="E1161" s="7">
        <f t="shared" si="1"/>
        <v>85.07</v>
      </c>
      <c r="F1161" s="9" t="s">
        <v>10</v>
      </c>
    </row>
    <row r="1162">
      <c r="A1162" s="10">
        <v>1156.0</v>
      </c>
      <c r="B1162" s="10" t="s">
        <v>2320</v>
      </c>
      <c r="C1162" s="10" t="s">
        <v>2321</v>
      </c>
      <c r="D1162" s="8">
        <f>IFERROR(__xludf.DUMMYFUNCTION("IFERROR(VLOOKUP(C1162,IMPORTRANGE(""https://docs.google.com/spreadsheets/d/10KlTSftfC81rs2H7Cf6EIR7VWS3omC-2kwzaThHv16k/edit#gid=0"",""NSE Input VaR+ELM!D:J""),7,0),100)"),50.0)</f>
        <v>50</v>
      </c>
      <c r="E1162" s="7">
        <f t="shared" si="1"/>
        <v>50</v>
      </c>
      <c r="F1162" s="9" t="s">
        <v>10</v>
      </c>
    </row>
    <row r="1163">
      <c r="A1163" s="7">
        <v>1157.0</v>
      </c>
      <c r="B1163" s="10" t="s">
        <v>2322</v>
      </c>
      <c r="C1163" s="10" t="s">
        <v>2323</v>
      </c>
      <c r="D1163" s="8">
        <f>IFERROR(__xludf.DUMMYFUNCTION("IFERROR(VLOOKUP(C1163,IMPORTRANGE(""https://docs.google.com/spreadsheets/d/10KlTSftfC81rs2H7Cf6EIR7VWS3omC-2kwzaThHv16k/edit#gid=0"",""NSE Input VaR+ELM!D:J""),7,0),100)"),20.03)</f>
        <v>20.03</v>
      </c>
      <c r="E1163" s="7">
        <f t="shared" si="1"/>
        <v>79.97</v>
      </c>
      <c r="F1163" s="9" t="s">
        <v>10</v>
      </c>
    </row>
    <row r="1164">
      <c r="A1164" s="7">
        <v>1158.0</v>
      </c>
      <c r="B1164" s="10" t="s">
        <v>2324</v>
      </c>
      <c r="C1164" s="10" t="s">
        <v>2325</v>
      </c>
      <c r="D1164" s="8">
        <f>IFERROR(__xludf.DUMMYFUNCTION("IFERROR(VLOOKUP(C1164,IMPORTRANGE(""https://docs.google.com/spreadsheets/d/10KlTSftfC81rs2H7Cf6EIR7VWS3omC-2kwzaThHv16k/edit#gid=0"",""NSE Input VaR+ELM!D:J""),7,0),100)"),27.53)</f>
        <v>27.53</v>
      </c>
      <c r="E1164" s="7">
        <f t="shared" si="1"/>
        <v>72.47</v>
      </c>
      <c r="F1164" s="9" t="s">
        <v>10</v>
      </c>
    </row>
    <row r="1165">
      <c r="A1165" s="7">
        <v>1159.0</v>
      </c>
      <c r="B1165" s="10" t="s">
        <v>2326</v>
      </c>
      <c r="C1165" s="10" t="s">
        <v>2327</v>
      </c>
      <c r="D1165" s="8">
        <f>IFERROR(__xludf.DUMMYFUNCTION("IFERROR(VLOOKUP(C1165,IMPORTRANGE(""https://docs.google.com/spreadsheets/d/10KlTSftfC81rs2H7Cf6EIR7VWS3omC-2kwzaThHv16k/edit#gid=0"",""NSE Input VaR+ELM!D:J""),7,0),100)"),27.47)</f>
        <v>27.47</v>
      </c>
      <c r="E1165" s="7">
        <f t="shared" si="1"/>
        <v>72.53</v>
      </c>
      <c r="F1165" s="9" t="s">
        <v>10</v>
      </c>
    </row>
    <row r="1166">
      <c r="A1166" s="7">
        <v>1160.0</v>
      </c>
      <c r="B1166" s="10" t="s">
        <v>2328</v>
      </c>
      <c r="C1166" s="10" t="s">
        <v>2329</v>
      </c>
      <c r="D1166" s="8">
        <f>IFERROR(__xludf.DUMMYFUNCTION("IFERROR(VLOOKUP(C1166,IMPORTRANGE(""https://docs.google.com/spreadsheets/d/10KlTSftfC81rs2H7Cf6EIR7VWS3omC-2kwzaThHv16k/edit#gid=0"",""NSE Input VaR+ELM!D:J""),7,0),100)"),22.07)</f>
        <v>22.07</v>
      </c>
      <c r="E1166" s="7">
        <f t="shared" si="1"/>
        <v>77.93</v>
      </c>
      <c r="F1166" s="9" t="s">
        <v>217</v>
      </c>
    </row>
    <row r="1167">
      <c r="A1167" s="7">
        <v>1161.0</v>
      </c>
      <c r="B1167" s="10" t="s">
        <v>2330</v>
      </c>
      <c r="C1167" s="10" t="s">
        <v>2331</v>
      </c>
      <c r="D1167" s="8">
        <f>IFERROR(__xludf.DUMMYFUNCTION("IFERROR(VLOOKUP(C1167,IMPORTRANGE(""https://docs.google.com/spreadsheets/d/10KlTSftfC81rs2H7Cf6EIR7VWS3omC-2kwzaThHv16k/edit#gid=0"",""NSE Input VaR+ELM!D:J""),7,0),100)"),21.19)</f>
        <v>21.19</v>
      </c>
      <c r="E1167" s="7">
        <f t="shared" si="1"/>
        <v>78.81</v>
      </c>
      <c r="F1167" s="9" t="s">
        <v>217</v>
      </c>
    </row>
    <row r="1168">
      <c r="A1168" s="10">
        <v>1162.0</v>
      </c>
      <c r="B1168" s="10" t="s">
        <v>2332</v>
      </c>
      <c r="C1168" s="10" t="s">
        <v>2333</v>
      </c>
      <c r="D1168" s="8">
        <f>IFERROR(__xludf.DUMMYFUNCTION("IFERROR(VLOOKUP(C1168,IMPORTRANGE(""https://docs.google.com/spreadsheets/d/10KlTSftfC81rs2H7Cf6EIR7VWS3omC-2kwzaThHv16k/edit#gid=0"",""NSE Input VaR+ELM!D:J""),7,0),100)"),22.51)</f>
        <v>22.51</v>
      </c>
      <c r="E1168" s="7">
        <f t="shared" si="1"/>
        <v>77.49</v>
      </c>
      <c r="F1168" s="9" t="s">
        <v>217</v>
      </c>
    </row>
    <row r="1169">
      <c r="A1169" s="7">
        <v>1163.0</v>
      </c>
      <c r="B1169" s="10" t="s">
        <v>2334</v>
      </c>
      <c r="C1169" s="10" t="s">
        <v>2335</v>
      </c>
      <c r="D1169" s="8">
        <f>IFERROR(__xludf.DUMMYFUNCTION("IFERROR(VLOOKUP(C1169,IMPORTRANGE(""https://docs.google.com/spreadsheets/d/10KlTSftfC81rs2H7Cf6EIR7VWS3omC-2kwzaThHv16k/edit#gid=0"",""NSE Input VaR+ELM!D:J""),7,0),100)"),18.51)</f>
        <v>18.51</v>
      </c>
      <c r="E1169" s="7">
        <f t="shared" si="1"/>
        <v>81.49</v>
      </c>
      <c r="F1169" s="9" t="s">
        <v>10</v>
      </c>
    </row>
    <row r="1170">
      <c r="A1170" s="7">
        <v>1164.0</v>
      </c>
      <c r="B1170" s="10" t="s">
        <v>2336</v>
      </c>
      <c r="C1170" s="10" t="s">
        <v>2337</v>
      </c>
      <c r="D1170" s="8">
        <f>IFERROR(__xludf.DUMMYFUNCTION("IFERROR(VLOOKUP(C1170,IMPORTRANGE(""https://docs.google.com/spreadsheets/d/10KlTSftfC81rs2H7Cf6EIR7VWS3omC-2kwzaThHv16k/edit#gid=0"",""NSE Input VaR+ELM!D:J""),7,0),100)"),23.53)</f>
        <v>23.53</v>
      </c>
      <c r="E1170" s="7">
        <f t="shared" si="1"/>
        <v>76.47</v>
      </c>
      <c r="F1170" s="9" t="s">
        <v>10</v>
      </c>
    </row>
    <row r="1171">
      <c r="A1171" s="7">
        <v>1165.0</v>
      </c>
      <c r="B1171" s="10" t="s">
        <v>2338</v>
      </c>
      <c r="C1171" s="10" t="s">
        <v>2339</v>
      </c>
      <c r="D1171" s="8">
        <f>IFERROR(__xludf.DUMMYFUNCTION("IFERROR(VLOOKUP(C1171,IMPORTRANGE(""https://docs.google.com/spreadsheets/d/10KlTSftfC81rs2H7Cf6EIR7VWS3omC-2kwzaThHv16k/edit#gid=0"",""NSE Input VaR+ELM!D:J""),7,0),100)"),18.91)</f>
        <v>18.91</v>
      </c>
      <c r="E1171" s="7">
        <f t="shared" si="1"/>
        <v>81.09</v>
      </c>
      <c r="F1171" s="9" t="s">
        <v>10</v>
      </c>
    </row>
    <row r="1172">
      <c r="A1172" s="7">
        <v>1166.0</v>
      </c>
      <c r="B1172" s="10" t="s">
        <v>2340</v>
      </c>
      <c r="C1172" s="10" t="s">
        <v>2341</v>
      </c>
      <c r="D1172" s="8">
        <f>IFERROR(__xludf.DUMMYFUNCTION("IFERROR(VLOOKUP(C1172,IMPORTRANGE(""https://docs.google.com/spreadsheets/d/10KlTSftfC81rs2H7Cf6EIR7VWS3omC-2kwzaThHv16k/edit#gid=0"",""NSE Input VaR+ELM!D:J""),7,0),100)"),23.65)</f>
        <v>23.65</v>
      </c>
      <c r="E1172" s="7">
        <f t="shared" si="1"/>
        <v>76.35</v>
      </c>
      <c r="F1172" s="9" t="s">
        <v>10</v>
      </c>
    </row>
    <row r="1173">
      <c r="A1173" s="7">
        <v>1167.0</v>
      </c>
      <c r="B1173" s="10" t="s">
        <v>2342</v>
      </c>
      <c r="C1173" s="10" t="s">
        <v>2343</v>
      </c>
      <c r="D1173" s="8">
        <f>IFERROR(__xludf.DUMMYFUNCTION("IFERROR(VLOOKUP(C1173,IMPORTRANGE(""https://docs.google.com/spreadsheets/d/10KlTSftfC81rs2H7Cf6EIR7VWS3omC-2kwzaThHv16k/edit#gid=0"",""NSE Input VaR+ELM!D:J""),7,0),100)"),18.63)</f>
        <v>18.63</v>
      </c>
      <c r="E1173" s="7">
        <f t="shared" si="1"/>
        <v>81.37</v>
      </c>
      <c r="F1173" s="9" t="s">
        <v>10</v>
      </c>
    </row>
    <row r="1174">
      <c r="A1174" s="7">
        <v>1168.0</v>
      </c>
      <c r="B1174" s="10" t="s">
        <v>2344</v>
      </c>
      <c r="C1174" s="10" t="s">
        <v>2345</v>
      </c>
      <c r="D1174" s="8">
        <f>IFERROR(__xludf.DUMMYFUNCTION("IFERROR(VLOOKUP(C1174,IMPORTRANGE(""https://docs.google.com/spreadsheets/d/10KlTSftfC81rs2H7Cf6EIR7VWS3omC-2kwzaThHv16k/edit#gid=0"",""NSE Input VaR+ELM!D:J""),7,0),100)"),27.33)</f>
        <v>27.33</v>
      </c>
      <c r="E1174" s="7">
        <f t="shared" si="1"/>
        <v>72.67</v>
      </c>
      <c r="F1174" s="9" t="s">
        <v>10</v>
      </c>
    </row>
    <row r="1175">
      <c r="A1175" s="7">
        <v>1169.0</v>
      </c>
      <c r="B1175" s="10" t="s">
        <v>2346</v>
      </c>
      <c r="C1175" s="10" t="s">
        <v>2347</v>
      </c>
      <c r="D1175" s="8">
        <f>IFERROR(__xludf.DUMMYFUNCTION("IFERROR(VLOOKUP(C1175,IMPORTRANGE(""https://docs.google.com/spreadsheets/d/10KlTSftfC81rs2H7Cf6EIR7VWS3omC-2kwzaThHv16k/edit#gid=0"",""NSE Input VaR+ELM!D:J""),7,0),100)"),21.15)</f>
        <v>21.15</v>
      </c>
      <c r="E1175" s="7">
        <f t="shared" si="1"/>
        <v>78.85</v>
      </c>
      <c r="F1175" s="9" t="s">
        <v>10</v>
      </c>
    </row>
    <row r="1176">
      <c r="A1176" s="10">
        <v>1170.0</v>
      </c>
      <c r="B1176" s="10" t="s">
        <v>2348</v>
      </c>
      <c r="C1176" s="10" t="s">
        <v>2349</v>
      </c>
      <c r="D1176" s="8">
        <f>IFERROR(__xludf.DUMMYFUNCTION("IFERROR(VLOOKUP(C1176,IMPORTRANGE(""https://docs.google.com/spreadsheets/d/10KlTSftfC81rs2H7Cf6EIR7VWS3omC-2kwzaThHv16k/edit#gid=0"",""NSE Input VaR+ELM!D:J""),7,0),100)"),24.92)</f>
        <v>24.92</v>
      </c>
      <c r="E1176" s="7">
        <f t="shared" si="1"/>
        <v>75.08</v>
      </c>
      <c r="F1176" s="9" t="s">
        <v>10</v>
      </c>
    </row>
    <row r="1177">
      <c r="A1177" s="7">
        <v>1171.0</v>
      </c>
      <c r="B1177" s="10" t="s">
        <v>2350</v>
      </c>
      <c r="C1177" s="10" t="s">
        <v>2351</v>
      </c>
      <c r="D1177" s="8">
        <f>IFERROR(__xludf.DUMMYFUNCTION("IFERROR(VLOOKUP(C1177,IMPORTRANGE(""https://docs.google.com/spreadsheets/d/10KlTSftfC81rs2H7Cf6EIR7VWS3omC-2kwzaThHv16k/edit#gid=0"",""NSE Input VaR+ELM!D:J""),7,0),100)"),19.65)</f>
        <v>19.65</v>
      </c>
      <c r="E1177" s="7">
        <f t="shared" si="1"/>
        <v>80.35</v>
      </c>
      <c r="F1177" s="9" t="s">
        <v>10</v>
      </c>
    </row>
    <row r="1178">
      <c r="A1178" s="7">
        <v>1172.0</v>
      </c>
      <c r="B1178" s="10" t="s">
        <v>2352</v>
      </c>
      <c r="C1178" s="10" t="s">
        <v>2353</v>
      </c>
      <c r="D1178" s="8">
        <f>IFERROR(__xludf.DUMMYFUNCTION("IFERROR(VLOOKUP(C1178,IMPORTRANGE(""https://docs.google.com/spreadsheets/d/10KlTSftfC81rs2H7Cf6EIR7VWS3omC-2kwzaThHv16k/edit#gid=0"",""NSE Input VaR+ELM!D:J""),7,0),100)"),23.21)</f>
        <v>23.21</v>
      </c>
      <c r="E1178" s="7">
        <f t="shared" si="1"/>
        <v>76.79</v>
      </c>
      <c r="F1178" s="9" t="s">
        <v>10</v>
      </c>
    </row>
    <row r="1179">
      <c r="A1179" s="7">
        <v>1173.0</v>
      </c>
      <c r="B1179" s="10" t="s">
        <v>2354</v>
      </c>
      <c r="C1179" s="10" t="s">
        <v>2355</v>
      </c>
      <c r="D1179" s="8">
        <f>IFERROR(__xludf.DUMMYFUNCTION("IFERROR(VLOOKUP(C1179,IMPORTRANGE(""https://docs.google.com/spreadsheets/d/10KlTSftfC81rs2H7Cf6EIR7VWS3omC-2kwzaThHv16k/edit#gid=0"",""NSE Input VaR+ELM!D:J""),7,0),100)"),24.59)</f>
        <v>24.59</v>
      </c>
      <c r="E1179" s="7">
        <f t="shared" si="1"/>
        <v>75.41</v>
      </c>
      <c r="F1179" s="9" t="s">
        <v>217</v>
      </c>
    </row>
    <row r="1180">
      <c r="A1180" s="7">
        <v>1174.0</v>
      </c>
      <c r="B1180" s="10" t="s">
        <v>2356</v>
      </c>
      <c r="C1180" s="10" t="s">
        <v>2357</v>
      </c>
      <c r="D1180" s="8">
        <f>IFERROR(__xludf.DUMMYFUNCTION("IFERROR(VLOOKUP(C1180,IMPORTRANGE(""https://docs.google.com/spreadsheets/d/10KlTSftfC81rs2H7Cf6EIR7VWS3omC-2kwzaThHv16k/edit#gid=0"",""NSE Input VaR+ELM!D:J""),7,0),100)"),26.97)</f>
        <v>26.97</v>
      </c>
      <c r="E1180" s="7">
        <f t="shared" si="1"/>
        <v>73.03</v>
      </c>
      <c r="F1180" s="9" t="s">
        <v>10</v>
      </c>
    </row>
    <row r="1181">
      <c r="A1181" s="7">
        <v>1175.0</v>
      </c>
      <c r="B1181" s="10" t="s">
        <v>2358</v>
      </c>
      <c r="C1181" s="10" t="s">
        <v>2359</v>
      </c>
      <c r="D1181" s="8">
        <f>IFERROR(__xludf.DUMMYFUNCTION("IFERROR(VLOOKUP(C1181,IMPORTRANGE(""https://docs.google.com/spreadsheets/d/10KlTSftfC81rs2H7Cf6EIR7VWS3omC-2kwzaThHv16k/edit#gid=0"",""NSE Input VaR+ELM!D:J""),7,0),100)"),23.73)</f>
        <v>23.73</v>
      </c>
      <c r="E1181" s="7">
        <f t="shared" si="1"/>
        <v>76.27</v>
      </c>
      <c r="F1181" s="9" t="s">
        <v>10</v>
      </c>
    </row>
    <row r="1182">
      <c r="A1182" s="7">
        <v>1176.0</v>
      </c>
      <c r="B1182" s="10" t="s">
        <v>2360</v>
      </c>
      <c r="C1182" s="10" t="s">
        <v>2361</v>
      </c>
      <c r="D1182" s="8">
        <f>IFERROR(__xludf.DUMMYFUNCTION("IFERROR(VLOOKUP(C1182,IMPORTRANGE(""https://docs.google.com/spreadsheets/d/10KlTSftfC81rs2H7Cf6EIR7VWS3omC-2kwzaThHv16k/edit#gid=0"",""NSE Input VaR+ELM!D:J""),7,0),100)"),22.11)</f>
        <v>22.11</v>
      </c>
      <c r="E1182" s="7">
        <f t="shared" si="1"/>
        <v>77.89</v>
      </c>
      <c r="F1182" s="9" t="s">
        <v>10</v>
      </c>
    </row>
    <row r="1183">
      <c r="A1183" s="7">
        <v>1177.0</v>
      </c>
      <c r="B1183" s="10" t="s">
        <v>2362</v>
      </c>
      <c r="C1183" s="10" t="s">
        <v>2363</v>
      </c>
      <c r="D1183" s="8">
        <f>IFERROR(__xludf.DUMMYFUNCTION("IFERROR(VLOOKUP(C1183,IMPORTRANGE(""https://docs.google.com/spreadsheets/d/10KlTSftfC81rs2H7Cf6EIR7VWS3omC-2kwzaThHv16k/edit#gid=0"",""NSE Input VaR+ELM!D:J""),7,0),100)"),16.28)</f>
        <v>16.28</v>
      </c>
      <c r="E1183" s="7">
        <f t="shared" si="1"/>
        <v>83.72</v>
      </c>
      <c r="F1183" s="9" t="s">
        <v>10</v>
      </c>
    </row>
    <row r="1184">
      <c r="A1184" s="10">
        <v>1178.0</v>
      </c>
      <c r="B1184" s="10" t="s">
        <v>2364</v>
      </c>
      <c r="C1184" s="10" t="s">
        <v>2365</v>
      </c>
      <c r="D1184" s="8">
        <f>IFERROR(__xludf.DUMMYFUNCTION("IFERROR(VLOOKUP(C1184,IMPORTRANGE(""https://docs.google.com/spreadsheets/d/10KlTSftfC81rs2H7Cf6EIR7VWS3omC-2kwzaThHv16k/edit#gid=0"",""NSE Input VaR+ELM!D:J""),7,0),100)"),29.81)</f>
        <v>29.81</v>
      </c>
      <c r="E1184" s="7">
        <f t="shared" si="1"/>
        <v>70.19</v>
      </c>
      <c r="F1184" s="9" t="s">
        <v>10</v>
      </c>
    </row>
    <row r="1185">
      <c r="A1185" s="7">
        <v>1179.0</v>
      </c>
      <c r="B1185" s="10" t="s">
        <v>2366</v>
      </c>
      <c r="C1185" s="10" t="s">
        <v>2367</v>
      </c>
      <c r="D1185" s="8">
        <f>IFERROR(__xludf.DUMMYFUNCTION("IFERROR(VLOOKUP(C1185,IMPORTRANGE(""https://docs.google.com/spreadsheets/d/10KlTSftfC81rs2H7Cf6EIR7VWS3omC-2kwzaThHv16k/edit#gid=0"",""NSE Input VaR+ELM!D:J""),7,0),100)"),18.5)</f>
        <v>18.5</v>
      </c>
      <c r="E1185" s="7">
        <f t="shared" si="1"/>
        <v>81.5</v>
      </c>
      <c r="F1185" s="9" t="s">
        <v>10</v>
      </c>
    </row>
    <row r="1186">
      <c r="A1186" s="7">
        <v>1180.0</v>
      </c>
      <c r="B1186" s="10" t="s">
        <v>2368</v>
      </c>
      <c r="C1186" s="10" t="s">
        <v>2369</v>
      </c>
      <c r="D1186" s="8">
        <f>IFERROR(__xludf.DUMMYFUNCTION("IFERROR(VLOOKUP(C1186,IMPORTRANGE(""https://docs.google.com/spreadsheets/d/10KlTSftfC81rs2H7Cf6EIR7VWS3omC-2kwzaThHv16k/edit#gid=0"",""NSE Input VaR+ELM!D:J""),7,0),100)"),23.54)</f>
        <v>23.54</v>
      </c>
      <c r="E1186" s="7">
        <f t="shared" si="1"/>
        <v>76.46</v>
      </c>
      <c r="F1186" s="9" t="s">
        <v>10</v>
      </c>
    </row>
    <row r="1187">
      <c r="A1187" s="7">
        <v>1181.0</v>
      </c>
      <c r="B1187" s="10" t="s">
        <v>2370</v>
      </c>
      <c r="C1187" s="10" t="s">
        <v>2371</v>
      </c>
      <c r="D1187" s="8">
        <f>IFERROR(__xludf.DUMMYFUNCTION("IFERROR(VLOOKUP(C1187,IMPORTRANGE(""https://docs.google.com/spreadsheets/d/10KlTSftfC81rs2H7Cf6EIR7VWS3omC-2kwzaThHv16k/edit#gid=0"",""NSE Input VaR+ELM!D:J""),7,0),100)"),29.2)</f>
        <v>29.2</v>
      </c>
      <c r="E1187" s="7">
        <f t="shared" si="1"/>
        <v>70.8</v>
      </c>
      <c r="F1187" s="9" t="s">
        <v>10</v>
      </c>
    </row>
    <row r="1188">
      <c r="A1188" s="7">
        <v>1182.0</v>
      </c>
      <c r="B1188" s="10" t="s">
        <v>2372</v>
      </c>
      <c r="C1188" s="10" t="s">
        <v>2373</v>
      </c>
      <c r="D1188" s="8">
        <f>IFERROR(__xludf.DUMMYFUNCTION("IFERROR(VLOOKUP(C1188,IMPORTRANGE(""https://docs.google.com/spreadsheets/d/10KlTSftfC81rs2H7Cf6EIR7VWS3omC-2kwzaThHv16k/edit#gid=0"",""NSE Input VaR+ELM!D:J""),7,0),100)"),29.39)</f>
        <v>29.39</v>
      </c>
      <c r="E1188" s="7">
        <f t="shared" si="1"/>
        <v>70.61</v>
      </c>
      <c r="F1188" s="9" t="s">
        <v>10</v>
      </c>
    </row>
    <row r="1189">
      <c r="A1189" s="7">
        <v>1183.0</v>
      </c>
      <c r="B1189" s="10" t="s">
        <v>2374</v>
      </c>
      <c r="C1189" s="10" t="s">
        <v>2375</v>
      </c>
      <c r="D1189" s="8">
        <f>IFERROR(__xludf.DUMMYFUNCTION("IFERROR(VLOOKUP(C1189,IMPORTRANGE(""https://docs.google.com/spreadsheets/d/10KlTSftfC81rs2H7Cf6EIR7VWS3omC-2kwzaThHv16k/edit#gid=0"",""NSE Input VaR+ELM!D:J""),7,0),100)"),23.67)</f>
        <v>23.67</v>
      </c>
      <c r="E1189" s="7">
        <f t="shared" si="1"/>
        <v>76.33</v>
      </c>
      <c r="F1189" s="9" t="s">
        <v>10</v>
      </c>
    </row>
    <row r="1190">
      <c r="A1190" s="7">
        <v>1184.0</v>
      </c>
      <c r="B1190" s="10" t="s">
        <v>2376</v>
      </c>
      <c r="C1190" s="10" t="s">
        <v>2377</v>
      </c>
      <c r="D1190" s="8">
        <f>IFERROR(__xludf.DUMMYFUNCTION("IFERROR(VLOOKUP(C1190,IMPORTRANGE(""https://docs.google.com/spreadsheets/d/10KlTSftfC81rs2H7Cf6EIR7VWS3omC-2kwzaThHv16k/edit#gid=0"",""NSE Input VaR+ELM!D:J""),7,0),100)"),27.12)</f>
        <v>27.12</v>
      </c>
      <c r="E1190" s="7">
        <f t="shared" si="1"/>
        <v>72.88</v>
      </c>
      <c r="F1190" s="9" t="s">
        <v>10</v>
      </c>
    </row>
    <row r="1191">
      <c r="A1191" s="7">
        <v>1185.0</v>
      </c>
      <c r="B1191" s="10" t="s">
        <v>2378</v>
      </c>
      <c r="C1191" s="10" t="s">
        <v>2379</v>
      </c>
      <c r="D1191" s="8">
        <f>IFERROR(__xludf.DUMMYFUNCTION("IFERROR(VLOOKUP(C1191,IMPORTRANGE(""https://docs.google.com/spreadsheets/d/10KlTSftfC81rs2H7Cf6EIR7VWS3omC-2kwzaThHv16k/edit#gid=0"",""NSE Input VaR+ELM!D:J""),7,0),100)"),22.33)</f>
        <v>22.33</v>
      </c>
      <c r="E1191" s="7">
        <f t="shared" si="1"/>
        <v>77.67</v>
      </c>
      <c r="F1191" s="9" t="s">
        <v>217</v>
      </c>
    </row>
    <row r="1192">
      <c r="A1192" s="10">
        <v>1186.0</v>
      </c>
      <c r="B1192" s="10" t="s">
        <v>2380</v>
      </c>
      <c r="C1192" s="10" t="s">
        <v>2381</v>
      </c>
      <c r="D1192" s="8">
        <f>IFERROR(__xludf.DUMMYFUNCTION("IFERROR(VLOOKUP(C1192,IMPORTRANGE(""https://docs.google.com/spreadsheets/d/10KlTSftfC81rs2H7Cf6EIR7VWS3omC-2kwzaThHv16k/edit#gid=0"",""NSE Input VaR+ELM!D:J""),7,0),100)"),18.29)</f>
        <v>18.29</v>
      </c>
      <c r="E1192" s="7">
        <f t="shared" si="1"/>
        <v>81.71</v>
      </c>
      <c r="F1192" s="9" t="s">
        <v>10</v>
      </c>
    </row>
    <row r="1193">
      <c r="A1193" s="7">
        <v>1187.0</v>
      </c>
      <c r="B1193" s="10" t="s">
        <v>2382</v>
      </c>
      <c r="C1193" s="10" t="s">
        <v>2383</v>
      </c>
      <c r="D1193" s="8">
        <f>IFERROR(__xludf.DUMMYFUNCTION("IFERROR(VLOOKUP(C1193,IMPORTRANGE(""https://docs.google.com/spreadsheets/d/10KlTSftfC81rs2H7Cf6EIR7VWS3omC-2kwzaThHv16k/edit#gid=0"",""NSE Input VaR+ELM!D:J""),7,0),100)"),25.73)</f>
        <v>25.73</v>
      </c>
      <c r="E1193" s="7">
        <f t="shared" si="1"/>
        <v>74.27</v>
      </c>
      <c r="F1193" s="9" t="s">
        <v>10</v>
      </c>
    </row>
    <row r="1194">
      <c r="A1194" s="7">
        <v>1188.0</v>
      </c>
      <c r="B1194" s="10" t="s">
        <v>2384</v>
      </c>
      <c r="C1194" s="10" t="s">
        <v>2385</v>
      </c>
      <c r="D1194" s="8">
        <f>IFERROR(__xludf.DUMMYFUNCTION("IFERROR(VLOOKUP(C1194,IMPORTRANGE(""https://docs.google.com/spreadsheets/d/10KlTSftfC81rs2H7Cf6EIR7VWS3omC-2kwzaThHv16k/edit#gid=0"",""NSE Input VaR+ELM!D:J""),7,0),100)"),29.46)</f>
        <v>29.46</v>
      </c>
      <c r="E1194" s="7">
        <f t="shared" si="1"/>
        <v>70.54</v>
      </c>
      <c r="F1194" s="9" t="s">
        <v>10</v>
      </c>
    </row>
    <row r="1195">
      <c r="A1195" s="7">
        <v>1189.0</v>
      </c>
      <c r="B1195" s="10" t="s">
        <v>2386</v>
      </c>
      <c r="C1195" s="10" t="s">
        <v>2387</v>
      </c>
      <c r="D1195" s="8">
        <f>IFERROR(__xludf.DUMMYFUNCTION("IFERROR(VLOOKUP(C1195,IMPORTRANGE(""https://docs.google.com/spreadsheets/d/10KlTSftfC81rs2H7Cf6EIR7VWS3omC-2kwzaThHv16k/edit#gid=0"",""NSE Input VaR+ELM!D:J""),7,0),100)"),26.14)</f>
        <v>26.14</v>
      </c>
      <c r="E1195" s="7">
        <f t="shared" si="1"/>
        <v>73.86</v>
      </c>
      <c r="F1195" s="9" t="s">
        <v>10</v>
      </c>
    </row>
    <row r="1196">
      <c r="A1196" s="7">
        <v>1190.0</v>
      </c>
      <c r="B1196" s="10" t="s">
        <v>2388</v>
      </c>
      <c r="C1196" s="10" t="s">
        <v>2389</v>
      </c>
      <c r="D1196" s="8">
        <f>IFERROR(__xludf.DUMMYFUNCTION("IFERROR(VLOOKUP(C1196,IMPORTRANGE(""https://docs.google.com/spreadsheets/d/10KlTSftfC81rs2H7Cf6EIR7VWS3omC-2kwzaThHv16k/edit#gid=0"",""NSE Input VaR+ELM!D:J""),7,0),100)"),16.27)</f>
        <v>16.27</v>
      </c>
      <c r="E1196" s="7">
        <f t="shared" si="1"/>
        <v>83.73</v>
      </c>
      <c r="F1196" s="9" t="s">
        <v>10</v>
      </c>
    </row>
    <row r="1197">
      <c r="A1197" s="7">
        <v>1191.0</v>
      </c>
      <c r="B1197" s="10" t="s">
        <v>2390</v>
      </c>
      <c r="C1197" s="10" t="s">
        <v>2391</v>
      </c>
      <c r="D1197" s="8">
        <f>IFERROR(__xludf.DUMMYFUNCTION("IFERROR(VLOOKUP(C1197,IMPORTRANGE(""https://docs.google.com/spreadsheets/d/10KlTSftfC81rs2H7Cf6EIR7VWS3omC-2kwzaThHv16k/edit#gid=0"",""NSE Input VaR+ELM!D:J""),7,0),100)"),18.48)</f>
        <v>18.48</v>
      </c>
      <c r="E1197" s="7">
        <f t="shared" si="1"/>
        <v>81.52</v>
      </c>
      <c r="F1197" s="9" t="s">
        <v>10</v>
      </c>
    </row>
    <row r="1198">
      <c r="A1198" s="7">
        <v>1192.0</v>
      </c>
      <c r="B1198" s="10" t="s">
        <v>2392</v>
      </c>
      <c r="C1198" s="10" t="s">
        <v>2393</v>
      </c>
      <c r="D1198" s="8">
        <f>IFERROR(__xludf.DUMMYFUNCTION("IFERROR(VLOOKUP(C1198,IMPORTRANGE(""https://docs.google.com/spreadsheets/d/10KlTSftfC81rs2H7Cf6EIR7VWS3omC-2kwzaThHv16k/edit#gid=0"",""NSE Input VaR+ELM!D:J""),7,0),100)"),21.63)</f>
        <v>21.63</v>
      </c>
      <c r="E1198" s="7">
        <f t="shared" si="1"/>
        <v>78.37</v>
      </c>
      <c r="F1198" s="9" t="s">
        <v>10</v>
      </c>
    </row>
    <row r="1199">
      <c r="A1199" s="7">
        <v>1193.0</v>
      </c>
      <c r="B1199" s="10" t="s">
        <v>2394</v>
      </c>
      <c r="C1199" s="10" t="s">
        <v>2395</v>
      </c>
      <c r="D1199" s="8">
        <f>IFERROR(__xludf.DUMMYFUNCTION("IFERROR(VLOOKUP(C1199,IMPORTRANGE(""https://docs.google.com/spreadsheets/d/10KlTSftfC81rs2H7Cf6EIR7VWS3omC-2kwzaThHv16k/edit#gid=0"",""NSE Input VaR+ELM!D:J""),7,0),100)"),24.84)</f>
        <v>24.84</v>
      </c>
      <c r="E1199" s="7">
        <f t="shared" si="1"/>
        <v>75.16</v>
      </c>
      <c r="F1199" s="9" t="s">
        <v>10</v>
      </c>
    </row>
    <row r="1200">
      <c r="A1200" s="10">
        <v>1194.0</v>
      </c>
      <c r="B1200" s="10" t="s">
        <v>2396</v>
      </c>
      <c r="C1200" s="10" t="s">
        <v>2397</v>
      </c>
      <c r="D1200" s="8">
        <f>IFERROR(__xludf.DUMMYFUNCTION("IFERROR(VLOOKUP(C1200,IMPORTRANGE(""https://docs.google.com/spreadsheets/d/10KlTSftfC81rs2H7Cf6EIR7VWS3omC-2kwzaThHv16k/edit#gid=0"",""NSE Input VaR+ELM!D:J""),7,0),100)"),14.97)</f>
        <v>14.97</v>
      </c>
      <c r="E1200" s="7">
        <f t="shared" si="1"/>
        <v>85.03</v>
      </c>
      <c r="F1200" s="9" t="s">
        <v>10</v>
      </c>
    </row>
    <row r="1201">
      <c r="A1201" s="7">
        <v>1195.0</v>
      </c>
      <c r="B1201" s="10" t="s">
        <v>2398</v>
      </c>
      <c r="C1201" s="10" t="s">
        <v>2399</v>
      </c>
      <c r="D1201" s="8">
        <f>IFERROR(__xludf.DUMMYFUNCTION("IFERROR(VLOOKUP(C1201,IMPORTRANGE(""https://docs.google.com/spreadsheets/d/10KlTSftfC81rs2H7Cf6EIR7VWS3omC-2kwzaThHv16k/edit#gid=0"",""NSE Input VaR+ELM!D:J""),7,0),100)"),22.14)</f>
        <v>22.14</v>
      </c>
      <c r="E1201" s="7">
        <f t="shared" si="1"/>
        <v>77.86</v>
      </c>
      <c r="F1201" s="9" t="s">
        <v>10</v>
      </c>
    </row>
    <row r="1202">
      <c r="A1202" s="7">
        <v>1196.0</v>
      </c>
      <c r="B1202" s="10" t="s">
        <v>2400</v>
      </c>
      <c r="C1202" s="10" t="s">
        <v>2401</v>
      </c>
      <c r="D1202" s="8">
        <f>IFERROR(__xludf.DUMMYFUNCTION("IFERROR(VLOOKUP(C1202,IMPORTRANGE(""https://docs.google.com/spreadsheets/d/10KlTSftfC81rs2H7Cf6EIR7VWS3omC-2kwzaThHv16k/edit#gid=0"",""NSE Input VaR+ELM!D:J""),7,0),100)"),15.38)</f>
        <v>15.38</v>
      </c>
      <c r="E1202" s="7">
        <f t="shared" si="1"/>
        <v>84.62</v>
      </c>
      <c r="F1202" s="9" t="s">
        <v>10</v>
      </c>
    </row>
    <row r="1203">
      <c r="A1203" s="7">
        <v>1197.0</v>
      </c>
      <c r="B1203" s="10" t="s">
        <v>2402</v>
      </c>
      <c r="C1203" s="10" t="s">
        <v>2403</v>
      </c>
      <c r="D1203" s="8">
        <f>IFERROR(__xludf.DUMMYFUNCTION("IFERROR(VLOOKUP(C1203,IMPORTRANGE(""https://docs.google.com/spreadsheets/d/10KlTSftfC81rs2H7Cf6EIR7VWS3omC-2kwzaThHv16k/edit#gid=0"",""NSE Input VaR+ELM!D:J""),7,0),100)"),16.55)</f>
        <v>16.55</v>
      </c>
      <c r="E1203" s="7">
        <f t="shared" si="1"/>
        <v>83.45</v>
      </c>
      <c r="F1203" s="9" t="s">
        <v>217</v>
      </c>
    </row>
    <row r="1204">
      <c r="A1204" s="7">
        <v>1198.0</v>
      </c>
      <c r="B1204" s="10" t="s">
        <v>2404</v>
      </c>
      <c r="C1204" s="10" t="s">
        <v>2405</v>
      </c>
      <c r="D1204" s="8">
        <f>IFERROR(__xludf.DUMMYFUNCTION("IFERROR(VLOOKUP(C1204,IMPORTRANGE(""https://docs.google.com/spreadsheets/d/10KlTSftfC81rs2H7Cf6EIR7VWS3omC-2kwzaThHv16k/edit#gid=0"",""NSE Input VaR+ELM!D:J""),7,0),100)"),20.37)</f>
        <v>20.37</v>
      </c>
      <c r="E1204" s="7">
        <f t="shared" si="1"/>
        <v>79.63</v>
      </c>
      <c r="F1204" s="9" t="s">
        <v>10</v>
      </c>
    </row>
    <row r="1205">
      <c r="A1205" s="7">
        <v>1199.0</v>
      </c>
      <c r="B1205" s="10" t="s">
        <v>2406</v>
      </c>
      <c r="C1205" s="10" t="s">
        <v>2407</v>
      </c>
      <c r="D1205" s="8">
        <f>IFERROR(__xludf.DUMMYFUNCTION("IFERROR(VLOOKUP(C1205,IMPORTRANGE(""https://docs.google.com/spreadsheets/d/10KlTSftfC81rs2H7Cf6EIR7VWS3omC-2kwzaThHv16k/edit#gid=0"",""NSE Input VaR+ELM!D:J""),7,0),100)"),21.51)</f>
        <v>21.51</v>
      </c>
      <c r="E1205" s="7">
        <f t="shared" si="1"/>
        <v>78.49</v>
      </c>
      <c r="F1205" s="9" t="s">
        <v>10</v>
      </c>
    </row>
    <row r="1206">
      <c r="A1206" s="7">
        <v>1200.0</v>
      </c>
      <c r="B1206" s="10" t="s">
        <v>2408</v>
      </c>
      <c r="C1206" s="10" t="s">
        <v>2409</v>
      </c>
      <c r="D1206" s="8">
        <f>IFERROR(__xludf.DUMMYFUNCTION("IFERROR(VLOOKUP(C1206,IMPORTRANGE(""https://docs.google.com/spreadsheets/d/10KlTSftfC81rs2H7Cf6EIR7VWS3omC-2kwzaThHv16k/edit#gid=0"",""NSE Input VaR+ELM!D:J""),7,0),100)"),18.82)</f>
        <v>18.82</v>
      </c>
      <c r="E1206" s="7">
        <f t="shared" si="1"/>
        <v>81.18</v>
      </c>
      <c r="F1206" s="9" t="s">
        <v>217</v>
      </c>
    </row>
    <row r="1207">
      <c r="A1207" s="7">
        <v>1201.0</v>
      </c>
      <c r="B1207" s="10" t="s">
        <v>2410</v>
      </c>
      <c r="C1207" s="10" t="s">
        <v>2411</v>
      </c>
      <c r="D1207" s="8">
        <f>IFERROR(__xludf.DUMMYFUNCTION("IFERROR(VLOOKUP(C1207,IMPORTRANGE(""https://docs.google.com/spreadsheets/d/10KlTSftfC81rs2H7Cf6EIR7VWS3omC-2kwzaThHv16k/edit#gid=0"",""NSE Input VaR+ELM!D:J""),7,0),100)"),24.71)</f>
        <v>24.71</v>
      </c>
      <c r="E1207" s="7">
        <f t="shared" si="1"/>
        <v>75.29</v>
      </c>
      <c r="F1207" s="9" t="s">
        <v>10</v>
      </c>
    </row>
    <row r="1208">
      <c r="A1208" s="7">
        <v>1202.0</v>
      </c>
      <c r="B1208" s="10" t="s">
        <v>2412</v>
      </c>
      <c r="C1208" s="10" t="s">
        <v>2413</v>
      </c>
      <c r="D1208" s="8">
        <f>IFERROR(__xludf.DUMMYFUNCTION("IFERROR(VLOOKUP(C1208,IMPORTRANGE(""https://docs.google.com/spreadsheets/d/10KlTSftfC81rs2H7Cf6EIR7VWS3omC-2kwzaThHv16k/edit#gid=0"",""NSE Input VaR+ELM!D:J""),7,0),100)"),21.38)</f>
        <v>21.38</v>
      </c>
      <c r="E1208" s="7">
        <f t="shared" si="1"/>
        <v>78.62</v>
      </c>
      <c r="F1208" s="9" t="s">
        <v>217</v>
      </c>
    </row>
    <row r="1209">
      <c r="A1209" s="7">
        <v>1203.0</v>
      </c>
      <c r="B1209" s="10" t="s">
        <v>2414</v>
      </c>
      <c r="C1209" s="10" t="s">
        <v>2415</v>
      </c>
      <c r="D1209" s="8">
        <f>IFERROR(__xludf.DUMMYFUNCTION("IFERROR(VLOOKUP(C1209,IMPORTRANGE(""https://docs.google.com/spreadsheets/d/10KlTSftfC81rs2H7Cf6EIR7VWS3omC-2kwzaThHv16k/edit#gid=0"",""NSE Input VaR+ELM!D:J""),7,0),100)"),19.26)</f>
        <v>19.26</v>
      </c>
      <c r="E1209" s="7">
        <f t="shared" si="1"/>
        <v>80.74</v>
      </c>
      <c r="F1209" s="9" t="s">
        <v>10</v>
      </c>
    </row>
    <row r="1210">
      <c r="A1210" s="7">
        <v>1204.0</v>
      </c>
      <c r="B1210" s="10" t="s">
        <v>2416</v>
      </c>
      <c r="C1210" s="10" t="s">
        <v>2417</v>
      </c>
      <c r="D1210" s="8">
        <f>IFERROR(__xludf.DUMMYFUNCTION("IFERROR(VLOOKUP(C1210,IMPORTRANGE(""https://docs.google.com/spreadsheets/d/10KlTSftfC81rs2H7Cf6EIR7VWS3omC-2kwzaThHv16k/edit#gid=0"",""NSE Input VaR+ELM!D:J""),7,0),100)"),23.42)</f>
        <v>23.42</v>
      </c>
      <c r="E1210" s="7">
        <f t="shared" si="1"/>
        <v>76.58</v>
      </c>
      <c r="F1210" s="9" t="s">
        <v>10</v>
      </c>
    </row>
    <row r="1211">
      <c r="A1211" s="7">
        <v>1205.0</v>
      </c>
      <c r="B1211" s="10" t="s">
        <v>2418</v>
      </c>
      <c r="C1211" s="10" t="s">
        <v>2419</v>
      </c>
      <c r="D1211" s="8">
        <f>IFERROR(__xludf.DUMMYFUNCTION("IFERROR(VLOOKUP(C1211,IMPORTRANGE(""https://docs.google.com/spreadsheets/d/10KlTSftfC81rs2H7Cf6EIR7VWS3omC-2kwzaThHv16k/edit#gid=0"",""NSE Input VaR+ELM!D:J""),7,0),100)"),24.79)</f>
        <v>24.79</v>
      </c>
      <c r="E1211" s="7">
        <f t="shared" si="1"/>
        <v>75.21</v>
      </c>
      <c r="F1211" s="9" t="s">
        <v>10</v>
      </c>
    </row>
    <row r="1212">
      <c r="A1212" s="7">
        <v>1206.0</v>
      </c>
      <c r="B1212" s="10" t="s">
        <v>2420</v>
      </c>
      <c r="C1212" s="10" t="s">
        <v>2421</v>
      </c>
      <c r="D1212" s="8">
        <f>IFERROR(__xludf.DUMMYFUNCTION("IFERROR(VLOOKUP(C1212,IMPORTRANGE(""https://docs.google.com/spreadsheets/d/10KlTSftfC81rs2H7Cf6EIR7VWS3omC-2kwzaThHv16k/edit#gid=0"",""NSE Input VaR+ELM!D:J""),7,0),100)"),20.05)</f>
        <v>20.05</v>
      </c>
      <c r="E1212" s="7">
        <f t="shared" si="1"/>
        <v>79.95</v>
      </c>
      <c r="F1212" s="9" t="s">
        <v>10</v>
      </c>
    </row>
    <row r="1213">
      <c r="A1213" s="7">
        <v>1207.0</v>
      </c>
      <c r="B1213" s="10" t="s">
        <v>2422</v>
      </c>
      <c r="C1213" s="10" t="s">
        <v>2423</v>
      </c>
      <c r="D1213" s="8">
        <f>IFERROR(__xludf.DUMMYFUNCTION("IFERROR(VLOOKUP(C1213,IMPORTRANGE(""https://docs.google.com/spreadsheets/d/10KlTSftfC81rs2H7Cf6EIR7VWS3omC-2kwzaThHv16k/edit#gid=0"",""NSE Input VaR+ELM!D:J""),7,0),100)"),30.39)</f>
        <v>30.39</v>
      </c>
      <c r="E1213" s="7">
        <f t="shared" si="1"/>
        <v>69.61</v>
      </c>
      <c r="F1213" s="9" t="s">
        <v>10</v>
      </c>
    </row>
    <row r="1214">
      <c r="A1214" s="7">
        <v>1208.0</v>
      </c>
      <c r="B1214" s="10" t="s">
        <v>2424</v>
      </c>
      <c r="C1214" s="10" t="s">
        <v>2425</v>
      </c>
      <c r="D1214" s="8">
        <f>IFERROR(__xludf.DUMMYFUNCTION("IFERROR(VLOOKUP(C1214,IMPORTRANGE(""https://docs.google.com/spreadsheets/d/10KlTSftfC81rs2H7Cf6EIR7VWS3omC-2kwzaThHv16k/edit#gid=0"",""NSE Input VaR+ELM!D:J""),7,0),100)"),22.56)</f>
        <v>22.56</v>
      </c>
      <c r="E1214" s="7">
        <f t="shared" si="1"/>
        <v>77.44</v>
      </c>
      <c r="F1214" s="9" t="s">
        <v>217</v>
      </c>
    </row>
    <row r="1215">
      <c r="A1215" s="7">
        <v>1209.0</v>
      </c>
      <c r="B1215" s="10" t="s">
        <v>2426</v>
      </c>
      <c r="C1215" s="10" t="s">
        <v>2427</v>
      </c>
      <c r="D1215" s="8">
        <f>IFERROR(__xludf.DUMMYFUNCTION("IFERROR(VLOOKUP(C1215,IMPORTRANGE(""https://docs.google.com/spreadsheets/d/10KlTSftfC81rs2H7Cf6EIR7VWS3omC-2kwzaThHv16k/edit#gid=0"",""NSE Input VaR+ELM!D:J""),7,0),100)"),20.82)</f>
        <v>20.82</v>
      </c>
      <c r="E1215" s="7">
        <f t="shared" si="1"/>
        <v>79.18</v>
      </c>
      <c r="F1215" s="9" t="s">
        <v>10</v>
      </c>
    </row>
    <row r="1216">
      <c r="A1216" s="7">
        <v>1210.0</v>
      </c>
      <c r="B1216" s="10" t="s">
        <v>2428</v>
      </c>
      <c r="C1216" s="10" t="s">
        <v>2429</v>
      </c>
      <c r="D1216" s="8">
        <f>IFERROR(__xludf.DUMMYFUNCTION("IFERROR(VLOOKUP(C1216,IMPORTRANGE(""https://docs.google.com/spreadsheets/d/10KlTSftfC81rs2H7Cf6EIR7VWS3omC-2kwzaThHv16k/edit#gid=0"",""NSE Input VaR+ELM!D:J""),7,0),100)"),35.0)</f>
        <v>35</v>
      </c>
      <c r="E1216" s="7">
        <f t="shared" si="1"/>
        <v>65</v>
      </c>
      <c r="F1216" s="9" t="s">
        <v>10</v>
      </c>
    </row>
    <row r="1217">
      <c r="A1217" s="7">
        <v>1211.0</v>
      </c>
      <c r="B1217" s="10" t="s">
        <v>2430</v>
      </c>
      <c r="C1217" s="10" t="s">
        <v>2431</v>
      </c>
      <c r="D1217" s="8">
        <f>IFERROR(__xludf.DUMMYFUNCTION("IFERROR(VLOOKUP(C1217,IMPORTRANGE(""https://docs.google.com/spreadsheets/d/10KlTSftfC81rs2H7Cf6EIR7VWS3omC-2kwzaThHv16k/edit#gid=0"",""NSE Input VaR+ELM!D:J""),7,0),100)"),19.43)</f>
        <v>19.43</v>
      </c>
      <c r="E1217" s="7">
        <f t="shared" si="1"/>
        <v>80.57</v>
      </c>
      <c r="F1217" s="9" t="s">
        <v>10</v>
      </c>
    </row>
    <row r="1218">
      <c r="A1218" s="7">
        <v>1212.0</v>
      </c>
      <c r="B1218" s="10" t="s">
        <v>2432</v>
      </c>
      <c r="C1218" s="10" t="s">
        <v>2433</v>
      </c>
      <c r="D1218" s="8">
        <f>IFERROR(__xludf.DUMMYFUNCTION("IFERROR(VLOOKUP(C1218,IMPORTRANGE(""https://docs.google.com/spreadsheets/d/10KlTSftfC81rs2H7Cf6EIR7VWS3omC-2kwzaThHv16k/edit#gid=0"",""NSE Input VaR+ELM!D:J""),7,0),100)"),32.46)</f>
        <v>32.46</v>
      </c>
      <c r="E1218" s="7">
        <f t="shared" si="1"/>
        <v>67.54</v>
      </c>
      <c r="F1218" s="9" t="s">
        <v>10</v>
      </c>
    </row>
    <row r="1219">
      <c r="A1219" s="7">
        <v>1213.0</v>
      </c>
      <c r="B1219" s="10" t="s">
        <v>2434</v>
      </c>
      <c r="C1219" s="10" t="s">
        <v>2435</v>
      </c>
      <c r="D1219" s="8">
        <f>IFERROR(__xludf.DUMMYFUNCTION("IFERROR(VLOOKUP(C1219,IMPORTRANGE(""https://docs.google.com/spreadsheets/d/10KlTSftfC81rs2H7Cf6EIR7VWS3omC-2kwzaThHv16k/edit#gid=0"",""NSE Input VaR+ELM!D:J""),7,0),100)"),25.71)</f>
        <v>25.71</v>
      </c>
      <c r="E1219" s="7">
        <f t="shared" si="1"/>
        <v>74.29</v>
      </c>
      <c r="F1219" s="9" t="s">
        <v>10</v>
      </c>
    </row>
    <row r="1220">
      <c r="A1220" s="7">
        <v>1214.0</v>
      </c>
      <c r="B1220" s="10" t="s">
        <v>2436</v>
      </c>
      <c r="C1220" s="10" t="s">
        <v>2437</v>
      </c>
      <c r="D1220" s="8">
        <f>IFERROR(__xludf.DUMMYFUNCTION("IFERROR(VLOOKUP(C1220,IMPORTRANGE(""https://docs.google.com/spreadsheets/d/10KlTSftfC81rs2H7Cf6EIR7VWS3omC-2kwzaThHv16k/edit#gid=0"",""NSE Input VaR+ELM!D:J""),7,0),100)"),23.26)</f>
        <v>23.26</v>
      </c>
      <c r="E1220" s="7">
        <f t="shared" si="1"/>
        <v>76.74</v>
      </c>
      <c r="F1220" s="9" t="s">
        <v>10</v>
      </c>
    </row>
    <row r="1221">
      <c r="A1221" s="7">
        <v>1215.0</v>
      </c>
      <c r="B1221" s="10" t="s">
        <v>2438</v>
      </c>
      <c r="C1221" s="10" t="s">
        <v>2439</v>
      </c>
      <c r="D1221" s="8">
        <f>IFERROR(__xludf.DUMMYFUNCTION("IFERROR(VLOOKUP(C1221,IMPORTRANGE(""https://docs.google.com/spreadsheets/d/10KlTSftfC81rs2H7Cf6EIR7VWS3omC-2kwzaThHv16k/edit#gid=0"",""NSE Input VaR+ELM!D:J""),7,0),100)"),28.11)</f>
        <v>28.11</v>
      </c>
      <c r="E1221" s="7">
        <f t="shared" si="1"/>
        <v>71.89</v>
      </c>
      <c r="F1221" s="9" t="s">
        <v>10</v>
      </c>
    </row>
    <row r="1222">
      <c r="A1222" s="7">
        <v>1216.0</v>
      </c>
      <c r="B1222" s="10" t="s">
        <v>2440</v>
      </c>
      <c r="C1222" s="10" t="s">
        <v>2441</v>
      </c>
      <c r="D1222" s="8">
        <f>IFERROR(__xludf.DUMMYFUNCTION("IFERROR(VLOOKUP(C1222,IMPORTRANGE(""https://docs.google.com/spreadsheets/d/10KlTSftfC81rs2H7Cf6EIR7VWS3omC-2kwzaThHv16k/edit#gid=0"",""NSE Input VaR+ELM!D:J""),7,0),100)"),27.3)</f>
        <v>27.3</v>
      </c>
      <c r="E1222" s="7">
        <f t="shared" si="1"/>
        <v>72.7</v>
      </c>
      <c r="F1222" s="9" t="s">
        <v>10</v>
      </c>
    </row>
    <row r="1223">
      <c r="A1223" s="7">
        <v>1217.0</v>
      </c>
      <c r="B1223" s="10" t="s">
        <v>2442</v>
      </c>
      <c r="C1223" s="10" t="s">
        <v>2443</v>
      </c>
      <c r="D1223" s="8">
        <f>IFERROR(__xludf.DUMMYFUNCTION("IFERROR(VLOOKUP(C1223,IMPORTRANGE(""https://docs.google.com/spreadsheets/d/10KlTSftfC81rs2H7Cf6EIR7VWS3omC-2kwzaThHv16k/edit#gid=0"",""NSE Input VaR+ELM!D:J""),7,0),100)"),24.24)</f>
        <v>24.24</v>
      </c>
      <c r="E1223" s="7">
        <f t="shared" si="1"/>
        <v>75.76</v>
      </c>
      <c r="F1223" s="9" t="s">
        <v>10</v>
      </c>
    </row>
    <row r="1224">
      <c r="A1224" s="7">
        <v>1218.0</v>
      </c>
      <c r="B1224" s="10" t="s">
        <v>2444</v>
      </c>
      <c r="C1224" s="10" t="s">
        <v>2445</v>
      </c>
      <c r="D1224" s="8">
        <f>IFERROR(__xludf.DUMMYFUNCTION("IFERROR(VLOOKUP(C1224,IMPORTRANGE(""https://docs.google.com/spreadsheets/d/10KlTSftfC81rs2H7Cf6EIR7VWS3omC-2kwzaThHv16k/edit#gid=0"",""NSE Input VaR+ELM!D:J""),7,0),100)"),23.8)</f>
        <v>23.8</v>
      </c>
      <c r="E1224" s="7">
        <f t="shared" si="1"/>
        <v>76.2</v>
      </c>
      <c r="F1224" s="9" t="s">
        <v>10</v>
      </c>
    </row>
    <row r="1225">
      <c r="A1225" s="7">
        <v>1219.0</v>
      </c>
      <c r="B1225" s="10" t="s">
        <v>2446</v>
      </c>
      <c r="C1225" s="10" t="s">
        <v>2447</v>
      </c>
      <c r="D1225" s="8">
        <f>IFERROR(__xludf.DUMMYFUNCTION("IFERROR(VLOOKUP(C1225,IMPORTRANGE(""https://docs.google.com/spreadsheets/d/10KlTSftfC81rs2H7Cf6EIR7VWS3omC-2kwzaThHv16k/edit#gid=0"",""NSE Input VaR+ELM!D:J""),7,0),100)"),25.19)</f>
        <v>25.19</v>
      </c>
      <c r="E1225" s="7">
        <f t="shared" si="1"/>
        <v>74.81</v>
      </c>
      <c r="F1225" s="9" t="s">
        <v>10</v>
      </c>
    </row>
    <row r="1226">
      <c r="A1226" s="7">
        <v>1220.0</v>
      </c>
      <c r="B1226" s="10" t="s">
        <v>2448</v>
      </c>
      <c r="C1226" s="10" t="s">
        <v>2449</v>
      </c>
      <c r="D1226" s="8">
        <f>IFERROR(__xludf.DUMMYFUNCTION("IFERROR(VLOOKUP(C1226,IMPORTRANGE(""https://docs.google.com/spreadsheets/d/10KlTSftfC81rs2H7Cf6EIR7VWS3omC-2kwzaThHv16k/edit#gid=0"",""NSE Input VaR+ELM!D:J""),7,0),100)"),27.75)</f>
        <v>27.75</v>
      </c>
      <c r="E1226" s="7">
        <f t="shared" si="1"/>
        <v>72.25</v>
      </c>
      <c r="F1226" s="9" t="s">
        <v>217</v>
      </c>
    </row>
    <row r="1227">
      <c r="A1227" s="7">
        <v>1221.0</v>
      </c>
      <c r="B1227" s="10" t="s">
        <v>2450</v>
      </c>
      <c r="C1227" s="10" t="s">
        <v>2451</v>
      </c>
      <c r="D1227" s="8">
        <f>IFERROR(__xludf.DUMMYFUNCTION("IFERROR(VLOOKUP(C1227,IMPORTRANGE(""https://docs.google.com/spreadsheets/d/10KlTSftfC81rs2H7Cf6EIR7VWS3omC-2kwzaThHv16k/edit#gid=0"",""NSE Input VaR+ELM!D:J""),7,0),100)"),19.09)</f>
        <v>19.09</v>
      </c>
      <c r="E1227" s="7">
        <f t="shared" si="1"/>
        <v>80.91</v>
      </c>
      <c r="F1227" s="9" t="s">
        <v>10</v>
      </c>
    </row>
    <row r="1228">
      <c r="A1228" s="7">
        <v>1222.0</v>
      </c>
      <c r="B1228" s="10" t="s">
        <v>2452</v>
      </c>
      <c r="C1228" s="10" t="s">
        <v>2453</v>
      </c>
      <c r="D1228" s="8">
        <f>IFERROR(__xludf.DUMMYFUNCTION("IFERROR(VLOOKUP(C1228,IMPORTRANGE(""https://docs.google.com/spreadsheets/d/10KlTSftfC81rs2H7Cf6EIR7VWS3omC-2kwzaThHv16k/edit#gid=0"",""NSE Input VaR+ELM!D:J""),7,0),100)"),21.86)</f>
        <v>21.86</v>
      </c>
      <c r="E1228" s="7">
        <f t="shared" si="1"/>
        <v>78.14</v>
      </c>
      <c r="F1228" s="9" t="s">
        <v>10</v>
      </c>
    </row>
    <row r="1229">
      <c r="A1229" s="7">
        <v>1223.0</v>
      </c>
      <c r="B1229" s="10" t="s">
        <v>2454</v>
      </c>
      <c r="C1229" s="10" t="s">
        <v>2455</v>
      </c>
      <c r="D1229" s="8">
        <f>IFERROR(__xludf.DUMMYFUNCTION("IFERROR(VLOOKUP(C1229,IMPORTRANGE(""https://docs.google.com/spreadsheets/d/10KlTSftfC81rs2H7Cf6EIR7VWS3omC-2kwzaThHv16k/edit#gid=0"",""NSE Input VaR+ELM!D:J""),7,0),100)"),12.5)</f>
        <v>12.5</v>
      </c>
      <c r="E1229" s="7">
        <f t="shared" si="1"/>
        <v>87.5</v>
      </c>
      <c r="F1229" s="9" t="s">
        <v>10</v>
      </c>
    </row>
    <row r="1230">
      <c r="A1230" s="7">
        <v>1224.0</v>
      </c>
      <c r="B1230" s="10" t="s">
        <v>2456</v>
      </c>
      <c r="C1230" s="10" t="s">
        <v>2457</v>
      </c>
      <c r="D1230" s="8">
        <f>IFERROR(__xludf.DUMMYFUNCTION("IFERROR(VLOOKUP(C1230,IMPORTRANGE(""https://docs.google.com/spreadsheets/d/10KlTSftfC81rs2H7Cf6EIR7VWS3omC-2kwzaThHv16k/edit#gid=0"",""NSE Input VaR+ELM!D:J""),7,0),100)"),29.4)</f>
        <v>29.4</v>
      </c>
      <c r="E1230" s="7">
        <f t="shared" si="1"/>
        <v>70.6</v>
      </c>
      <c r="F1230" s="9" t="s">
        <v>217</v>
      </c>
    </row>
    <row r="1231">
      <c r="A1231" s="7">
        <v>1225.0</v>
      </c>
      <c r="B1231" s="10" t="s">
        <v>2458</v>
      </c>
      <c r="C1231" s="10" t="s">
        <v>2459</v>
      </c>
      <c r="D1231" s="8">
        <f>IFERROR(__xludf.DUMMYFUNCTION("IFERROR(VLOOKUP(C1231,IMPORTRANGE(""https://docs.google.com/spreadsheets/d/10KlTSftfC81rs2H7Cf6EIR7VWS3omC-2kwzaThHv16k/edit#gid=0"",""NSE Input VaR+ELM!D:J""),7,0),100)"),28.04)</f>
        <v>28.04</v>
      </c>
      <c r="E1231" s="7">
        <f t="shared" si="1"/>
        <v>71.96</v>
      </c>
      <c r="F1231" s="9" t="s">
        <v>217</v>
      </c>
    </row>
    <row r="1232">
      <c r="A1232" s="7">
        <v>1226.0</v>
      </c>
      <c r="B1232" s="10" t="s">
        <v>2460</v>
      </c>
      <c r="C1232" s="10" t="s">
        <v>2461</v>
      </c>
      <c r="D1232" s="8">
        <f>IFERROR(__xludf.DUMMYFUNCTION("IFERROR(VLOOKUP(C1232,IMPORTRANGE(""https://docs.google.com/spreadsheets/d/10KlTSftfC81rs2H7Cf6EIR7VWS3omC-2kwzaThHv16k/edit#gid=0"",""NSE Input VaR+ELM!D:J""),7,0),100)"),17.52)</f>
        <v>17.52</v>
      </c>
      <c r="E1232" s="7">
        <f t="shared" si="1"/>
        <v>82.48</v>
      </c>
      <c r="F1232" s="9" t="s">
        <v>10</v>
      </c>
    </row>
    <row r="1233">
      <c r="A1233" s="7">
        <v>1227.0</v>
      </c>
      <c r="B1233" s="10" t="s">
        <v>2462</v>
      </c>
      <c r="C1233" s="10" t="s">
        <v>2463</v>
      </c>
      <c r="D1233" s="8">
        <f>IFERROR(__xludf.DUMMYFUNCTION("IFERROR(VLOOKUP(C1233,IMPORTRANGE(""https://docs.google.com/spreadsheets/d/10KlTSftfC81rs2H7Cf6EIR7VWS3omC-2kwzaThHv16k/edit#gid=0"",""NSE Input VaR+ELM!D:J""),7,0),100)"),24.74)</f>
        <v>24.74</v>
      </c>
      <c r="E1233" s="7">
        <f t="shared" si="1"/>
        <v>75.26</v>
      </c>
      <c r="F1233" s="9" t="s">
        <v>217</v>
      </c>
    </row>
    <row r="1234">
      <c r="A1234" s="7">
        <v>1228.0</v>
      </c>
      <c r="B1234" s="10" t="s">
        <v>2464</v>
      </c>
      <c r="C1234" s="10" t="s">
        <v>2465</v>
      </c>
      <c r="D1234" s="8">
        <f>IFERROR(__xludf.DUMMYFUNCTION("IFERROR(VLOOKUP(C1234,IMPORTRANGE(""https://docs.google.com/spreadsheets/d/10KlTSftfC81rs2H7Cf6EIR7VWS3omC-2kwzaThHv16k/edit#gid=0"",""NSE Input VaR+ELM!D:J""),7,0),100)"),15.75)</f>
        <v>15.75</v>
      </c>
      <c r="E1234" s="7">
        <f t="shared" si="1"/>
        <v>84.25</v>
      </c>
      <c r="F1234" s="9" t="s">
        <v>10</v>
      </c>
    </row>
    <row r="1235">
      <c r="A1235" s="7">
        <v>1229.0</v>
      </c>
      <c r="B1235" s="10" t="s">
        <v>2466</v>
      </c>
      <c r="C1235" s="10" t="s">
        <v>2467</v>
      </c>
      <c r="D1235" s="8">
        <f>IFERROR(__xludf.DUMMYFUNCTION("IFERROR(VLOOKUP(C1235,IMPORTRANGE(""https://docs.google.com/spreadsheets/d/10KlTSftfC81rs2H7Cf6EIR7VWS3omC-2kwzaThHv16k/edit#gid=0"",""NSE Input VaR+ELM!D:J""),7,0),100)"),22.23)</f>
        <v>22.23</v>
      </c>
      <c r="E1235" s="7">
        <f t="shared" si="1"/>
        <v>77.77</v>
      </c>
      <c r="F1235" s="9" t="s">
        <v>217</v>
      </c>
    </row>
    <row r="1236">
      <c r="A1236" s="7">
        <v>1230.0</v>
      </c>
      <c r="B1236" s="10" t="s">
        <v>2468</v>
      </c>
      <c r="C1236" s="10" t="s">
        <v>2469</v>
      </c>
      <c r="D1236" s="8">
        <f>IFERROR(__xludf.DUMMYFUNCTION("IFERROR(VLOOKUP(C1236,IMPORTRANGE(""https://docs.google.com/spreadsheets/d/10KlTSftfC81rs2H7Cf6EIR7VWS3omC-2kwzaThHv16k/edit#gid=0"",""NSE Input VaR+ELM!D:J""),7,0),100)"),23.61)</f>
        <v>23.61</v>
      </c>
      <c r="E1236" s="7">
        <f t="shared" si="1"/>
        <v>76.39</v>
      </c>
      <c r="F1236" s="9" t="s">
        <v>217</v>
      </c>
    </row>
    <row r="1237">
      <c r="A1237" s="7">
        <v>1231.0</v>
      </c>
      <c r="B1237" s="10" t="s">
        <v>2470</v>
      </c>
      <c r="C1237" s="10" t="s">
        <v>2471</v>
      </c>
      <c r="D1237" s="8">
        <f>IFERROR(__xludf.DUMMYFUNCTION("IFERROR(VLOOKUP(C1237,IMPORTRANGE(""https://docs.google.com/spreadsheets/d/10KlTSftfC81rs2H7Cf6EIR7VWS3omC-2kwzaThHv16k/edit#gid=0"",""NSE Input VaR+ELM!D:J""),7,0),100)"),18.86)</f>
        <v>18.86</v>
      </c>
      <c r="E1237" s="7">
        <f t="shared" si="1"/>
        <v>81.14</v>
      </c>
      <c r="F1237" s="9" t="s">
        <v>10</v>
      </c>
    </row>
    <row r="1238">
      <c r="A1238" s="7">
        <v>1232.0</v>
      </c>
      <c r="B1238" s="10" t="s">
        <v>2472</v>
      </c>
      <c r="C1238" s="10" t="s">
        <v>2473</v>
      </c>
      <c r="D1238" s="8">
        <f>IFERROR(__xludf.DUMMYFUNCTION("IFERROR(VLOOKUP(C1238,IMPORTRANGE(""https://docs.google.com/spreadsheets/d/10KlTSftfC81rs2H7Cf6EIR7VWS3omC-2kwzaThHv16k/edit#gid=0"",""NSE Input VaR+ELM!D:J""),7,0),100)"),24.36)</f>
        <v>24.36</v>
      </c>
      <c r="E1238" s="7">
        <f t="shared" si="1"/>
        <v>75.64</v>
      </c>
      <c r="F1238" s="9" t="s">
        <v>10</v>
      </c>
    </row>
    <row r="1239">
      <c r="A1239" s="7">
        <v>1233.0</v>
      </c>
      <c r="B1239" s="10" t="s">
        <v>2474</v>
      </c>
      <c r="C1239" s="10" t="s">
        <v>2475</v>
      </c>
      <c r="D1239" s="8">
        <f>IFERROR(__xludf.DUMMYFUNCTION("IFERROR(VLOOKUP(C1239,IMPORTRANGE(""https://docs.google.com/spreadsheets/d/10KlTSftfC81rs2H7Cf6EIR7VWS3omC-2kwzaThHv16k/edit#gid=0"",""NSE Input VaR+ELM!D:J""),7,0),100)"),17.24)</f>
        <v>17.24</v>
      </c>
      <c r="E1239" s="7">
        <f t="shared" si="1"/>
        <v>82.76</v>
      </c>
      <c r="F1239" s="9" t="s">
        <v>10</v>
      </c>
    </row>
    <row r="1240">
      <c r="A1240" s="7">
        <v>1234.0</v>
      </c>
      <c r="B1240" s="10" t="s">
        <v>2476</v>
      </c>
      <c r="C1240" s="10" t="s">
        <v>2477</v>
      </c>
      <c r="D1240" s="8">
        <f>IFERROR(__xludf.DUMMYFUNCTION("IFERROR(VLOOKUP(C1240,IMPORTRANGE(""https://docs.google.com/spreadsheets/d/10KlTSftfC81rs2H7Cf6EIR7VWS3omC-2kwzaThHv16k/edit#gid=0"",""NSE Input VaR+ELM!D:J""),7,0),100)"),20.99)</f>
        <v>20.99</v>
      </c>
      <c r="E1240" s="7">
        <f t="shared" si="1"/>
        <v>79.01</v>
      </c>
      <c r="F1240" s="9" t="s">
        <v>217</v>
      </c>
    </row>
    <row r="1241">
      <c r="A1241" s="7">
        <v>1235.0</v>
      </c>
      <c r="B1241" s="10" t="s">
        <v>2478</v>
      </c>
      <c r="C1241" s="10" t="s">
        <v>2479</v>
      </c>
      <c r="D1241" s="8">
        <f>IFERROR(__xludf.DUMMYFUNCTION("IFERROR(VLOOKUP(C1241,IMPORTRANGE(""https://docs.google.com/spreadsheets/d/10KlTSftfC81rs2H7Cf6EIR7VWS3omC-2kwzaThHv16k/edit#gid=0"",""NSE Input VaR+ELM!D:J""),7,0),100)"),100.0)</f>
        <v>100</v>
      </c>
      <c r="E1241" s="7">
        <f t="shared" si="1"/>
        <v>0</v>
      </c>
      <c r="F1241" s="9" t="s">
        <v>10</v>
      </c>
    </row>
    <row r="1242">
      <c r="A1242" s="7">
        <v>1236.0</v>
      </c>
      <c r="B1242" s="10" t="s">
        <v>2480</v>
      </c>
      <c r="C1242" s="10" t="s">
        <v>2481</v>
      </c>
      <c r="D1242" s="8">
        <f>IFERROR(__xludf.DUMMYFUNCTION("IFERROR(VLOOKUP(C1242,IMPORTRANGE(""https://docs.google.com/spreadsheets/d/10KlTSftfC81rs2H7Cf6EIR7VWS3omC-2kwzaThHv16k/edit#gid=0"",""NSE Input VaR+ELM!D:J""),7,0),100)"),20.62)</f>
        <v>20.62</v>
      </c>
      <c r="E1242" s="7">
        <f t="shared" si="1"/>
        <v>79.38</v>
      </c>
      <c r="F1242" s="9" t="s">
        <v>10</v>
      </c>
    </row>
    <row r="1243">
      <c r="A1243" s="7">
        <v>1237.0</v>
      </c>
      <c r="B1243" s="10" t="s">
        <v>2482</v>
      </c>
      <c r="C1243" s="10" t="s">
        <v>2483</v>
      </c>
      <c r="D1243" s="8">
        <f>IFERROR(__xludf.DUMMYFUNCTION("IFERROR(VLOOKUP(C1243,IMPORTRANGE(""https://docs.google.com/spreadsheets/d/10KlTSftfC81rs2H7Cf6EIR7VWS3omC-2kwzaThHv16k/edit#gid=0"",""NSE Input VaR+ELM!D:J""),7,0),100)"),20.29)</f>
        <v>20.29</v>
      </c>
      <c r="E1243" s="7">
        <f t="shared" si="1"/>
        <v>79.71</v>
      </c>
      <c r="F1243" s="9" t="s">
        <v>10</v>
      </c>
    </row>
    <row r="1244">
      <c r="A1244" s="7">
        <v>1238.0</v>
      </c>
      <c r="B1244" s="10" t="s">
        <v>2484</v>
      </c>
      <c r="C1244" s="10" t="s">
        <v>2485</v>
      </c>
      <c r="D1244" s="8">
        <f>IFERROR(__xludf.DUMMYFUNCTION("IFERROR(VLOOKUP(C1244,IMPORTRANGE(""https://docs.google.com/spreadsheets/d/10KlTSftfC81rs2H7Cf6EIR7VWS3omC-2kwzaThHv16k/edit#gid=0"",""NSE Input VaR+ELM!D:J""),7,0),100)"),25.33)</f>
        <v>25.33</v>
      </c>
      <c r="E1244" s="7">
        <f t="shared" si="1"/>
        <v>74.67</v>
      </c>
      <c r="F1244" s="9" t="s">
        <v>217</v>
      </c>
    </row>
    <row r="1245">
      <c r="A1245" s="7">
        <v>1239.0</v>
      </c>
      <c r="B1245" s="10" t="s">
        <v>2486</v>
      </c>
      <c r="C1245" s="10" t="s">
        <v>2487</v>
      </c>
      <c r="D1245" s="8">
        <f>IFERROR(__xludf.DUMMYFUNCTION("IFERROR(VLOOKUP(C1245,IMPORTRANGE(""https://docs.google.com/spreadsheets/d/10KlTSftfC81rs2H7Cf6EIR7VWS3omC-2kwzaThHv16k/edit#gid=0"",""NSE Input VaR+ELM!D:J""),7,0),100)"),35.0)</f>
        <v>35</v>
      </c>
      <c r="E1245" s="7">
        <f t="shared" si="1"/>
        <v>65</v>
      </c>
      <c r="F1245" s="9" t="s">
        <v>10</v>
      </c>
    </row>
    <row r="1246">
      <c r="A1246" s="7">
        <v>1240.0</v>
      </c>
      <c r="B1246" s="10" t="s">
        <v>2488</v>
      </c>
      <c r="C1246" s="10" t="s">
        <v>2489</v>
      </c>
      <c r="D1246" s="8">
        <f>IFERROR(__xludf.DUMMYFUNCTION("IFERROR(VLOOKUP(C1246,IMPORTRANGE(""https://docs.google.com/spreadsheets/d/10KlTSftfC81rs2H7Cf6EIR7VWS3omC-2kwzaThHv16k/edit#gid=0"",""NSE Input VaR+ELM!D:J""),7,0),100)"),22.47)</f>
        <v>22.47</v>
      </c>
      <c r="E1246" s="7">
        <f t="shared" si="1"/>
        <v>77.53</v>
      </c>
      <c r="F1246" s="9" t="s">
        <v>10</v>
      </c>
    </row>
    <row r="1247">
      <c r="A1247" s="7">
        <v>1241.0</v>
      </c>
      <c r="B1247" s="10" t="s">
        <v>2490</v>
      </c>
      <c r="C1247" s="10" t="s">
        <v>2491</v>
      </c>
      <c r="D1247" s="8">
        <f>IFERROR(__xludf.DUMMYFUNCTION("IFERROR(VLOOKUP(C1247,IMPORTRANGE(""https://docs.google.com/spreadsheets/d/10KlTSftfC81rs2H7Cf6EIR7VWS3omC-2kwzaThHv16k/edit#gid=0"",""NSE Input VaR+ELM!D:J""),7,0),100)"),23.13)</f>
        <v>23.13</v>
      </c>
      <c r="E1247" s="7">
        <f t="shared" si="1"/>
        <v>76.87</v>
      </c>
      <c r="F1247" s="9" t="s">
        <v>217</v>
      </c>
    </row>
    <row r="1248">
      <c r="A1248" s="7">
        <v>1242.0</v>
      </c>
      <c r="B1248" s="10" t="s">
        <v>2492</v>
      </c>
      <c r="C1248" s="10" t="s">
        <v>2493</v>
      </c>
      <c r="D1248" s="8">
        <f>IFERROR(__xludf.DUMMYFUNCTION("IFERROR(VLOOKUP(C1248,IMPORTRANGE(""https://docs.google.com/spreadsheets/d/10KlTSftfC81rs2H7Cf6EIR7VWS3omC-2kwzaThHv16k/edit#gid=0"",""NSE Input VaR+ELM!D:J""),7,0),100)"),19.51)</f>
        <v>19.51</v>
      </c>
      <c r="E1248" s="7">
        <f t="shared" si="1"/>
        <v>80.49</v>
      </c>
      <c r="F1248" s="9" t="s">
        <v>10</v>
      </c>
    </row>
    <row r="1249">
      <c r="A1249" s="7">
        <v>1243.0</v>
      </c>
      <c r="B1249" s="10" t="s">
        <v>2494</v>
      </c>
      <c r="C1249" s="10" t="s">
        <v>2495</v>
      </c>
      <c r="D1249" s="8">
        <f>IFERROR(__xludf.DUMMYFUNCTION("IFERROR(VLOOKUP(C1249,IMPORTRANGE(""https://docs.google.com/spreadsheets/d/10KlTSftfC81rs2H7Cf6EIR7VWS3omC-2kwzaThHv16k/edit#gid=0"",""NSE Input VaR+ELM!D:J""),7,0),100)"),21.95)</f>
        <v>21.95</v>
      </c>
      <c r="E1249" s="7">
        <f t="shared" si="1"/>
        <v>78.05</v>
      </c>
      <c r="F1249" s="9" t="s">
        <v>10</v>
      </c>
    </row>
    <row r="1250">
      <c r="A1250" s="7">
        <v>1244.0</v>
      </c>
      <c r="B1250" s="10" t="s">
        <v>2496</v>
      </c>
      <c r="C1250" s="10" t="s">
        <v>2497</v>
      </c>
      <c r="D1250" s="8">
        <f>IFERROR(__xludf.DUMMYFUNCTION("IFERROR(VLOOKUP(C1250,IMPORTRANGE(""https://docs.google.com/spreadsheets/d/10KlTSftfC81rs2H7Cf6EIR7VWS3omC-2kwzaThHv16k/edit#gid=0"",""NSE Input VaR+ELM!D:J""),7,0),100)"),16.42)</f>
        <v>16.42</v>
      </c>
      <c r="E1250" s="7">
        <f t="shared" si="1"/>
        <v>83.58</v>
      </c>
      <c r="F1250" s="9" t="s">
        <v>10</v>
      </c>
    </row>
    <row r="1251">
      <c r="A1251" s="7">
        <v>1245.0</v>
      </c>
      <c r="B1251" s="10" t="s">
        <v>2498</v>
      </c>
      <c r="C1251" s="10" t="s">
        <v>2499</v>
      </c>
      <c r="D1251" s="8">
        <f>IFERROR(__xludf.DUMMYFUNCTION("IFERROR(VLOOKUP(C1251,IMPORTRANGE(""https://docs.google.com/spreadsheets/d/10KlTSftfC81rs2H7Cf6EIR7VWS3omC-2kwzaThHv16k/edit#gid=0"",""NSE Input VaR+ELM!D:J""),7,0),100)"),23.37)</f>
        <v>23.37</v>
      </c>
      <c r="E1251" s="7">
        <f t="shared" si="1"/>
        <v>76.63</v>
      </c>
      <c r="F1251" s="9" t="s">
        <v>10</v>
      </c>
    </row>
    <row r="1252">
      <c r="A1252" s="7">
        <v>1246.0</v>
      </c>
      <c r="B1252" s="10" t="s">
        <v>2500</v>
      </c>
      <c r="C1252" s="10" t="s">
        <v>2501</v>
      </c>
      <c r="D1252" s="8">
        <f>IFERROR(__xludf.DUMMYFUNCTION("IFERROR(VLOOKUP(C1252,IMPORTRANGE(""https://docs.google.com/spreadsheets/d/10KlTSftfC81rs2H7Cf6EIR7VWS3omC-2kwzaThHv16k/edit#gid=0"",""NSE Input VaR+ELM!D:J""),7,0),100)"),22.12)</f>
        <v>22.12</v>
      </c>
      <c r="E1252" s="7">
        <f t="shared" si="1"/>
        <v>77.88</v>
      </c>
      <c r="F1252" s="9" t="s">
        <v>217</v>
      </c>
    </row>
    <row r="1253">
      <c r="A1253" s="7">
        <v>1247.0</v>
      </c>
      <c r="B1253" s="10" t="s">
        <v>2502</v>
      </c>
      <c r="C1253" s="10" t="s">
        <v>2503</v>
      </c>
      <c r="D1253" s="8">
        <f>IFERROR(__xludf.DUMMYFUNCTION("IFERROR(VLOOKUP(C1253,IMPORTRANGE(""https://docs.google.com/spreadsheets/d/10KlTSftfC81rs2H7Cf6EIR7VWS3omC-2kwzaThHv16k/edit#gid=0"",""NSE Input VaR+ELM!D:J""),7,0),100)"),12.5)</f>
        <v>12.5</v>
      </c>
      <c r="E1253" s="7">
        <f t="shared" si="1"/>
        <v>87.5</v>
      </c>
      <c r="F1253" s="9" t="s">
        <v>217</v>
      </c>
    </row>
    <row r="1254">
      <c r="A1254" s="7">
        <v>1248.0</v>
      </c>
      <c r="B1254" s="10" t="s">
        <v>2504</v>
      </c>
      <c r="C1254" s="10" t="s">
        <v>2505</v>
      </c>
      <c r="D1254" s="8">
        <f>IFERROR(__xludf.DUMMYFUNCTION("IFERROR(VLOOKUP(C1254,IMPORTRANGE(""https://docs.google.com/spreadsheets/d/10KlTSftfC81rs2H7Cf6EIR7VWS3omC-2kwzaThHv16k/edit#gid=0"",""NSE Input VaR+ELM!D:J""),7,0),100)"),19.05)</f>
        <v>19.05</v>
      </c>
      <c r="E1254" s="7">
        <f t="shared" si="1"/>
        <v>80.95</v>
      </c>
      <c r="F1254" s="9" t="s">
        <v>10</v>
      </c>
    </row>
    <row r="1255">
      <c r="A1255" s="7">
        <v>1249.0</v>
      </c>
      <c r="B1255" s="10" t="s">
        <v>2506</v>
      </c>
      <c r="C1255" s="10" t="s">
        <v>2507</v>
      </c>
      <c r="D1255" s="8">
        <f>IFERROR(__xludf.DUMMYFUNCTION("IFERROR(VLOOKUP(C1255,IMPORTRANGE(""https://docs.google.com/spreadsheets/d/10KlTSftfC81rs2H7Cf6EIR7VWS3omC-2kwzaThHv16k/edit#gid=0"",""NSE Input VaR+ELM!D:J""),7,0),100)"),23.62)</f>
        <v>23.62</v>
      </c>
      <c r="E1255" s="7">
        <f t="shared" si="1"/>
        <v>76.38</v>
      </c>
      <c r="F1255" s="9" t="s">
        <v>10</v>
      </c>
    </row>
    <row r="1256">
      <c r="A1256" s="7">
        <v>1250.0</v>
      </c>
      <c r="B1256" s="10" t="s">
        <v>2508</v>
      </c>
      <c r="C1256" s="10" t="s">
        <v>2509</v>
      </c>
      <c r="D1256" s="8">
        <f>IFERROR(__xludf.DUMMYFUNCTION("IFERROR(VLOOKUP(C1256,IMPORTRANGE(""https://docs.google.com/spreadsheets/d/10KlTSftfC81rs2H7Cf6EIR7VWS3omC-2kwzaThHv16k/edit#gid=0"",""NSE Input VaR+ELM!D:J""),7,0),100)"),20.97)</f>
        <v>20.97</v>
      </c>
      <c r="E1256" s="7">
        <f t="shared" si="1"/>
        <v>79.03</v>
      </c>
      <c r="F1256" s="9" t="s">
        <v>10</v>
      </c>
    </row>
    <row r="1257">
      <c r="A1257" s="7">
        <v>1251.0</v>
      </c>
      <c r="B1257" s="10" t="s">
        <v>2510</v>
      </c>
      <c r="C1257" s="10" t="s">
        <v>2511</v>
      </c>
      <c r="D1257" s="8">
        <f>IFERROR(__xludf.DUMMYFUNCTION("IFERROR(VLOOKUP(C1257,IMPORTRANGE(""https://docs.google.com/spreadsheets/d/10KlTSftfC81rs2H7Cf6EIR7VWS3omC-2kwzaThHv16k/edit#gid=0"",""NSE Input VaR+ELM!D:J""),7,0),100)"),50.0)</f>
        <v>50</v>
      </c>
      <c r="E1257" s="7">
        <f t="shared" si="1"/>
        <v>50</v>
      </c>
      <c r="F1257" s="9" t="s">
        <v>217</v>
      </c>
    </row>
    <row r="1258">
      <c r="A1258" s="7">
        <v>1252.0</v>
      </c>
      <c r="B1258" s="10" t="s">
        <v>2512</v>
      </c>
      <c r="C1258" s="10" t="s">
        <v>2513</v>
      </c>
      <c r="D1258" s="8">
        <f>IFERROR(__xludf.DUMMYFUNCTION("IFERROR(VLOOKUP(C1258,IMPORTRANGE(""https://docs.google.com/spreadsheets/d/10KlTSftfC81rs2H7Cf6EIR7VWS3omC-2kwzaThHv16k/edit#gid=0"",""NSE Input VaR+ELM!D:J""),7,0),100)"),19.6)</f>
        <v>19.6</v>
      </c>
      <c r="E1258" s="7">
        <f t="shared" si="1"/>
        <v>80.4</v>
      </c>
      <c r="F1258" s="9" t="s">
        <v>217</v>
      </c>
    </row>
    <row r="1259">
      <c r="A1259" s="7">
        <v>1253.0</v>
      </c>
      <c r="B1259" s="10" t="s">
        <v>2514</v>
      </c>
      <c r="C1259" s="10" t="s">
        <v>2515</v>
      </c>
      <c r="D1259" s="8">
        <f>IFERROR(__xludf.DUMMYFUNCTION("IFERROR(VLOOKUP(C1259,IMPORTRANGE(""https://docs.google.com/spreadsheets/d/10KlTSftfC81rs2H7Cf6EIR7VWS3omC-2kwzaThHv16k/edit#gid=0"",""NSE Input VaR+ELM!D:J""),7,0),100)"),24.75)</f>
        <v>24.75</v>
      </c>
      <c r="E1259" s="7">
        <f t="shared" si="1"/>
        <v>75.25</v>
      </c>
      <c r="F1259" s="9" t="s">
        <v>10</v>
      </c>
    </row>
    <row r="1260">
      <c r="A1260" s="7">
        <v>1254.0</v>
      </c>
      <c r="B1260" s="10" t="s">
        <v>2516</v>
      </c>
      <c r="C1260" s="10" t="s">
        <v>2517</v>
      </c>
      <c r="D1260" s="8">
        <f>IFERROR(__xludf.DUMMYFUNCTION("IFERROR(VLOOKUP(C1260,IMPORTRANGE(""https://docs.google.com/spreadsheets/d/10KlTSftfC81rs2H7Cf6EIR7VWS3omC-2kwzaThHv16k/edit#gid=0"",""NSE Input VaR+ELM!D:J""),7,0),100)"),22.75)</f>
        <v>22.75</v>
      </c>
      <c r="E1260" s="7">
        <f t="shared" si="1"/>
        <v>77.25</v>
      </c>
      <c r="F1260" s="9" t="s">
        <v>10</v>
      </c>
    </row>
    <row r="1261">
      <c r="A1261" s="7">
        <v>1255.0</v>
      </c>
      <c r="B1261" s="10" t="s">
        <v>2518</v>
      </c>
      <c r="C1261" s="10" t="s">
        <v>2519</v>
      </c>
      <c r="D1261" s="8">
        <f>IFERROR(__xludf.DUMMYFUNCTION("IFERROR(VLOOKUP(C1261,IMPORTRANGE(""https://docs.google.com/spreadsheets/d/10KlTSftfC81rs2H7Cf6EIR7VWS3omC-2kwzaThHv16k/edit#gid=0"",""NSE Input VaR+ELM!D:J""),7,0),100)"),24.41)</f>
        <v>24.41</v>
      </c>
      <c r="E1261" s="7">
        <f t="shared" si="1"/>
        <v>75.59</v>
      </c>
      <c r="F1261" s="9" t="s">
        <v>10</v>
      </c>
    </row>
    <row r="1262">
      <c r="A1262" s="7">
        <v>1256.0</v>
      </c>
      <c r="B1262" s="10" t="s">
        <v>2520</v>
      </c>
      <c r="C1262" s="10" t="s">
        <v>2521</v>
      </c>
      <c r="D1262" s="8">
        <f>IFERROR(__xludf.DUMMYFUNCTION("IFERROR(VLOOKUP(C1262,IMPORTRANGE(""https://docs.google.com/spreadsheets/d/10KlTSftfC81rs2H7Cf6EIR7VWS3omC-2kwzaThHv16k/edit#gid=0"",""NSE Input VaR+ELM!D:J""),7,0),100)"),20.59)</f>
        <v>20.59</v>
      </c>
      <c r="E1262" s="7">
        <f t="shared" si="1"/>
        <v>79.41</v>
      </c>
      <c r="F1262" s="9" t="s">
        <v>217</v>
      </c>
    </row>
    <row r="1263">
      <c r="A1263" s="7">
        <v>1257.0</v>
      </c>
      <c r="B1263" s="10" t="s">
        <v>2522</v>
      </c>
      <c r="C1263" s="10" t="s">
        <v>2523</v>
      </c>
      <c r="D1263" s="8">
        <f>IFERROR(__xludf.DUMMYFUNCTION("IFERROR(VLOOKUP(C1263,IMPORTRANGE(""https://docs.google.com/spreadsheets/d/10KlTSftfC81rs2H7Cf6EIR7VWS3omC-2kwzaThHv16k/edit#gid=0"",""NSE Input VaR+ELM!D:J""),7,0),100)"),16.75)</f>
        <v>16.75</v>
      </c>
      <c r="E1263" s="7">
        <f t="shared" si="1"/>
        <v>83.25</v>
      </c>
      <c r="F1263" s="9" t="s">
        <v>10</v>
      </c>
    </row>
    <row r="1264">
      <c r="A1264" s="7">
        <v>1258.0</v>
      </c>
      <c r="B1264" s="10" t="s">
        <v>2524</v>
      </c>
      <c r="C1264" s="10" t="s">
        <v>2525</v>
      </c>
      <c r="D1264" s="8">
        <f>IFERROR(__xludf.DUMMYFUNCTION("IFERROR(VLOOKUP(C1264,IMPORTRANGE(""https://docs.google.com/spreadsheets/d/10KlTSftfC81rs2H7Cf6EIR7VWS3omC-2kwzaThHv16k/edit#gid=0"",""NSE Input VaR+ELM!D:J""),7,0),100)"),19.92)</f>
        <v>19.92</v>
      </c>
      <c r="E1264" s="7">
        <f t="shared" si="1"/>
        <v>80.08</v>
      </c>
      <c r="F1264" s="9" t="s">
        <v>10</v>
      </c>
    </row>
    <row r="1265">
      <c r="A1265" s="7">
        <v>1259.0</v>
      </c>
      <c r="B1265" s="10" t="s">
        <v>2526</v>
      </c>
      <c r="C1265" s="10" t="s">
        <v>2527</v>
      </c>
      <c r="D1265" s="8">
        <f>IFERROR(__xludf.DUMMYFUNCTION("IFERROR(VLOOKUP(C1265,IMPORTRANGE(""https://docs.google.com/spreadsheets/d/10KlTSftfC81rs2H7Cf6EIR7VWS3omC-2kwzaThHv16k/edit#gid=0"",""NSE Input VaR+ELM!D:J""),7,0),100)"),15.04)</f>
        <v>15.04</v>
      </c>
      <c r="E1265" s="7">
        <f t="shared" si="1"/>
        <v>84.96</v>
      </c>
      <c r="F1265" s="9" t="s">
        <v>10</v>
      </c>
    </row>
    <row r="1266">
      <c r="A1266" s="7">
        <v>1260.0</v>
      </c>
      <c r="B1266" s="10" t="s">
        <v>2528</v>
      </c>
      <c r="C1266" s="10" t="s">
        <v>2529</v>
      </c>
      <c r="D1266" s="8">
        <f>IFERROR(__xludf.DUMMYFUNCTION("IFERROR(VLOOKUP(C1266,IMPORTRANGE(""https://docs.google.com/spreadsheets/d/10KlTSftfC81rs2H7Cf6EIR7VWS3omC-2kwzaThHv16k/edit#gid=0"",""NSE Input VaR+ELM!D:J""),7,0),100)"),14.99)</f>
        <v>14.99</v>
      </c>
      <c r="E1266" s="7">
        <f t="shared" si="1"/>
        <v>85.01</v>
      </c>
      <c r="F1266" s="9" t="s">
        <v>217</v>
      </c>
    </row>
    <row r="1267">
      <c r="A1267" s="7">
        <v>1261.0</v>
      </c>
      <c r="B1267" s="10" t="s">
        <v>2530</v>
      </c>
      <c r="C1267" s="10" t="s">
        <v>2531</v>
      </c>
      <c r="D1267" s="8">
        <f>IFERROR(__xludf.DUMMYFUNCTION("IFERROR(VLOOKUP(C1267,IMPORTRANGE(""https://docs.google.com/spreadsheets/d/10KlTSftfC81rs2H7Cf6EIR7VWS3omC-2kwzaThHv16k/edit#gid=0"",""NSE Input VaR+ELM!D:J""),7,0),100)"),28.66)</f>
        <v>28.66</v>
      </c>
      <c r="E1267" s="7">
        <f t="shared" si="1"/>
        <v>71.34</v>
      </c>
      <c r="F1267" s="9" t="s">
        <v>217</v>
      </c>
    </row>
    <row r="1268">
      <c r="A1268" s="7">
        <v>1262.0</v>
      </c>
      <c r="B1268" s="10" t="s">
        <v>2532</v>
      </c>
      <c r="C1268" s="10" t="s">
        <v>2533</v>
      </c>
      <c r="D1268" s="8">
        <f>IFERROR(__xludf.DUMMYFUNCTION("IFERROR(VLOOKUP(C1268,IMPORTRANGE(""https://docs.google.com/spreadsheets/d/10KlTSftfC81rs2H7Cf6EIR7VWS3omC-2kwzaThHv16k/edit#gid=0"",""NSE Input VaR+ELM!D:J""),7,0),100)"),23.72)</f>
        <v>23.72</v>
      </c>
      <c r="E1268" s="7">
        <f t="shared" si="1"/>
        <v>76.28</v>
      </c>
      <c r="F1268" s="9" t="s">
        <v>10</v>
      </c>
    </row>
    <row r="1269">
      <c r="A1269" s="7">
        <v>1263.0</v>
      </c>
      <c r="B1269" s="10" t="s">
        <v>2534</v>
      </c>
      <c r="C1269" s="10" t="s">
        <v>2535</v>
      </c>
      <c r="D1269" s="8">
        <f>IFERROR(__xludf.DUMMYFUNCTION("IFERROR(VLOOKUP(C1269,IMPORTRANGE(""https://docs.google.com/spreadsheets/d/10KlTSftfC81rs2H7Cf6EIR7VWS3omC-2kwzaThHv16k/edit#gid=0"",""NSE Input VaR+ELM!D:J""),7,0),100)"),21.86)</f>
        <v>21.86</v>
      </c>
      <c r="E1269" s="7">
        <f t="shared" si="1"/>
        <v>78.14</v>
      </c>
      <c r="F1269" s="9" t="s">
        <v>10</v>
      </c>
    </row>
    <row r="1270">
      <c r="A1270" s="7">
        <v>1264.0</v>
      </c>
      <c r="B1270" s="10" t="s">
        <v>2536</v>
      </c>
      <c r="C1270" s="10" t="s">
        <v>2537</v>
      </c>
      <c r="D1270" s="8">
        <f>IFERROR(__xludf.DUMMYFUNCTION("IFERROR(VLOOKUP(C1270,IMPORTRANGE(""https://docs.google.com/spreadsheets/d/10KlTSftfC81rs2H7Cf6EIR7VWS3omC-2kwzaThHv16k/edit#gid=0"",""NSE Input VaR+ELM!D:J""),7,0),100)"),23.48)</f>
        <v>23.48</v>
      </c>
      <c r="E1270" s="7">
        <f t="shared" si="1"/>
        <v>76.52</v>
      </c>
      <c r="F1270" s="9" t="s">
        <v>217</v>
      </c>
    </row>
    <row r="1271">
      <c r="A1271" s="7">
        <v>1265.0</v>
      </c>
      <c r="B1271" s="10" t="s">
        <v>2538</v>
      </c>
      <c r="C1271" s="10" t="s">
        <v>2539</v>
      </c>
      <c r="D1271" s="8">
        <f>IFERROR(__xludf.DUMMYFUNCTION("IFERROR(VLOOKUP(C1271,IMPORTRANGE(""https://docs.google.com/spreadsheets/d/10KlTSftfC81rs2H7Cf6EIR7VWS3omC-2kwzaThHv16k/edit#gid=0"",""NSE Input VaR+ELM!D:J""),7,0),100)"),50.0)</f>
        <v>50</v>
      </c>
      <c r="E1271" s="7">
        <f t="shared" si="1"/>
        <v>50</v>
      </c>
      <c r="F1271" s="9" t="s">
        <v>10</v>
      </c>
    </row>
    <row r="1272">
      <c r="A1272" s="7">
        <v>1266.0</v>
      </c>
      <c r="B1272" s="10" t="s">
        <v>2540</v>
      </c>
      <c r="C1272" s="10" t="s">
        <v>2541</v>
      </c>
      <c r="D1272" s="8">
        <f>IFERROR(__xludf.DUMMYFUNCTION("IFERROR(VLOOKUP(C1272,IMPORTRANGE(""https://docs.google.com/spreadsheets/d/10KlTSftfC81rs2H7Cf6EIR7VWS3omC-2kwzaThHv16k/edit#gid=0"",""NSE Input VaR+ELM!D:J""),7,0),100)"),25.17)</f>
        <v>25.17</v>
      </c>
      <c r="E1272" s="7">
        <f t="shared" si="1"/>
        <v>74.83</v>
      </c>
      <c r="F1272" s="9" t="s">
        <v>10</v>
      </c>
    </row>
    <row r="1273">
      <c r="A1273" s="7">
        <v>1267.0</v>
      </c>
      <c r="B1273" s="10" t="s">
        <v>2542</v>
      </c>
      <c r="C1273" s="10" t="s">
        <v>2543</v>
      </c>
      <c r="D1273" s="8">
        <f>IFERROR(__xludf.DUMMYFUNCTION("IFERROR(VLOOKUP(C1273,IMPORTRANGE(""https://docs.google.com/spreadsheets/d/10KlTSftfC81rs2H7Cf6EIR7VWS3omC-2kwzaThHv16k/edit#gid=0"",""NSE Input VaR+ELM!D:J""),7,0),100)"),24.73)</f>
        <v>24.73</v>
      </c>
      <c r="E1273" s="7">
        <f t="shared" si="1"/>
        <v>75.27</v>
      </c>
      <c r="F1273" s="9" t="s">
        <v>217</v>
      </c>
    </row>
    <row r="1274">
      <c r="A1274" s="7">
        <v>1268.0</v>
      </c>
      <c r="B1274" s="10" t="s">
        <v>2544</v>
      </c>
      <c r="C1274" s="10" t="s">
        <v>2545</v>
      </c>
      <c r="D1274" s="8">
        <f>IFERROR(__xludf.DUMMYFUNCTION("IFERROR(VLOOKUP(C1274,IMPORTRANGE(""https://docs.google.com/spreadsheets/d/10KlTSftfC81rs2H7Cf6EIR7VWS3omC-2kwzaThHv16k/edit#gid=0"",""NSE Input VaR+ELM!D:J""),7,0),100)"),25.67)</f>
        <v>25.67</v>
      </c>
      <c r="E1274" s="7">
        <f t="shared" si="1"/>
        <v>74.33</v>
      </c>
      <c r="F1274" s="9" t="s">
        <v>10</v>
      </c>
    </row>
    <row r="1275">
      <c r="A1275" s="7">
        <v>1269.0</v>
      </c>
      <c r="B1275" s="10" t="s">
        <v>2546</v>
      </c>
      <c r="C1275" s="10" t="s">
        <v>2547</v>
      </c>
      <c r="D1275" s="8">
        <f>IFERROR(__xludf.DUMMYFUNCTION("IFERROR(VLOOKUP(C1275,IMPORTRANGE(""https://docs.google.com/spreadsheets/d/10KlTSftfC81rs2H7Cf6EIR7VWS3omC-2kwzaThHv16k/edit#gid=0"",""NSE Input VaR+ELM!D:J""),7,0),100)"),14.96)</f>
        <v>14.96</v>
      </c>
      <c r="E1275" s="7">
        <f t="shared" si="1"/>
        <v>85.04</v>
      </c>
      <c r="F1275" s="9" t="s">
        <v>217</v>
      </c>
    </row>
    <row r="1276">
      <c r="A1276" s="7">
        <v>1270.0</v>
      </c>
      <c r="B1276" s="10" t="s">
        <v>2548</v>
      </c>
      <c r="C1276" s="10" t="s">
        <v>2549</v>
      </c>
      <c r="D1276" s="8">
        <f>IFERROR(__xludf.DUMMYFUNCTION("IFERROR(VLOOKUP(C1276,IMPORTRANGE(""https://docs.google.com/spreadsheets/d/10KlTSftfC81rs2H7Cf6EIR7VWS3omC-2kwzaThHv16k/edit#gid=0"",""NSE Input VaR+ELM!D:J""),7,0),100)"),25.99)</f>
        <v>25.99</v>
      </c>
      <c r="E1276" s="7">
        <f t="shared" si="1"/>
        <v>74.01</v>
      </c>
      <c r="F1276" s="9" t="s">
        <v>10</v>
      </c>
    </row>
    <row r="1277">
      <c r="A1277" s="7">
        <v>1271.0</v>
      </c>
      <c r="B1277" s="10" t="s">
        <v>2550</v>
      </c>
      <c r="C1277" s="10" t="s">
        <v>2551</v>
      </c>
      <c r="D1277" s="8">
        <f>IFERROR(__xludf.DUMMYFUNCTION("IFERROR(VLOOKUP(C1277,IMPORTRANGE(""https://docs.google.com/spreadsheets/d/10KlTSftfC81rs2H7Cf6EIR7VWS3omC-2kwzaThHv16k/edit#gid=0"",""NSE Input VaR+ELM!D:J""),7,0),100)"),29.56)</f>
        <v>29.56</v>
      </c>
      <c r="E1277" s="7">
        <f t="shared" si="1"/>
        <v>70.44</v>
      </c>
      <c r="F1277" s="9" t="s">
        <v>10</v>
      </c>
    </row>
    <row r="1278">
      <c r="A1278" s="7">
        <v>1272.0</v>
      </c>
      <c r="B1278" s="10" t="s">
        <v>2552</v>
      </c>
      <c r="C1278" s="10" t="s">
        <v>2553</v>
      </c>
      <c r="D1278" s="8">
        <f>IFERROR(__xludf.DUMMYFUNCTION("IFERROR(VLOOKUP(C1278,IMPORTRANGE(""https://docs.google.com/spreadsheets/d/10KlTSftfC81rs2H7Cf6EIR7VWS3omC-2kwzaThHv16k/edit#gid=0"",""NSE Input VaR+ELM!D:J""),7,0),100)"),21.98)</f>
        <v>21.98</v>
      </c>
      <c r="E1278" s="7">
        <f t="shared" si="1"/>
        <v>78.02</v>
      </c>
      <c r="F1278" s="9" t="s">
        <v>10</v>
      </c>
    </row>
    <row r="1279">
      <c r="A1279" s="7">
        <v>1273.0</v>
      </c>
      <c r="B1279" s="10" t="s">
        <v>2554</v>
      </c>
      <c r="C1279" s="10" t="s">
        <v>2555</v>
      </c>
      <c r="D1279" s="8">
        <f>IFERROR(__xludf.DUMMYFUNCTION("IFERROR(VLOOKUP(C1279,IMPORTRANGE(""https://docs.google.com/spreadsheets/d/10KlTSftfC81rs2H7Cf6EIR7VWS3omC-2kwzaThHv16k/edit#gid=0"",""NSE Input VaR+ELM!D:J""),7,0),100)"),25.04)</f>
        <v>25.04</v>
      </c>
      <c r="E1279" s="7">
        <f t="shared" si="1"/>
        <v>74.96</v>
      </c>
      <c r="F1279" s="9" t="s">
        <v>10</v>
      </c>
    </row>
    <row r="1280">
      <c r="A1280" s="7">
        <v>1274.0</v>
      </c>
      <c r="B1280" s="10" t="s">
        <v>2556</v>
      </c>
      <c r="C1280" s="10" t="s">
        <v>2557</v>
      </c>
      <c r="D1280" s="8">
        <f>IFERROR(__xludf.DUMMYFUNCTION("IFERROR(VLOOKUP(C1280,IMPORTRANGE(""https://docs.google.com/spreadsheets/d/10KlTSftfC81rs2H7Cf6EIR7VWS3omC-2kwzaThHv16k/edit#gid=0"",""NSE Input VaR+ELM!D:J""),7,0),100)"),14.61)</f>
        <v>14.61</v>
      </c>
      <c r="E1280" s="7">
        <f t="shared" si="1"/>
        <v>85.39</v>
      </c>
      <c r="F1280" s="9" t="s">
        <v>10</v>
      </c>
    </row>
    <row r="1281">
      <c r="A1281" s="7">
        <v>1275.0</v>
      </c>
      <c r="B1281" s="10" t="s">
        <v>2558</v>
      </c>
      <c r="C1281" s="10" t="s">
        <v>2559</v>
      </c>
      <c r="D1281" s="8">
        <f>IFERROR(__xludf.DUMMYFUNCTION("IFERROR(VLOOKUP(C1281,IMPORTRANGE(""https://docs.google.com/spreadsheets/d/10KlTSftfC81rs2H7Cf6EIR7VWS3omC-2kwzaThHv16k/edit#gid=0"",""NSE Input VaR+ELM!D:J""),7,0),100)"),22.47)</f>
        <v>22.47</v>
      </c>
      <c r="E1281" s="7">
        <f t="shared" si="1"/>
        <v>77.53</v>
      </c>
      <c r="F1281" s="9" t="s">
        <v>10</v>
      </c>
    </row>
    <row r="1282">
      <c r="A1282" s="7">
        <v>1276.0</v>
      </c>
      <c r="B1282" s="10" t="s">
        <v>2560</v>
      </c>
      <c r="C1282" s="10" t="s">
        <v>2561</v>
      </c>
      <c r="D1282" s="8">
        <f>IFERROR(__xludf.DUMMYFUNCTION("IFERROR(VLOOKUP(C1282,IMPORTRANGE(""https://docs.google.com/spreadsheets/d/10KlTSftfC81rs2H7Cf6EIR7VWS3omC-2kwzaThHv16k/edit#gid=0"",""NSE Input VaR+ELM!D:J""),7,0),100)"),22.82)</f>
        <v>22.82</v>
      </c>
      <c r="E1282" s="7">
        <f t="shared" si="1"/>
        <v>77.18</v>
      </c>
      <c r="F1282" s="9" t="s">
        <v>217</v>
      </c>
    </row>
    <row r="1283">
      <c r="A1283" s="7">
        <v>1277.0</v>
      </c>
      <c r="B1283" s="10" t="s">
        <v>2562</v>
      </c>
      <c r="C1283" s="10" t="s">
        <v>2563</v>
      </c>
      <c r="D1283" s="8">
        <f>IFERROR(__xludf.DUMMYFUNCTION("IFERROR(VLOOKUP(C1283,IMPORTRANGE(""https://docs.google.com/spreadsheets/d/10KlTSftfC81rs2H7Cf6EIR7VWS3omC-2kwzaThHv16k/edit#gid=0"",""NSE Input VaR+ELM!D:J""),7,0),100)"),28.43)</f>
        <v>28.43</v>
      </c>
      <c r="E1283" s="7">
        <f t="shared" si="1"/>
        <v>71.57</v>
      </c>
      <c r="F1283" s="9" t="s">
        <v>10</v>
      </c>
    </row>
    <row r="1284">
      <c r="A1284" s="7">
        <v>1278.0</v>
      </c>
      <c r="B1284" s="10" t="s">
        <v>2564</v>
      </c>
      <c r="C1284" s="10" t="s">
        <v>2565</v>
      </c>
      <c r="D1284" s="8">
        <f>IFERROR(__xludf.DUMMYFUNCTION("IFERROR(VLOOKUP(C1284,IMPORTRANGE(""https://docs.google.com/spreadsheets/d/10KlTSftfC81rs2H7Cf6EIR7VWS3omC-2kwzaThHv16k/edit#gid=0"",""NSE Input VaR+ELM!D:J""),7,0),100)"),27.08)</f>
        <v>27.08</v>
      </c>
      <c r="E1284" s="7">
        <f t="shared" si="1"/>
        <v>72.92</v>
      </c>
      <c r="F1284" s="9" t="s">
        <v>10</v>
      </c>
    </row>
    <row r="1285">
      <c r="A1285" s="7">
        <v>1279.0</v>
      </c>
      <c r="B1285" s="10" t="s">
        <v>2566</v>
      </c>
      <c r="C1285" s="10" t="s">
        <v>2567</v>
      </c>
      <c r="D1285" s="8">
        <f>IFERROR(__xludf.DUMMYFUNCTION("IFERROR(VLOOKUP(C1285,IMPORTRANGE(""https://docs.google.com/spreadsheets/d/10KlTSftfC81rs2H7Cf6EIR7VWS3omC-2kwzaThHv16k/edit#gid=0"",""NSE Input VaR+ELM!D:J""),7,0),100)"),13.46)</f>
        <v>13.46</v>
      </c>
      <c r="E1285" s="7">
        <f t="shared" si="1"/>
        <v>86.54</v>
      </c>
      <c r="F1285" s="9" t="s">
        <v>10</v>
      </c>
    </row>
    <row r="1288">
      <c r="A1288" s="4" t="s">
        <v>2568</v>
      </c>
      <c r="F1288" s="13"/>
    </row>
    <row r="1289">
      <c r="A1289" s="14" t="s">
        <v>2</v>
      </c>
      <c r="B1289" s="14" t="s">
        <v>3</v>
      </c>
      <c r="C1289" s="14" t="s">
        <v>4</v>
      </c>
      <c r="D1289" s="15" t="s">
        <v>2569</v>
      </c>
      <c r="E1289" s="14" t="s">
        <v>6</v>
      </c>
      <c r="F1289" s="6" t="s">
        <v>7</v>
      </c>
    </row>
    <row r="1290">
      <c r="A1290" s="7">
        <v>1.0</v>
      </c>
      <c r="B1290" s="8" t="s">
        <v>2570</v>
      </c>
      <c r="C1290" s="8" t="s">
        <v>2571</v>
      </c>
      <c r="D1290" s="8">
        <v>13.74</v>
      </c>
      <c r="E1290" s="7">
        <f t="shared" ref="E1290:E1403" si="2">100-D1290</f>
        <v>86.26</v>
      </c>
      <c r="F1290" s="16" t="s">
        <v>10</v>
      </c>
    </row>
    <row r="1291">
      <c r="A1291" s="7">
        <v>2.0</v>
      </c>
      <c r="B1291" s="8" t="s">
        <v>2572</v>
      </c>
      <c r="C1291" s="8" t="s">
        <v>2573</v>
      </c>
      <c r="D1291" s="8">
        <v>9.17</v>
      </c>
      <c r="E1291" s="7">
        <f t="shared" si="2"/>
        <v>90.83</v>
      </c>
      <c r="F1291" s="16" t="s">
        <v>217</v>
      </c>
    </row>
    <row r="1292">
      <c r="A1292" s="7">
        <v>3.0</v>
      </c>
      <c r="B1292" s="8" t="s">
        <v>2574</v>
      </c>
      <c r="C1292" s="8" t="s">
        <v>2575</v>
      </c>
      <c r="D1292" s="8">
        <v>12.5</v>
      </c>
      <c r="E1292" s="7">
        <f t="shared" si="2"/>
        <v>87.5</v>
      </c>
      <c r="F1292" s="16" t="s">
        <v>217</v>
      </c>
    </row>
    <row r="1293">
      <c r="A1293" s="7">
        <v>4.0</v>
      </c>
      <c r="B1293" s="8" t="s">
        <v>2576</v>
      </c>
      <c r="C1293" s="8" t="s">
        <v>2577</v>
      </c>
      <c r="D1293" s="8">
        <v>12.5</v>
      </c>
      <c r="E1293" s="7">
        <f t="shared" si="2"/>
        <v>87.5</v>
      </c>
      <c r="F1293" s="16" t="s">
        <v>217</v>
      </c>
    </row>
    <row r="1294">
      <c r="A1294" s="7">
        <v>5.0</v>
      </c>
      <c r="B1294" s="8" t="s">
        <v>2578</v>
      </c>
      <c r="C1294" s="8" t="s">
        <v>2579</v>
      </c>
      <c r="D1294" s="8">
        <v>12.5</v>
      </c>
      <c r="E1294" s="7">
        <f t="shared" si="2"/>
        <v>87.5</v>
      </c>
      <c r="F1294" s="16" t="s">
        <v>10</v>
      </c>
    </row>
    <row r="1295">
      <c r="A1295" s="7">
        <v>6.0</v>
      </c>
      <c r="B1295" s="8" t="s">
        <v>2580</v>
      </c>
      <c r="C1295" s="8" t="s">
        <v>2581</v>
      </c>
      <c r="D1295" s="8">
        <v>25.0</v>
      </c>
      <c r="E1295" s="7">
        <f t="shared" si="2"/>
        <v>75</v>
      </c>
      <c r="F1295" s="16" t="s">
        <v>10</v>
      </c>
    </row>
    <row r="1296">
      <c r="A1296" s="7">
        <v>7.0</v>
      </c>
      <c r="B1296" s="8" t="s">
        <v>2582</v>
      </c>
      <c r="C1296" s="8" t="s">
        <v>2583</v>
      </c>
      <c r="D1296" s="8">
        <v>12.5</v>
      </c>
      <c r="E1296" s="7">
        <f t="shared" si="2"/>
        <v>87.5</v>
      </c>
      <c r="F1296" s="16" t="s">
        <v>217</v>
      </c>
    </row>
    <row r="1297">
      <c r="A1297" s="7">
        <v>8.0</v>
      </c>
      <c r="B1297" s="8" t="s">
        <v>2584</v>
      </c>
      <c r="C1297" s="8" t="s">
        <v>2585</v>
      </c>
      <c r="D1297" s="8">
        <v>9.53</v>
      </c>
      <c r="E1297" s="7">
        <f t="shared" si="2"/>
        <v>90.47</v>
      </c>
      <c r="F1297" s="16" t="s">
        <v>217</v>
      </c>
    </row>
    <row r="1298">
      <c r="A1298" s="7">
        <v>9.0</v>
      </c>
      <c r="B1298" s="8" t="s">
        <v>2586</v>
      </c>
      <c r="C1298" s="8" t="s">
        <v>2587</v>
      </c>
      <c r="D1298" s="8">
        <v>13.8</v>
      </c>
      <c r="E1298" s="7">
        <f t="shared" si="2"/>
        <v>86.2</v>
      </c>
      <c r="F1298" s="16" t="s">
        <v>217</v>
      </c>
    </row>
    <row r="1299">
      <c r="A1299" s="7">
        <v>10.0</v>
      </c>
      <c r="B1299" s="8" t="s">
        <v>2588</v>
      </c>
      <c r="C1299" s="8" t="s">
        <v>2589</v>
      </c>
      <c r="D1299" s="8">
        <v>12.73</v>
      </c>
      <c r="E1299" s="7">
        <f t="shared" si="2"/>
        <v>87.27</v>
      </c>
      <c r="F1299" s="16" t="s">
        <v>10</v>
      </c>
    </row>
    <row r="1300">
      <c r="A1300" s="7">
        <v>11.0</v>
      </c>
      <c r="B1300" s="8" t="s">
        <v>2590</v>
      </c>
      <c r="C1300" s="8" t="s">
        <v>2591</v>
      </c>
      <c r="D1300" s="8">
        <v>8.0</v>
      </c>
      <c r="E1300" s="7">
        <f t="shared" si="2"/>
        <v>92</v>
      </c>
      <c r="F1300" s="16" t="s">
        <v>10</v>
      </c>
    </row>
    <row r="1301">
      <c r="A1301" s="7">
        <v>12.0</v>
      </c>
      <c r="B1301" s="8" t="s">
        <v>2592</v>
      </c>
      <c r="C1301" s="8" t="s">
        <v>2593</v>
      </c>
      <c r="D1301" s="8">
        <v>12.5</v>
      </c>
      <c r="E1301" s="7">
        <f t="shared" si="2"/>
        <v>87.5</v>
      </c>
      <c r="F1301" s="16" t="s">
        <v>217</v>
      </c>
    </row>
    <row r="1302">
      <c r="A1302" s="7">
        <v>13.0</v>
      </c>
      <c r="B1302" s="8" t="s">
        <v>2594</v>
      </c>
      <c r="C1302" s="8" t="s">
        <v>2595</v>
      </c>
      <c r="D1302" s="8">
        <v>9.41</v>
      </c>
      <c r="E1302" s="7">
        <f t="shared" si="2"/>
        <v>90.59</v>
      </c>
      <c r="F1302" s="16" t="s">
        <v>10</v>
      </c>
    </row>
    <row r="1303">
      <c r="A1303" s="7">
        <v>14.0</v>
      </c>
      <c r="B1303" s="8" t="s">
        <v>2596</v>
      </c>
      <c r="C1303" s="8" t="s">
        <v>2597</v>
      </c>
      <c r="D1303" s="8">
        <v>8.0</v>
      </c>
      <c r="E1303" s="7">
        <f t="shared" si="2"/>
        <v>92</v>
      </c>
      <c r="F1303" s="16" t="s">
        <v>10</v>
      </c>
    </row>
    <row r="1304">
      <c r="A1304" s="7">
        <v>15.0</v>
      </c>
      <c r="B1304" s="8" t="s">
        <v>2598</v>
      </c>
      <c r="C1304" s="8" t="s">
        <v>2599</v>
      </c>
      <c r="D1304" s="8">
        <v>12.5</v>
      </c>
      <c r="E1304" s="7">
        <f t="shared" si="2"/>
        <v>87.5</v>
      </c>
      <c r="F1304" s="16" t="s">
        <v>217</v>
      </c>
    </row>
    <row r="1305">
      <c r="A1305" s="7">
        <v>16.0</v>
      </c>
      <c r="B1305" s="8" t="s">
        <v>2600</v>
      </c>
      <c r="C1305" s="8" t="s">
        <v>2601</v>
      </c>
      <c r="D1305" s="8">
        <v>12.75</v>
      </c>
      <c r="E1305" s="7">
        <f t="shared" si="2"/>
        <v>87.25</v>
      </c>
      <c r="F1305" s="16" t="s">
        <v>10</v>
      </c>
    </row>
    <row r="1306">
      <c r="A1306" s="7">
        <v>17.0</v>
      </c>
      <c r="B1306" s="8" t="s">
        <v>2602</v>
      </c>
      <c r="C1306" s="8" t="s">
        <v>2603</v>
      </c>
      <c r="D1306" s="8">
        <v>12.67</v>
      </c>
      <c r="E1306" s="7">
        <f t="shared" si="2"/>
        <v>87.33</v>
      </c>
      <c r="F1306" s="16" t="s">
        <v>217</v>
      </c>
    </row>
    <row r="1307">
      <c r="A1307" s="7">
        <v>18.0</v>
      </c>
      <c r="B1307" s="8" t="s">
        <v>2604</v>
      </c>
      <c r="C1307" s="8" t="s">
        <v>2605</v>
      </c>
      <c r="D1307" s="8">
        <v>8.0</v>
      </c>
      <c r="E1307" s="7">
        <f t="shared" si="2"/>
        <v>92</v>
      </c>
      <c r="F1307" s="16" t="s">
        <v>217</v>
      </c>
    </row>
    <row r="1308">
      <c r="A1308" s="7">
        <v>19.0</v>
      </c>
      <c r="B1308" s="8" t="s">
        <v>2606</v>
      </c>
      <c r="C1308" s="8" t="s">
        <v>2607</v>
      </c>
      <c r="D1308" s="8">
        <v>8.0</v>
      </c>
      <c r="E1308" s="7">
        <f t="shared" si="2"/>
        <v>92</v>
      </c>
      <c r="F1308" s="16" t="s">
        <v>217</v>
      </c>
    </row>
    <row r="1309">
      <c r="A1309" s="7">
        <v>20.0</v>
      </c>
      <c r="B1309" s="8" t="s">
        <v>2608</v>
      </c>
      <c r="C1309" s="8" t="s">
        <v>2609</v>
      </c>
      <c r="D1309" s="8">
        <v>8.0</v>
      </c>
      <c r="E1309" s="7">
        <f t="shared" si="2"/>
        <v>92</v>
      </c>
      <c r="F1309" s="16" t="s">
        <v>217</v>
      </c>
    </row>
    <row r="1310">
      <c r="A1310" s="7">
        <v>21.0</v>
      </c>
      <c r="B1310" s="8" t="s">
        <v>2610</v>
      </c>
      <c r="C1310" s="8" t="s">
        <v>2611</v>
      </c>
      <c r="D1310" s="8">
        <v>8.0</v>
      </c>
      <c r="E1310" s="7">
        <f t="shared" si="2"/>
        <v>92</v>
      </c>
      <c r="F1310" s="16" t="s">
        <v>217</v>
      </c>
    </row>
    <row r="1311">
      <c r="A1311" s="7">
        <v>22.0</v>
      </c>
      <c r="B1311" s="8" t="s">
        <v>2612</v>
      </c>
      <c r="C1311" s="8" t="s">
        <v>2613</v>
      </c>
      <c r="D1311" s="8">
        <v>8.0</v>
      </c>
      <c r="E1311" s="7">
        <f t="shared" si="2"/>
        <v>92</v>
      </c>
      <c r="F1311" s="16" t="s">
        <v>10</v>
      </c>
    </row>
    <row r="1312">
      <c r="A1312" s="7">
        <v>23.0</v>
      </c>
      <c r="B1312" s="8" t="s">
        <v>2614</v>
      </c>
      <c r="C1312" s="8" t="s">
        <v>2615</v>
      </c>
      <c r="D1312" s="8">
        <v>8.0</v>
      </c>
      <c r="E1312" s="7">
        <f t="shared" si="2"/>
        <v>92</v>
      </c>
      <c r="F1312" s="16" t="s">
        <v>10</v>
      </c>
    </row>
    <row r="1313">
      <c r="A1313" s="7">
        <v>24.0</v>
      </c>
      <c r="B1313" s="8" t="s">
        <v>2616</v>
      </c>
      <c r="C1313" s="8" t="s">
        <v>2617</v>
      </c>
      <c r="D1313" s="8">
        <v>8.0</v>
      </c>
      <c r="E1313" s="7">
        <f t="shared" si="2"/>
        <v>92</v>
      </c>
      <c r="F1313" s="16" t="s">
        <v>10</v>
      </c>
    </row>
    <row r="1314">
      <c r="A1314" s="7">
        <v>25.0</v>
      </c>
      <c r="B1314" s="8" t="s">
        <v>2618</v>
      </c>
      <c r="C1314" s="8" t="s">
        <v>2619</v>
      </c>
      <c r="D1314" s="8">
        <v>12.5</v>
      </c>
      <c r="E1314" s="7">
        <f t="shared" si="2"/>
        <v>87.5</v>
      </c>
      <c r="F1314" s="16" t="s">
        <v>10</v>
      </c>
    </row>
    <row r="1315">
      <c r="A1315" s="7">
        <v>26.0</v>
      </c>
      <c r="B1315" s="10" t="s">
        <v>2620</v>
      </c>
      <c r="C1315" s="10" t="s">
        <v>2621</v>
      </c>
      <c r="D1315" s="8">
        <v>12.5</v>
      </c>
      <c r="E1315" s="7">
        <f t="shared" si="2"/>
        <v>87.5</v>
      </c>
      <c r="F1315" s="16" t="s">
        <v>217</v>
      </c>
    </row>
    <row r="1316">
      <c r="A1316" s="7">
        <v>27.0</v>
      </c>
      <c r="B1316" s="10" t="s">
        <v>2622</v>
      </c>
      <c r="C1316" s="10" t="s">
        <v>2623</v>
      </c>
      <c r="D1316" s="8">
        <v>12.5</v>
      </c>
      <c r="E1316" s="7">
        <f t="shared" si="2"/>
        <v>87.5</v>
      </c>
      <c r="F1316" s="16" t="s">
        <v>217</v>
      </c>
    </row>
    <row r="1317">
      <c r="A1317" s="7">
        <v>28.0</v>
      </c>
      <c r="B1317" s="10" t="s">
        <v>2624</v>
      </c>
      <c r="C1317" s="10" t="s">
        <v>2625</v>
      </c>
      <c r="D1317" s="8">
        <v>12.5</v>
      </c>
      <c r="E1317" s="7">
        <f t="shared" si="2"/>
        <v>87.5</v>
      </c>
      <c r="F1317" s="16" t="s">
        <v>10</v>
      </c>
    </row>
    <row r="1318">
      <c r="A1318" s="7">
        <v>29.0</v>
      </c>
      <c r="B1318" s="10" t="s">
        <v>2626</v>
      </c>
      <c r="C1318" s="10" t="s">
        <v>2627</v>
      </c>
      <c r="D1318" s="8">
        <v>8.0</v>
      </c>
      <c r="E1318" s="7">
        <f t="shared" si="2"/>
        <v>92</v>
      </c>
      <c r="F1318" s="16" t="s">
        <v>10</v>
      </c>
    </row>
    <row r="1319">
      <c r="A1319" s="7">
        <v>30.0</v>
      </c>
      <c r="B1319" s="10" t="s">
        <v>2628</v>
      </c>
      <c r="C1319" s="10" t="s">
        <v>2629</v>
      </c>
      <c r="D1319" s="8">
        <v>8.0</v>
      </c>
      <c r="E1319" s="7">
        <f t="shared" si="2"/>
        <v>92</v>
      </c>
      <c r="F1319" s="16" t="s">
        <v>10</v>
      </c>
    </row>
    <row r="1320">
      <c r="A1320" s="7">
        <v>31.0</v>
      </c>
      <c r="B1320" s="10" t="s">
        <v>2630</v>
      </c>
      <c r="C1320" s="10" t="s">
        <v>2631</v>
      </c>
      <c r="D1320" s="8">
        <v>8.88</v>
      </c>
      <c r="E1320" s="7">
        <f t="shared" si="2"/>
        <v>91.12</v>
      </c>
      <c r="F1320" s="16" t="s">
        <v>10</v>
      </c>
      <c r="G1320" s="4"/>
    </row>
    <row r="1321">
      <c r="A1321" s="7">
        <v>32.0</v>
      </c>
      <c r="B1321" s="10" t="s">
        <v>2632</v>
      </c>
      <c r="C1321" s="10" t="s">
        <v>2633</v>
      </c>
      <c r="D1321" s="8">
        <v>9.23</v>
      </c>
      <c r="E1321" s="7">
        <f t="shared" si="2"/>
        <v>90.77</v>
      </c>
      <c r="F1321" s="16" t="s">
        <v>10</v>
      </c>
      <c r="G1321" s="4"/>
    </row>
    <row r="1322">
      <c r="A1322" s="7">
        <v>33.0</v>
      </c>
      <c r="B1322" s="10" t="s">
        <v>2634</v>
      </c>
      <c r="C1322" s="10" t="s">
        <v>2635</v>
      </c>
      <c r="D1322" s="8">
        <v>12.5</v>
      </c>
      <c r="E1322" s="7">
        <f t="shared" si="2"/>
        <v>87.5</v>
      </c>
      <c r="F1322" s="16" t="s">
        <v>217</v>
      </c>
      <c r="G1322" s="7"/>
    </row>
    <row r="1323">
      <c r="A1323" s="7">
        <v>34.0</v>
      </c>
      <c r="B1323" s="10" t="s">
        <v>2636</v>
      </c>
      <c r="C1323" s="10" t="s">
        <v>2637</v>
      </c>
      <c r="D1323" s="8">
        <v>11.21</v>
      </c>
      <c r="E1323" s="7">
        <f t="shared" si="2"/>
        <v>88.79</v>
      </c>
      <c r="F1323" s="16" t="s">
        <v>217</v>
      </c>
      <c r="G1323" s="7"/>
    </row>
    <row r="1324">
      <c r="A1324" s="7">
        <v>35.0</v>
      </c>
      <c r="B1324" s="10" t="s">
        <v>2638</v>
      </c>
      <c r="C1324" s="10" t="s">
        <v>2639</v>
      </c>
      <c r="D1324" s="8">
        <v>9.3</v>
      </c>
      <c r="E1324" s="7">
        <f t="shared" si="2"/>
        <v>90.7</v>
      </c>
      <c r="F1324" s="16" t="s">
        <v>10</v>
      </c>
      <c r="G1324" s="7"/>
    </row>
    <row r="1325">
      <c r="A1325" s="7">
        <v>36.0</v>
      </c>
      <c r="B1325" s="10" t="s">
        <v>2640</v>
      </c>
      <c r="C1325" s="10" t="s">
        <v>2641</v>
      </c>
      <c r="D1325" s="8">
        <v>12.5</v>
      </c>
      <c r="E1325" s="7">
        <f t="shared" si="2"/>
        <v>87.5</v>
      </c>
      <c r="F1325" s="16" t="s">
        <v>217</v>
      </c>
      <c r="G1325" s="7"/>
    </row>
    <row r="1326">
      <c r="A1326" s="7">
        <v>37.0</v>
      </c>
      <c r="B1326" s="10" t="s">
        <v>2642</v>
      </c>
      <c r="C1326" s="10" t="s">
        <v>2643</v>
      </c>
      <c r="D1326" s="8">
        <v>12.5</v>
      </c>
      <c r="E1326" s="7">
        <f t="shared" si="2"/>
        <v>87.5</v>
      </c>
      <c r="F1326" s="16" t="s">
        <v>10</v>
      </c>
      <c r="G1326" s="7"/>
    </row>
    <row r="1327">
      <c r="A1327" s="7">
        <v>38.0</v>
      </c>
      <c r="B1327" s="10" t="s">
        <v>2644</v>
      </c>
      <c r="C1327" s="10" t="s">
        <v>2645</v>
      </c>
      <c r="D1327" s="8">
        <v>12.5</v>
      </c>
      <c r="E1327" s="7">
        <f t="shared" si="2"/>
        <v>87.5</v>
      </c>
      <c r="F1327" s="16" t="s">
        <v>217</v>
      </c>
      <c r="G1327" s="7"/>
    </row>
    <row r="1328">
      <c r="A1328" s="7">
        <v>39.0</v>
      </c>
      <c r="B1328" s="10" t="s">
        <v>2646</v>
      </c>
      <c r="C1328" s="10" t="s">
        <v>2647</v>
      </c>
      <c r="D1328" s="8">
        <v>11.27</v>
      </c>
      <c r="E1328" s="7">
        <f t="shared" si="2"/>
        <v>88.73</v>
      </c>
      <c r="F1328" s="16" t="s">
        <v>10</v>
      </c>
      <c r="G1328" s="7"/>
    </row>
    <row r="1329">
      <c r="A1329" s="7">
        <v>40.0</v>
      </c>
      <c r="B1329" s="10" t="s">
        <v>2648</v>
      </c>
      <c r="C1329" s="10" t="s">
        <v>2649</v>
      </c>
      <c r="D1329" s="8">
        <v>13.32</v>
      </c>
      <c r="E1329" s="7">
        <f t="shared" si="2"/>
        <v>86.68</v>
      </c>
      <c r="F1329" s="16" t="s">
        <v>10</v>
      </c>
      <c r="G1329" s="7"/>
    </row>
    <row r="1330">
      <c r="A1330" s="7">
        <v>41.0</v>
      </c>
      <c r="B1330" s="10" t="s">
        <v>2650</v>
      </c>
      <c r="C1330" s="10" t="s">
        <v>2651</v>
      </c>
      <c r="D1330" s="8">
        <v>12.5</v>
      </c>
      <c r="E1330" s="7">
        <f t="shared" si="2"/>
        <v>87.5</v>
      </c>
      <c r="F1330" s="16" t="s">
        <v>10</v>
      </c>
      <c r="G1330" s="7"/>
    </row>
    <row r="1331">
      <c r="A1331" s="7">
        <v>42.0</v>
      </c>
      <c r="B1331" s="10" t="s">
        <v>2652</v>
      </c>
      <c r="C1331" s="10" t="s">
        <v>2653</v>
      </c>
      <c r="D1331" s="8">
        <v>12.5</v>
      </c>
      <c r="E1331" s="7">
        <f t="shared" si="2"/>
        <v>87.5</v>
      </c>
      <c r="F1331" s="16" t="s">
        <v>217</v>
      </c>
      <c r="G1331" s="7"/>
    </row>
    <row r="1332">
      <c r="A1332" s="7">
        <v>43.0</v>
      </c>
      <c r="B1332" s="10" t="s">
        <v>2654</v>
      </c>
      <c r="C1332" s="10" t="s">
        <v>2655</v>
      </c>
      <c r="D1332" s="8">
        <v>12.5</v>
      </c>
      <c r="E1332" s="7">
        <f t="shared" si="2"/>
        <v>87.5</v>
      </c>
      <c r="F1332" s="16" t="s">
        <v>217</v>
      </c>
      <c r="G1332" s="7"/>
    </row>
    <row r="1333">
      <c r="A1333" s="7">
        <v>44.0</v>
      </c>
      <c r="B1333" s="10" t="s">
        <v>2656</v>
      </c>
      <c r="C1333" s="10" t="s">
        <v>2657</v>
      </c>
      <c r="D1333" s="8">
        <v>12.5</v>
      </c>
      <c r="E1333" s="7">
        <f t="shared" si="2"/>
        <v>87.5</v>
      </c>
      <c r="F1333" s="16" t="s">
        <v>10</v>
      </c>
      <c r="G1333" s="7"/>
    </row>
    <row r="1334">
      <c r="A1334" s="7">
        <v>45.0</v>
      </c>
      <c r="B1334" s="10" t="s">
        <v>2658</v>
      </c>
      <c r="C1334" s="10" t="s">
        <v>2659</v>
      </c>
      <c r="D1334" s="8">
        <v>10.42</v>
      </c>
      <c r="E1334" s="7">
        <f t="shared" si="2"/>
        <v>89.58</v>
      </c>
      <c r="F1334" s="16" t="s">
        <v>217</v>
      </c>
      <c r="G1334" s="7"/>
    </row>
    <row r="1335">
      <c r="A1335" s="7">
        <v>46.0</v>
      </c>
      <c r="B1335" s="10" t="s">
        <v>2660</v>
      </c>
      <c r="C1335" s="10" t="s">
        <v>2661</v>
      </c>
      <c r="D1335" s="8">
        <v>10.64</v>
      </c>
      <c r="E1335" s="7">
        <f t="shared" si="2"/>
        <v>89.36</v>
      </c>
      <c r="F1335" s="16" t="s">
        <v>217</v>
      </c>
      <c r="G1335" s="7"/>
    </row>
    <row r="1336">
      <c r="A1336" s="7">
        <v>47.0</v>
      </c>
      <c r="B1336" s="10" t="s">
        <v>2662</v>
      </c>
      <c r="C1336" s="10" t="s">
        <v>2663</v>
      </c>
      <c r="D1336" s="8">
        <v>9.22</v>
      </c>
      <c r="E1336" s="7">
        <f t="shared" si="2"/>
        <v>90.78</v>
      </c>
      <c r="F1336" s="16" t="s">
        <v>217</v>
      </c>
      <c r="G1336" s="7"/>
    </row>
    <row r="1337">
      <c r="A1337" s="7">
        <v>48.0</v>
      </c>
      <c r="B1337" s="10" t="s">
        <v>2664</v>
      </c>
      <c r="C1337" s="10" t="s">
        <v>2665</v>
      </c>
      <c r="D1337" s="8">
        <v>8.92</v>
      </c>
      <c r="E1337" s="7">
        <f t="shared" si="2"/>
        <v>91.08</v>
      </c>
      <c r="F1337" s="16" t="s">
        <v>10</v>
      </c>
      <c r="G1337" s="7"/>
    </row>
    <row r="1338">
      <c r="A1338" s="7">
        <v>49.0</v>
      </c>
      <c r="B1338" s="10" t="s">
        <v>2666</v>
      </c>
      <c r="C1338" s="10" t="s">
        <v>2667</v>
      </c>
      <c r="D1338" s="8">
        <v>12.5</v>
      </c>
      <c r="E1338" s="7">
        <f t="shared" si="2"/>
        <v>87.5</v>
      </c>
      <c r="F1338" s="16" t="s">
        <v>217</v>
      </c>
      <c r="G1338" s="7"/>
    </row>
    <row r="1339">
      <c r="A1339" s="7">
        <v>50.0</v>
      </c>
      <c r="B1339" s="10" t="s">
        <v>2668</v>
      </c>
      <c r="C1339" s="10" t="s">
        <v>2669</v>
      </c>
      <c r="D1339" s="8">
        <v>11.19</v>
      </c>
      <c r="E1339" s="7">
        <f t="shared" si="2"/>
        <v>88.81</v>
      </c>
      <c r="F1339" s="16" t="s">
        <v>10</v>
      </c>
      <c r="G1339" s="7"/>
    </row>
    <row r="1340">
      <c r="A1340" s="7">
        <v>51.0</v>
      </c>
      <c r="B1340" s="10" t="s">
        <v>2670</v>
      </c>
      <c r="C1340" s="10" t="s">
        <v>2671</v>
      </c>
      <c r="D1340" s="8">
        <v>12.5</v>
      </c>
      <c r="E1340" s="7">
        <f t="shared" si="2"/>
        <v>87.5</v>
      </c>
      <c r="F1340" s="16" t="s">
        <v>10</v>
      </c>
      <c r="G1340" s="7"/>
    </row>
    <row r="1341">
      <c r="A1341" s="7">
        <v>52.0</v>
      </c>
      <c r="B1341" s="10" t="s">
        <v>2672</v>
      </c>
      <c r="C1341" s="10" t="s">
        <v>2673</v>
      </c>
      <c r="D1341" s="8">
        <v>8.62</v>
      </c>
      <c r="E1341" s="7">
        <f t="shared" si="2"/>
        <v>91.38</v>
      </c>
      <c r="F1341" s="16" t="s">
        <v>217</v>
      </c>
      <c r="G1341" s="7"/>
    </row>
    <row r="1342">
      <c r="A1342" s="7">
        <v>53.0</v>
      </c>
      <c r="B1342" s="10" t="s">
        <v>2674</v>
      </c>
      <c r="C1342" s="10" t="s">
        <v>2675</v>
      </c>
      <c r="D1342" s="8">
        <v>12.5</v>
      </c>
      <c r="E1342" s="7">
        <f t="shared" si="2"/>
        <v>87.5</v>
      </c>
      <c r="F1342" s="16" t="s">
        <v>10</v>
      </c>
      <c r="G1342" s="7"/>
    </row>
    <row r="1343">
      <c r="A1343" s="7">
        <v>54.0</v>
      </c>
      <c r="B1343" s="10" t="s">
        <v>2676</v>
      </c>
      <c r="C1343" s="10" t="s">
        <v>2677</v>
      </c>
      <c r="D1343" s="8">
        <v>12.88</v>
      </c>
      <c r="E1343" s="7">
        <f t="shared" si="2"/>
        <v>87.12</v>
      </c>
      <c r="F1343" s="16" t="s">
        <v>10</v>
      </c>
      <c r="G1343" s="7"/>
    </row>
    <row r="1344">
      <c r="A1344" s="7">
        <v>55.0</v>
      </c>
      <c r="B1344" s="10" t="s">
        <v>2678</v>
      </c>
      <c r="C1344" s="10" t="s">
        <v>2679</v>
      </c>
      <c r="D1344" s="8">
        <v>12.5</v>
      </c>
      <c r="E1344" s="7">
        <f t="shared" si="2"/>
        <v>87.5</v>
      </c>
      <c r="F1344" s="16" t="s">
        <v>217</v>
      </c>
      <c r="G1344" s="7"/>
    </row>
    <row r="1345">
      <c r="A1345" s="7">
        <v>56.0</v>
      </c>
      <c r="B1345" s="10" t="s">
        <v>2680</v>
      </c>
      <c r="C1345" s="10" t="s">
        <v>2681</v>
      </c>
      <c r="D1345" s="8">
        <v>12.33</v>
      </c>
      <c r="E1345" s="7">
        <f t="shared" si="2"/>
        <v>87.67</v>
      </c>
      <c r="F1345" s="16" t="s">
        <v>10</v>
      </c>
      <c r="G1345" s="7"/>
    </row>
    <row r="1346">
      <c r="A1346" s="7">
        <v>57.0</v>
      </c>
      <c r="B1346" s="10" t="s">
        <v>2682</v>
      </c>
      <c r="C1346" s="10" t="s">
        <v>2683</v>
      </c>
      <c r="D1346" s="8">
        <v>12.5</v>
      </c>
      <c r="E1346" s="7">
        <f t="shared" si="2"/>
        <v>87.5</v>
      </c>
      <c r="F1346" s="16" t="s">
        <v>217</v>
      </c>
      <c r="G1346" s="7"/>
    </row>
    <row r="1347">
      <c r="A1347" s="7">
        <v>58.0</v>
      </c>
      <c r="B1347" s="10" t="s">
        <v>2684</v>
      </c>
      <c r="C1347" s="10" t="s">
        <v>2685</v>
      </c>
      <c r="D1347" s="8">
        <v>12.57</v>
      </c>
      <c r="E1347" s="7">
        <f t="shared" si="2"/>
        <v>87.43</v>
      </c>
      <c r="F1347" s="16" t="s">
        <v>10</v>
      </c>
      <c r="G1347" s="7"/>
    </row>
    <row r="1348">
      <c r="A1348" s="7">
        <v>59.0</v>
      </c>
      <c r="B1348" s="10" t="s">
        <v>2686</v>
      </c>
      <c r="C1348" s="10" t="s">
        <v>2687</v>
      </c>
      <c r="D1348" s="8">
        <v>12.5</v>
      </c>
      <c r="E1348" s="7">
        <f t="shared" si="2"/>
        <v>87.5</v>
      </c>
      <c r="F1348" s="16" t="s">
        <v>217</v>
      </c>
      <c r="G1348" s="7"/>
    </row>
    <row r="1349">
      <c r="A1349" s="7">
        <v>60.0</v>
      </c>
      <c r="B1349" s="10" t="s">
        <v>2688</v>
      </c>
      <c r="C1349" s="10" t="s">
        <v>2689</v>
      </c>
      <c r="D1349" s="8">
        <v>11.45</v>
      </c>
      <c r="E1349" s="7">
        <f t="shared" si="2"/>
        <v>88.55</v>
      </c>
      <c r="F1349" s="16" t="s">
        <v>217</v>
      </c>
      <c r="G1349" s="7"/>
    </row>
    <row r="1350">
      <c r="A1350" s="7">
        <v>61.0</v>
      </c>
      <c r="B1350" s="10" t="s">
        <v>2690</v>
      </c>
      <c r="C1350" s="10" t="s">
        <v>2691</v>
      </c>
      <c r="D1350" s="8">
        <v>9.27</v>
      </c>
      <c r="E1350" s="7">
        <f t="shared" si="2"/>
        <v>90.73</v>
      </c>
      <c r="F1350" s="16" t="s">
        <v>10</v>
      </c>
      <c r="G1350" s="7"/>
    </row>
    <row r="1351">
      <c r="A1351" s="7">
        <v>62.0</v>
      </c>
      <c r="B1351" s="10" t="s">
        <v>2692</v>
      </c>
      <c r="C1351" s="10" t="s">
        <v>2693</v>
      </c>
      <c r="D1351" s="8">
        <v>9.53</v>
      </c>
      <c r="E1351" s="7">
        <f t="shared" si="2"/>
        <v>90.47</v>
      </c>
      <c r="F1351" s="16" t="s">
        <v>217</v>
      </c>
      <c r="G1351" s="7"/>
    </row>
    <row r="1352">
      <c r="A1352" s="7">
        <v>63.0</v>
      </c>
      <c r="B1352" s="10" t="s">
        <v>2694</v>
      </c>
      <c r="C1352" s="10" t="s">
        <v>2695</v>
      </c>
      <c r="D1352" s="8">
        <v>12.9</v>
      </c>
      <c r="E1352" s="7">
        <f t="shared" si="2"/>
        <v>87.1</v>
      </c>
      <c r="F1352" s="16" t="s">
        <v>217</v>
      </c>
      <c r="G1352" s="7"/>
    </row>
    <row r="1353">
      <c r="A1353" s="10">
        <v>64.0</v>
      </c>
      <c r="B1353" s="10" t="s">
        <v>2696</v>
      </c>
      <c r="C1353" s="10" t="s">
        <v>2697</v>
      </c>
      <c r="D1353" s="8">
        <v>53.5</v>
      </c>
      <c r="E1353" s="7">
        <f t="shared" si="2"/>
        <v>46.5</v>
      </c>
      <c r="F1353" s="16" t="s">
        <v>10</v>
      </c>
      <c r="G1353" s="7"/>
    </row>
    <row r="1354">
      <c r="A1354" s="10">
        <v>65.0</v>
      </c>
      <c r="B1354" s="10" t="s">
        <v>2698</v>
      </c>
      <c r="C1354" s="10" t="s">
        <v>2699</v>
      </c>
      <c r="D1354" s="8">
        <v>12.5</v>
      </c>
      <c r="E1354" s="7">
        <f t="shared" si="2"/>
        <v>87.5</v>
      </c>
      <c r="F1354" s="16" t="s">
        <v>217</v>
      </c>
      <c r="G1354" s="7"/>
    </row>
    <row r="1355">
      <c r="A1355" s="7">
        <v>66.0</v>
      </c>
      <c r="B1355" s="10" t="s">
        <v>2700</v>
      </c>
      <c r="C1355" s="10" t="s">
        <v>2701</v>
      </c>
      <c r="D1355" s="8">
        <v>12.5</v>
      </c>
      <c r="E1355" s="7">
        <f t="shared" si="2"/>
        <v>87.5</v>
      </c>
      <c r="F1355" s="16" t="s">
        <v>10</v>
      </c>
      <c r="G1355" s="7"/>
    </row>
    <row r="1356">
      <c r="A1356" s="10">
        <v>67.0</v>
      </c>
      <c r="B1356" s="12" t="s">
        <v>2702</v>
      </c>
      <c r="C1356" s="12" t="s">
        <v>2703</v>
      </c>
      <c r="D1356" s="8">
        <v>8.71</v>
      </c>
      <c r="E1356" s="7">
        <f t="shared" si="2"/>
        <v>91.29</v>
      </c>
      <c r="F1356" s="16" t="s">
        <v>217</v>
      </c>
      <c r="G1356" s="7"/>
    </row>
    <row r="1357">
      <c r="A1357" s="7">
        <v>68.0</v>
      </c>
      <c r="B1357" s="12" t="s">
        <v>2704</v>
      </c>
      <c r="C1357" s="12" t="s">
        <v>2705</v>
      </c>
      <c r="D1357" s="8">
        <v>12.5</v>
      </c>
      <c r="E1357" s="7">
        <f t="shared" si="2"/>
        <v>87.5</v>
      </c>
      <c r="F1357" s="16" t="s">
        <v>217</v>
      </c>
      <c r="G1357" s="7"/>
    </row>
    <row r="1358">
      <c r="A1358" s="7">
        <v>69.0</v>
      </c>
      <c r="B1358" s="12" t="s">
        <v>2706</v>
      </c>
      <c r="C1358" s="12" t="s">
        <v>2707</v>
      </c>
      <c r="D1358" s="8">
        <v>16.35</v>
      </c>
      <c r="E1358" s="7">
        <f t="shared" si="2"/>
        <v>83.65</v>
      </c>
      <c r="F1358" s="16" t="s">
        <v>10</v>
      </c>
      <c r="G1358" s="7"/>
    </row>
    <row r="1359">
      <c r="A1359" s="10">
        <v>70.0</v>
      </c>
      <c r="B1359" s="12" t="s">
        <v>2708</v>
      </c>
      <c r="C1359" s="12" t="s">
        <v>2709</v>
      </c>
      <c r="D1359" s="8">
        <v>12.18</v>
      </c>
      <c r="E1359" s="7">
        <f t="shared" si="2"/>
        <v>87.82</v>
      </c>
      <c r="F1359" s="16" t="s">
        <v>10</v>
      </c>
      <c r="G1359" s="7"/>
    </row>
    <row r="1360">
      <c r="A1360" s="7">
        <v>71.0</v>
      </c>
      <c r="B1360" s="12" t="s">
        <v>2710</v>
      </c>
      <c r="C1360" s="12" t="s">
        <v>2711</v>
      </c>
      <c r="D1360" s="8">
        <v>11.36</v>
      </c>
      <c r="E1360" s="7">
        <f t="shared" si="2"/>
        <v>88.64</v>
      </c>
      <c r="F1360" s="16" t="s">
        <v>10</v>
      </c>
      <c r="G1360" s="7"/>
    </row>
    <row r="1361">
      <c r="A1361" s="7">
        <v>72.0</v>
      </c>
      <c r="B1361" s="12" t="s">
        <v>2712</v>
      </c>
      <c r="C1361" s="12" t="s">
        <v>2713</v>
      </c>
      <c r="D1361" s="8">
        <v>11.66</v>
      </c>
      <c r="E1361" s="7">
        <f t="shared" si="2"/>
        <v>88.34</v>
      </c>
      <c r="F1361" s="16" t="s">
        <v>10</v>
      </c>
      <c r="G1361" s="7"/>
    </row>
    <row r="1362">
      <c r="A1362" s="10">
        <v>73.0</v>
      </c>
      <c r="B1362" s="12" t="s">
        <v>2714</v>
      </c>
      <c r="C1362" s="12" t="s">
        <v>2715</v>
      </c>
      <c r="D1362" s="8">
        <v>12.5</v>
      </c>
      <c r="E1362" s="7">
        <f t="shared" si="2"/>
        <v>87.5</v>
      </c>
      <c r="F1362" s="16" t="s">
        <v>217</v>
      </c>
      <c r="G1362" s="7"/>
    </row>
    <row r="1363">
      <c r="A1363" s="7">
        <v>74.0</v>
      </c>
      <c r="B1363" s="12" t="s">
        <v>2716</v>
      </c>
      <c r="C1363" s="12" t="s">
        <v>2717</v>
      </c>
      <c r="D1363" s="8">
        <v>14.43</v>
      </c>
      <c r="E1363" s="7">
        <f t="shared" si="2"/>
        <v>85.57</v>
      </c>
      <c r="F1363" s="16" t="s">
        <v>217</v>
      </c>
      <c r="G1363" s="7"/>
    </row>
    <row r="1364">
      <c r="A1364" s="7">
        <v>75.0</v>
      </c>
      <c r="B1364" s="12" t="s">
        <v>2718</v>
      </c>
      <c r="C1364" s="12" t="s">
        <v>2719</v>
      </c>
      <c r="D1364" s="8">
        <v>12.5</v>
      </c>
      <c r="E1364" s="7">
        <f t="shared" si="2"/>
        <v>87.5</v>
      </c>
      <c r="F1364" s="16" t="s">
        <v>217</v>
      </c>
      <c r="G1364" s="7"/>
    </row>
    <row r="1365">
      <c r="A1365" s="10">
        <v>76.0</v>
      </c>
      <c r="B1365" s="12" t="s">
        <v>2720</v>
      </c>
      <c r="C1365" s="12" t="s">
        <v>2721</v>
      </c>
      <c r="D1365" s="8">
        <v>17.18</v>
      </c>
      <c r="E1365" s="7">
        <f t="shared" si="2"/>
        <v>82.82</v>
      </c>
      <c r="F1365" s="16" t="s">
        <v>217</v>
      </c>
      <c r="G1365" s="7"/>
    </row>
    <row r="1366">
      <c r="A1366" s="7">
        <v>77.0</v>
      </c>
      <c r="B1366" s="12" t="s">
        <v>2722</v>
      </c>
      <c r="C1366" s="12" t="s">
        <v>2723</v>
      </c>
      <c r="D1366" s="8">
        <v>8.0</v>
      </c>
      <c r="E1366" s="7">
        <f t="shared" si="2"/>
        <v>92</v>
      </c>
      <c r="F1366" s="16" t="s">
        <v>10</v>
      </c>
      <c r="G1366" s="7"/>
    </row>
    <row r="1367">
      <c r="A1367" s="10">
        <v>78.0</v>
      </c>
      <c r="B1367" s="12" t="s">
        <v>2724</v>
      </c>
      <c r="C1367" s="12" t="s">
        <v>2725</v>
      </c>
      <c r="D1367" s="8">
        <v>12.5</v>
      </c>
      <c r="E1367" s="7">
        <f t="shared" si="2"/>
        <v>87.5</v>
      </c>
      <c r="F1367" s="16" t="s">
        <v>217</v>
      </c>
      <c r="G1367" s="7"/>
    </row>
    <row r="1368">
      <c r="A1368" s="7">
        <v>79.0</v>
      </c>
      <c r="B1368" s="12" t="s">
        <v>2726</v>
      </c>
      <c r="C1368" s="12" t="s">
        <v>2727</v>
      </c>
      <c r="D1368" s="8">
        <v>9.4</v>
      </c>
      <c r="E1368" s="7">
        <f t="shared" si="2"/>
        <v>90.6</v>
      </c>
      <c r="F1368" s="16" t="s">
        <v>10</v>
      </c>
      <c r="G1368" s="7"/>
    </row>
    <row r="1369">
      <c r="A1369" s="7">
        <v>80.0</v>
      </c>
      <c r="B1369" s="12" t="s">
        <v>2728</v>
      </c>
      <c r="C1369" s="12" t="s">
        <v>2729</v>
      </c>
      <c r="D1369" s="8">
        <v>10.1</v>
      </c>
      <c r="E1369" s="7">
        <f t="shared" si="2"/>
        <v>89.9</v>
      </c>
      <c r="F1369" s="16" t="s">
        <v>10</v>
      </c>
      <c r="G1369" s="7"/>
    </row>
    <row r="1370">
      <c r="A1370" s="10">
        <v>81.0</v>
      </c>
      <c r="B1370" s="12" t="s">
        <v>2730</v>
      </c>
      <c r="C1370" s="12" t="s">
        <v>2731</v>
      </c>
      <c r="D1370" s="8">
        <v>8.87</v>
      </c>
      <c r="E1370" s="7">
        <f t="shared" si="2"/>
        <v>91.13</v>
      </c>
      <c r="F1370" s="16" t="s">
        <v>217</v>
      </c>
      <c r="G1370" s="7"/>
    </row>
    <row r="1371">
      <c r="A1371" s="7">
        <v>82.0</v>
      </c>
      <c r="B1371" s="12" t="s">
        <v>2732</v>
      </c>
      <c r="C1371" s="12" t="s">
        <v>2733</v>
      </c>
      <c r="D1371" s="8">
        <v>10.16</v>
      </c>
      <c r="E1371" s="7">
        <f t="shared" si="2"/>
        <v>89.84</v>
      </c>
      <c r="F1371" s="16" t="s">
        <v>10</v>
      </c>
      <c r="G1371" s="7"/>
    </row>
    <row r="1372">
      <c r="A1372" s="7">
        <v>83.0</v>
      </c>
      <c r="B1372" s="12" t="s">
        <v>2734</v>
      </c>
      <c r="C1372" s="12" t="s">
        <v>2735</v>
      </c>
      <c r="D1372" s="8">
        <v>10.72</v>
      </c>
      <c r="E1372" s="7">
        <f t="shared" si="2"/>
        <v>89.28</v>
      </c>
      <c r="F1372" s="16" t="s">
        <v>217</v>
      </c>
      <c r="G1372" s="7"/>
    </row>
    <row r="1373">
      <c r="A1373" s="10">
        <v>84.0</v>
      </c>
      <c r="B1373" s="12" t="s">
        <v>2736</v>
      </c>
      <c r="C1373" s="12" t="s">
        <v>2737</v>
      </c>
      <c r="D1373" s="12">
        <v>9.42</v>
      </c>
      <c r="E1373" s="7">
        <f t="shared" si="2"/>
        <v>90.58</v>
      </c>
      <c r="F1373" s="16" t="s">
        <v>217</v>
      </c>
      <c r="G1373" s="7"/>
    </row>
    <row r="1374">
      <c r="A1374" s="7">
        <v>85.0</v>
      </c>
      <c r="B1374" s="12" t="s">
        <v>2738</v>
      </c>
      <c r="C1374" s="12" t="s">
        <v>2739</v>
      </c>
      <c r="D1374" s="12">
        <v>11.09</v>
      </c>
      <c r="E1374" s="7">
        <f t="shared" si="2"/>
        <v>88.91</v>
      </c>
      <c r="F1374" s="16" t="s">
        <v>217</v>
      </c>
      <c r="G1374" s="7"/>
    </row>
    <row r="1375">
      <c r="A1375" s="7">
        <v>86.0</v>
      </c>
      <c r="B1375" s="12" t="s">
        <v>2740</v>
      </c>
      <c r="C1375" s="12" t="s">
        <v>2741</v>
      </c>
      <c r="D1375" s="12">
        <v>11.41</v>
      </c>
      <c r="E1375" s="7">
        <f t="shared" si="2"/>
        <v>88.59</v>
      </c>
      <c r="F1375" s="16" t="s">
        <v>10</v>
      </c>
      <c r="G1375" s="7"/>
    </row>
    <row r="1376">
      <c r="A1376" s="7">
        <v>87.0</v>
      </c>
      <c r="B1376" s="12" t="s">
        <v>2742</v>
      </c>
      <c r="C1376" s="12" t="s">
        <v>2743</v>
      </c>
      <c r="D1376" s="12">
        <v>11.71</v>
      </c>
      <c r="E1376" s="7">
        <f t="shared" si="2"/>
        <v>88.29</v>
      </c>
      <c r="F1376" s="16" t="s">
        <v>10</v>
      </c>
      <c r="G1376" s="7"/>
    </row>
    <row r="1377">
      <c r="A1377" s="10">
        <v>88.0</v>
      </c>
      <c r="B1377" s="12" t="s">
        <v>2744</v>
      </c>
      <c r="C1377" s="12" t="s">
        <v>2745</v>
      </c>
      <c r="D1377" s="12">
        <v>10.61</v>
      </c>
      <c r="E1377" s="7">
        <f t="shared" si="2"/>
        <v>89.39</v>
      </c>
      <c r="F1377" s="16" t="s">
        <v>217</v>
      </c>
      <c r="G1377" s="7"/>
    </row>
    <row r="1378">
      <c r="A1378" s="7">
        <v>89.0</v>
      </c>
      <c r="B1378" s="12" t="s">
        <v>2746</v>
      </c>
      <c r="C1378" s="12" t="s">
        <v>2747</v>
      </c>
      <c r="D1378" s="12">
        <v>8.87</v>
      </c>
      <c r="E1378" s="7">
        <f t="shared" si="2"/>
        <v>91.13</v>
      </c>
      <c r="F1378" s="16" t="s">
        <v>10</v>
      </c>
      <c r="G1378" s="7"/>
    </row>
    <row r="1379">
      <c r="A1379" s="7">
        <v>90.0</v>
      </c>
      <c r="B1379" s="12" t="s">
        <v>2748</v>
      </c>
      <c r="C1379" s="12" t="s">
        <v>2749</v>
      </c>
      <c r="D1379" s="12">
        <v>12.33</v>
      </c>
      <c r="E1379" s="7">
        <f t="shared" si="2"/>
        <v>87.67</v>
      </c>
      <c r="F1379" s="16" t="s">
        <v>217</v>
      </c>
      <c r="G1379" s="7"/>
    </row>
    <row r="1380">
      <c r="A1380" s="7">
        <v>91.0</v>
      </c>
      <c r="B1380" s="12" t="s">
        <v>2750</v>
      </c>
      <c r="C1380" s="12" t="s">
        <v>2751</v>
      </c>
      <c r="D1380" s="12">
        <v>12.5</v>
      </c>
      <c r="E1380" s="7">
        <f t="shared" si="2"/>
        <v>87.5</v>
      </c>
      <c r="F1380" s="16" t="s">
        <v>217</v>
      </c>
      <c r="G1380" s="7"/>
    </row>
    <row r="1381">
      <c r="A1381" s="7">
        <v>92.0</v>
      </c>
      <c r="B1381" s="12" t="s">
        <v>2752</v>
      </c>
      <c r="C1381" s="12" t="s">
        <v>2753</v>
      </c>
      <c r="D1381" s="12">
        <v>12.5</v>
      </c>
      <c r="E1381" s="7">
        <f t="shared" si="2"/>
        <v>87.5</v>
      </c>
      <c r="F1381" s="16" t="s">
        <v>217</v>
      </c>
      <c r="G1381" s="7"/>
    </row>
    <row r="1382">
      <c r="A1382" s="7">
        <v>93.0</v>
      </c>
      <c r="B1382" s="12" t="s">
        <v>2754</v>
      </c>
      <c r="C1382" s="12" t="s">
        <v>2755</v>
      </c>
      <c r="D1382" s="12">
        <v>16.22</v>
      </c>
      <c r="E1382" s="7">
        <f t="shared" si="2"/>
        <v>83.78</v>
      </c>
      <c r="F1382" s="16" t="s">
        <v>217</v>
      </c>
      <c r="G1382" s="7"/>
    </row>
    <row r="1383">
      <c r="A1383" s="10">
        <v>94.0</v>
      </c>
      <c r="B1383" s="12" t="s">
        <v>2756</v>
      </c>
      <c r="C1383" s="12" t="s">
        <v>2757</v>
      </c>
      <c r="D1383" s="12">
        <v>12.5</v>
      </c>
      <c r="E1383" s="7">
        <f t="shared" si="2"/>
        <v>87.5</v>
      </c>
      <c r="F1383" s="16" t="s">
        <v>217</v>
      </c>
      <c r="G1383" s="7"/>
    </row>
    <row r="1384">
      <c r="A1384" s="7">
        <v>95.0</v>
      </c>
      <c r="B1384" s="12" t="s">
        <v>2758</v>
      </c>
      <c r="C1384" s="12" t="s">
        <v>2759</v>
      </c>
      <c r="D1384" s="12">
        <v>9.13</v>
      </c>
      <c r="E1384" s="7">
        <f t="shared" si="2"/>
        <v>90.87</v>
      </c>
      <c r="F1384" s="16" t="s">
        <v>217</v>
      </c>
      <c r="G1384" s="7"/>
    </row>
    <row r="1385">
      <c r="A1385" s="7">
        <v>96.0</v>
      </c>
      <c r="B1385" s="12" t="s">
        <v>2760</v>
      </c>
      <c r="C1385" s="12" t="s">
        <v>2761</v>
      </c>
      <c r="D1385" s="12">
        <v>12.5</v>
      </c>
      <c r="E1385" s="7">
        <f t="shared" si="2"/>
        <v>87.5</v>
      </c>
      <c r="F1385" s="16" t="s">
        <v>10</v>
      </c>
      <c r="G1385" s="7"/>
    </row>
    <row r="1386">
      <c r="A1386" s="7">
        <v>97.0</v>
      </c>
      <c r="B1386" s="12" t="s">
        <v>2762</v>
      </c>
      <c r="C1386" s="12" t="s">
        <v>2763</v>
      </c>
      <c r="D1386" s="12">
        <v>12.5</v>
      </c>
      <c r="E1386" s="7">
        <f t="shared" si="2"/>
        <v>87.5</v>
      </c>
      <c r="F1386" s="16" t="s">
        <v>10</v>
      </c>
      <c r="G1386" s="7"/>
    </row>
    <row r="1387">
      <c r="A1387" s="7">
        <v>98.0</v>
      </c>
      <c r="B1387" s="12" t="s">
        <v>2764</v>
      </c>
      <c r="C1387" s="12" t="s">
        <v>2765</v>
      </c>
      <c r="D1387" s="12">
        <v>12.94</v>
      </c>
      <c r="E1387" s="7">
        <f t="shared" si="2"/>
        <v>87.06</v>
      </c>
      <c r="F1387" s="16" t="s">
        <v>217</v>
      </c>
      <c r="G1387" s="7"/>
    </row>
    <row r="1388">
      <c r="A1388" s="7">
        <v>99.0</v>
      </c>
      <c r="B1388" s="12" t="s">
        <v>2766</v>
      </c>
      <c r="C1388" s="12" t="s">
        <v>2767</v>
      </c>
      <c r="D1388" s="12">
        <v>12.5</v>
      </c>
      <c r="E1388" s="7">
        <f t="shared" si="2"/>
        <v>87.5</v>
      </c>
      <c r="F1388" s="16" t="s">
        <v>217</v>
      </c>
      <c r="G1388" s="7"/>
    </row>
    <row r="1389">
      <c r="A1389" s="7">
        <v>100.0</v>
      </c>
      <c r="B1389" s="12" t="s">
        <v>2768</v>
      </c>
      <c r="C1389" s="12" t="s">
        <v>2769</v>
      </c>
      <c r="D1389" s="12">
        <v>12.5</v>
      </c>
      <c r="E1389" s="7">
        <f t="shared" si="2"/>
        <v>87.5</v>
      </c>
      <c r="F1389" s="16" t="s">
        <v>217</v>
      </c>
      <c r="G1389" s="7"/>
    </row>
    <row r="1390">
      <c r="A1390" s="7">
        <v>101.0</v>
      </c>
      <c r="B1390" s="12" t="s">
        <v>2770</v>
      </c>
      <c r="C1390" s="12" t="s">
        <v>2771</v>
      </c>
      <c r="D1390" s="12">
        <v>12.5</v>
      </c>
      <c r="E1390" s="7">
        <f t="shared" si="2"/>
        <v>87.5</v>
      </c>
      <c r="F1390" s="16" t="s">
        <v>10</v>
      </c>
      <c r="G1390" s="7"/>
    </row>
    <row r="1391">
      <c r="A1391" s="7">
        <v>102.0</v>
      </c>
      <c r="B1391" s="12" t="s">
        <v>2772</v>
      </c>
      <c r="C1391" s="12" t="s">
        <v>2773</v>
      </c>
      <c r="D1391" s="12">
        <v>12.5</v>
      </c>
      <c r="E1391" s="7">
        <f t="shared" si="2"/>
        <v>87.5</v>
      </c>
      <c r="F1391" s="16" t="s">
        <v>10</v>
      </c>
      <c r="G1391" s="7"/>
    </row>
    <row r="1392">
      <c r="A1392" s="7">
        <v>103.0</v>
      </c>
      <c r="B1392" s="12" t="s">
        <v>2774</v>
      </c>
      <c r="C1392" s="12" t="s">
        <v>2775</v>
      </c>
      <c r="D1392" s="12">
        <v>8.71</v>
      </c>
      <c r="E1392" s="7">
        <f t="shared" si="2"/>
        <v>91.29</v>
      </c>
      <c r="F1392" s="16" t="s">
        <v>10</v>
      </c>
      <c r="G1392" s="7"/>
    </row>
    <row r="1393">
      <c r="A1393" s="7">
        <v>104.0</v>
      </c>
      <c r="B1393" s="12" t="s">
        <v>2776</v>
      </c>
      <c r="C1393" s="12" t="s">
        <v>2777</v>
      </c>
      <c r="D1393" s="12">
        <v>12.62</v>
      </c>
      <c r="E1393" s="7">
        <f t="shared" si="2"/>
        <v>87.38</v>
      </c>
      <c r="F1393" s="16" t="s">
        <v>217</v>
      </c>
      <c r="G1393" s="7"/>
    </row>
    <row r="1394">
      <c r="A1394" s="7">
        <v>105.0</v>
      </c>
      <c r="B1394" s="12" t="s">
        <v>2778</v>
      </c>
      <c r="C1394" s="12" t="s">
        <v>2779</v>
      </c>
      <c r="D1394" s="12">
        <v>9.32</v>
      </c>
      <c r="E1394" s="7">
        <f t="shared" si="2"/>
        <v>90.68</v>
      </c>
      <c r="F1394" s="16" t="s">
        <v>10</v>
      </c>
      <c r="G1394" s="7"/>
    </row>
    <row r="1395">
      <c r="A1395" s="7">
        <v>106.0</v>
      </c>
      <c r="B1395" s="12" t="s">
        <v>2780</v>
      </c>
      <c r="C1395" s="12" t="s">
        <v>2781</v>
      </c>
      <c r="D1395" s="12">
        <v>12.5</v>
      </c>
      <c r="E1395" s="7">
        <f t="shared" si="2"/>
        <v>87.5</v>
      </c>
      <c r="F1395" s="16" t="s">
        <v>217</v>
      </c>
      <c r="G1395" s="7"/>
    </row>
    <row r="1396">
      <c r="A1396" s="7">
        <v>107.0</v>
      </c>
      <c r="B1396" s="12" t="s">
        <v>2782</v>
      </c>
      <c r="C1396" s="12" t="s">
        <v>2783</v>
      </c>
      <c r="D1396" s="12">
        <v>12.5</v>
      </c>
      <c r="E1396" s="7">
        <f t="shared" si="2"/>
        <v>87.5</v>
      </c>
      <c r="F1396" s="16" t="s">
        <v>10</v>
      </c>
      <c r="G1396" s="7"/>
    </row>
    <row r="1397">
      <c r="A1397" s="7">
        <v>108.0</v>
      </c>
      <c r="B1397" s="12" t="s">
        <v>2784</v>
      </c>
      <c r="C1397" s="12" t="s">
        <v>2785</v>
      </c>
      <c r="D1397" s="12">
        <v>12.5</v>
      </c>
      <c r="E1397" s="7">
        <f t="shared" si="2"/>
        <v>87.5</v>
      </c>
      <c r="F1397" s="16" t="s">
        <v>10</v>
      </c>
      <c r="G1397" s="7"/>
    </row>
    <row r="1398">
      <c r="A1398" s="7">
        <v>109.0</v>
      </c>
      <c r="B1398" s="12" t="s">
        <v>2786</v>
      </c>
      <c r="C1398" s="12" t="s">
        <v>2787</v>
      </c>
      <c r="D1398" s="12">
        <v>12.5</v>
      </c>
      <c r="E1398" s="7">
        <f t="shared" si="2"/>
        <v>87.5</v>
      </c>
      <c r="F1398" s="16" t="s">
        <v>10</v>
      </c>
      <c r="G1398" s="7"/>
    </row>
    <row r="1399">
      <c r="A1399" s="7">
        <v>110.0</v>
      </c>
      <c r="B1399" s="12" t="s">
        <v>2788</v>
      </c>
      <c r="C1399" s="12" t="s">
        <v>2789</v>
      </c>
      <c r="D1399" s="12">
        <v>12.5</v>
      </c>
      <c r="E1399" s="7">
        <f t="shared" si="2"/>
        <v>87.5</v>
      </c>
      <c r="F1399" s="16" t="s">
        <v>217</v>
      </c>
      <c r="G1399" s="7"/>
    </row>
    <row r="1400">
      <c r="A1400" s="7">
        <v>111.0</v>
      </c>
      <c r="B1400" s="12" t="s">
        <v>2790</v>
      </c>
      <c r="C1400" s="12" t="s">
        <v>2791</v>
      </c>
      <c r="D1400" s="12">
        <v>12.5</v>
      </c>
      <c r="E1400" s="7">
        <f t="shared" si="2"/>
        <v>87.5</v>
      </c>
      <c r="F1400" s="16" t="s">
        <v>10</v>
      </c>
      <c r="G1400" s="7"/>
    </row>
    <row r="1401">
      <c r="A1401" s="7">
        <v>112.0</v>
      </c>
      <c r="B1401" s="12" t="s">
        <v>2792</v>
      </c>
      <c r="C1401" s="12" t="s">
        <v>2793</v>
      </c>
      <c r="D1401" s="12">
        <v>11.38</v>
      </c>
      <c r="E1401" s="7">
        <f t="shared" si="2"/>
        <v>88.62</v>
      </c>
      <c r="F1401" s="16" t="s">
        <v>10</v>
      </c>
      <c r="G1401" s="7"/>
    </row>
    <row r="1402">
      <c r="A1402" s="7">
        <v>113.0</v>
      </c>
      <c r="B1402" s="12" t="s">
        <v>2794</v>
      </c>
      <c r="C1402" s="12" t="s">
        <v>2795</v>
      </c>
      <c r="D1402" s="12">
        <v>10.24</v>
      </c>
      <c r="E1402" s="7">
        <f t="shared" si="2"/>
        <v>89.76</v>
      </c>
      <c r="F1402" s="16" t="s">
        <v>217</v>
      </c>
      <c r="G1402" s="7"/>
    </row>
    <row r="1403">
      <c r="A1403" s="7">
        <v>114.0</v>
      </c>
      <c r="B1403" s="12" t="s">
        <v>2796</v>
      </c>
      <c r="C1403" s="12" t="s">
        <v>2797</v>
      </c>
      <c r="D1403" s="12">
        <v>9.74</v>
      </c>
      <c r="E1403" s="7">
        <f t="shared" si="2"/>
        <v>90.26</v>
      </c>
      <c r="F1403" s="16" t="s">
        <v>217</v>
      </c>
      <c r="G1403" s="7"/>
    </row>
    <row r="1404">
      <c r="A1404" s="12"/>
      <c r="B1404" s="12"/>
      <c r="C1404" s="12"/>
      <c r="D1404" s="12"/>
      <c r="E1404" s="12"/>
      <c r="F1404" s="12"/>
      <c r="G1404" s="7"/>
    </row>
    <row r="1405">
      <c r="A1405" s="4"/>
      <c r="B1405" s="4"/>
      <c r="C1405" s="4"/>
      <c r="D1405" s="4"/>
      <c r="E1405" s="4"/>
      <c r="F1405" s="4"/>
      <c r="G1405" s="7"/>
    </row>
    <row r="1406">
      <c r="A1406" s="4"/>
      <c r="B1406" s="4"/>
      <c r="C1406" s="4"/>
      <c r="D1406" s="4"/>
      <c r="E1406" s="4"/>
      <c r="F1406" s="4"/>
      <c r="G1406" s="7"/>
    </row>
    <row r="1407">
      <c r="A1407" s="4" t="s">
        <v>2798</v>
      </c>
      <c r="F1407" s="4"/>
      <c r="G1407" s="7"/>
    </row>
    <row r="1408">
      <c r="A1408" s="4" t="s">
        <v>2</v>
      </c>
      <c r="B1408" s="14" t="s">
        <v>3</v>
      </c>
      <c r="C1408" s="14" t="s">
        <v>4</v>
      </c>
      <c r="D1408" s="15" t="s">
        <v>2799</v>
      </c>
      <c r="E1408" s="15" t="s">
        <v>2800</v>
      </c>
      <c r="F1408" s="14" t="s">
        <v>6</v>
      </c>
      <c r="G1408" s="13" t="s">
        <v>2801</v>
      </c>
    </row>
    <row r="1409">
      <c r="A1409" s="12">
        <v>1.0</v>
      </c>
      <c r="B1409" s="16">
        <v>540.0</v>
      </c>
      <c r="C1409" s="17" t="s">
        <v>2802</v>
      </c>
      <c r="D1409" s="17" t="s">
        <v>2803</v>
      </c>
      <c r="E1409" s="16">
        <v>7.5</v>
      </c>
      <c r="F1409" s="7">
        <f t="shared" ref="F1409:F3874" si="3">100-E1409</f>
        <v>92.5</v>
      </c>
      <c r="G1409" s="17" t="s">
        <v>2804</v>
      </c>
    </row>
    <row r="1410">
      <c r="A1410" s="12">
        <v>2.0</v>
      </c>
      <c r="B1410" s="16">
        <v>540.0</v>
      </c>
      <c r="C1410" s="17" t="s">
        <v>2805</v>
      </c>
      <c r="D1410" s="17" t="s">
        <v>2806</v>
      </c>
      <c r="E1410" s="16">
        <v>7.5</v>
      </c>
      <c r="F1410" s="7">
        <f t="shared" si="3"/>
        <v>92.5</v>
      </c>
      <c r="G1410" s="17" t="s">
        <v>2804</v>
      </c>
    </row>
    <row r="1411">
      <c r="A1411" s="12">
        <v>3.0</v>
      </c>
      <c r="B1411" s="17" t="s">
        <v>2807</v>
      </c>
      <c r="C1411" s="17" t="s">
        <v>2808</v>
      </c>
      <c r="D1411" s="17" t="s">
        <v>2809</v>
      </c>
      <c r="E1411" s="16">
        <v>7.5</v>
      </c>
      <c r="F1411" s="7">
        <f t="shared" si="3"/>
        <v>92.5</v>
      </c>
      <c r="G1411" s="17" t="s">
        <v>2804</v>
      </c>
    </row>
    <row r="1412">
      <c r="A1412" s="12">
        <v>4.0</v>
      </c>
      <c r="B1412" s="17" t="s">
        <v>2810</v>
      </c>
      <c r="C1412" s="17" t="s">
        <v>2811</v>
      </c>
      <c r="D1412" s="17" t="s">
        <v>2812</v>
      </c>
      <c r="E1412" s="16">
        <v>7.5</v>
      </c>
      <c r="F1412" s="7">
        <f t="shared" si="3"/>
        <v>92.5</v>
      </c>
      <c r="G1412" s="17" t="s">
        <v>2804</v>
      </c>
    </row>
    <row r="1413">
      <c r="A1413" s="12">
        <v>5.0</v>
      </c>
      <c r="B1413" s="17" t="s">
        <v>2810</v>
      </c>
      <c r="C1413" s="17" t="s">
        <v>2813</v>
      </c>
      <c r="D1413" s="17" t="s">
        <v>2814</v>
      </c>
      <c r="E1413" s="16">
        <v>7.5</v>
      </c>
      <c r="F1413" s="7">
        <f t="shared" si="3"/>
        <v>92.5</v>
      </c>
      <c r="G1413" s="17" t="s">
        <v>2804</v>
      </c>
    </row>
    <row r="1414">
      <c r="A1414" s="12">
        <v>6.0</v>
      </c>
      <c r="B1414" s="17" t="s">
        <v>2815</v>
      </c>
      <c r="C1414" s="17" t="s">
        <v>2816</v>
      </c>
      <c r="D1414" s="17" t="s">
        <v>2817</v>
      </c>
      <c r="E1414" s="16">
        <v>7.5</v>
      </c>
      <c r="F1414" s="7">
        <f t="shared" si="3"/>
        <v>92.5</v>
      </c>
      <c r="G1414" s="17" t="s">
        <v>2804</v>
      </c>
    </row>
    <row r="1415">
      <c r="A1415" s="12">
        <v>7.0</v>
      </c>
      <c r="B1415" s="17" t="s">
        <v>2818</v>
      </c>
      <c r="C1415" s="17" t="s">
        <v>2819</v>
      </c>
      <c r="D1415" s="17" t="s">
        <v>2820</v>
      </c>
      <c r="E1415" s="16">
        <v>7.5</v>
      </c>
      <c r="F1415" s="7">
        <f t="shared" si="3"/>
        <v>92.5</v>
      </c>
      <c r="G1415" s="17" t="s">
        <v>2804</v>
      </c>
    </row>
    <row r="1416">
      <c r="A1416" s="12">
        <v>8.0</v>
      </c>
      <c r="B1416" s="17" t="s">
        <v>2821</v>
      </c>
      <c r="C1416" s="17" t="s">
        <v>2822</v>
      </c>
      <c r="D1416" s="17" t="s">
        <v>2823</v>
      </c>
      <c r="E1416" s="16">
        <v>7.5</v>
      </c>
      <c r="F1416" s="7">
        <f t="shared" si="3"/>
        <v>92.5</v>
      </c>
      <c r="G1416" s="17" t="s">
        <v>2804</v>
      </c>
    </row>
    <row r="1417">
      <c r="A1417" s="12">
        <v>9.0</v>
      </c>
      <c r="B1417" s="17" t="s">
        <v>2821</v>
      </c>
      <c r="C1417" s="17" t="s">
        <v>2824</v>
      </c>
      <c r="D1417" s="17" t="s">
        <v>2825</v>
      </c>
      <c r="E1417" s="16">
        <v>7.5</v>
      </c>
      <c r="F1417" s="7">
        <f t="shared" si="3"/>
        <v>92.5</v>
      </c>
      <c r="G1417" s="17" t="s">
        <v>2804</v>
      </c>
    </row>
    <row r="1418">
      <c r="A1418" s="12">
        <v>10.0</v>
      </c>
      <c r="B1418" s="17" t="s">
        <v>2826</v>
      </c>
      <c r="C1418" s="17" t="s">
        <v>2827</v>
      </c>
      <c r="D1418" s="17" t="s">
        <v>2828</v>
      </c>
      <c r="E1418" s="16">
        <v>7.5</v>
      </c>
      <c r="F1418" s="7">
        <f t="shared" si="3"/>
        <v>92.5</v>
      </c>
      <c r="G1418" s="17" t="s">
        <v>2804</v>
      </c>
    </row>
    <row r="1419">
      <c r="A1419" s="12">
        <v>11.0</v>
      </c>
      <c r="B1419" s="17" t="s">
        <v>2829</v>
      </c>
      <c r="C1419" s="17" t="s">
        <v>2830</v>
      </c>
      <c r="D1419" s="17" t="s">
        <v>2831</v>
      </c>
      <c r="E1419" s="16">
        <v>7.5</v>
      </c>
      <c r="F1419" s="7">
        <f t="shared" si="3"/>
        <v>92.5</v>
      </c>
      <c r="G1419" s="17" t="s">
        <v>2804</v>
      </c>
    </row>
    <row r="1420">
      <c r="A1420" s="12">
        <v>12.0</v>
      </c>
      <c r="B1420" s="17" t="s">
        <v>2832</v>
      </c>
      <c r="C1420" s="17" t="s">
        <v>2833</v>
      </c>
      <c r="D1420" s="17" t="s">
        <v>2834</v>
      </c>
      <c r="E1420" s="16">
        <v>7.5</v>
      </c>
      <c r="F1420" s="7">
        <f t="shared" si="3"/>
        <v>92.5</v>
      </c>
      <c r="G1420" s="17" t="s">
        <v>2804</v>
      </c>
    </row>
    <row r="1421">
      <c r="A1421" s="12">
        <v>13.0</v>
      </c>
      <c r="B1421" s="17" t="s">
        <v>2832</v>
      </c>
      <c r="C1421" s="17" t="s">
        <v>2835</v>
      </c>
      <c r="D1421" s="17" t="s">
        <v>2836</v>
      </c>
      <c r="E1421" s="16">
        <v>7.5</v>
      </c>
      <c r="F1421" s="7">
        <f t="shared" si="3"/>
        <v>92.5</v>
      </c>
      <c r="G1421" s="17" t="s">
        <v>2804</v>
      </c>
    </row>
    <row r="1422">
      <c r="A1422" s="12">
        <v>14.0</v>
      </c>
      <c r="B1422" s="17" t="s">
        <v>2837</v>
      </c>
      <c r="C1422" s="17" t="s">
        <v>2838</v>
      </c>
      <c r="D1422" s="17" t="s">
        <v>2839</v>
      </c>
      <c r="E1422" s="16">
        <v>7.5</v>
      </c>
      <c r="F1422" s="7">
        <f t="shared" si="3"/>
        <v>92.5</v>
      </c>
      <c r="G1422" s="17" t="s">
        <v>2804</v>
      </c>
    </row>
    <row r="1423">
      <c r="A1423" s="12">
        <v>15.0</v>
      </c>
      <c r="B1423" s="17" t="s">
        <v>2840</v>
      </c>
      <c r="C1423" s="17" t="s">
        <v>2841</v>
      </c>
      <c r="D1423" s="17" t="s">
        <v>2842</v>
      </c>
      <c r="E1423" s="16">
        <v>7.5</v>
      </c>
      <c r="F1423" s="7">
        <f t="shared" si="3"/>
        <v>92.5</v>
      </c>
      <c r="G1423" s="17" t="s">
        <v>2804</v>
      </c>
    </row>
    <row r="1424">
      <c r="A1424" s="12">
        <v>16.0</v>
      </c>
      <c r="B1424" s="17" t="s">
        <v>2843</v>
      </c>
      <c r="C1424" s="17" t="s">
        <v>2844</v>
      </c>
      <c r="D1424" s="17" t="s">
        <v>2845</v>
      </c>
      <c r="E1424" s="16">
        <v>7.5</v>
      </c>
      <c r="F1424" s="7">
        <f t="shared" si="3"/>
        <v>92.5</v>
      </c>
      <c r="G1424" s="17" t="s">
        <v>2804</v>
      </c>
    </row>
    <row r="1425">
      <c r="A1425" s="12">
        <v>17.0</v>
      </c>
      <c r="B1425" s="17" t="s">
        <v>2846</v>
      </c>
      <c r="C1425" s="17" t="s">
        <v>2847</v>
      </c>
      <c r="D1425" s="17" t="s">
        <v>2848</v>
      </c>
      <c r="E1425" s="16">
        <v>7.5</v>
      </c>
      <c r="F1425" s="7">
        <f t="shared" si="3"/>
        <v>92.5</v>
      </c>
      <c r="G1425" s="17" t="s">
        <v>2804</v>
      </c>
    </row>
    <row r="1426">
      <c r="A1426" s="12">
        <v>18.0</v>
      </c>
      <c r="B1426" s="17" t="s">
        <v>2849</v>
      </c>
      <c r="C1426" s="17" t="s">
        <v>2850</v>
      </c>
      <c r="D1426" s="17" t="s">
        <v>2851</v>
      </c>
      <c r="E1426" s="16">
        <v>7.5</v>
      </c>
      <c r="F1426" s="7">
        <f t="shared" si="3"/>
        <v>92.5</v>
      </c>
      <c r="G1426" s="17" t="s">
        <v>2804</v>
      </c>
    </row>
    <row r="1427">
      <c r="A1427" s="12">
        <v>19.0</v>
      </c>
      <c r="B1427" s="17" t="s">
        <v>2852</v>
      </c>
      <c r="C1427" s="17" t="s">
        <v>2853</v>
      </c>
      <c r="D1427" s="17" t="s">
        <v>2854</v>
      </c>
      <c r="E1427" s="16">
        <v>7.5</v>
      </c>
      <c r="F1427" s="7">
        <f t="shared" si="3"/>
        <v>92.5</v>
      </c>
      <c r="G1427" s="17" t="s">
        <v>2804</v>
      </c>
    </row>
    <row r="1428">
      <c r="A1428" s="12">
        <v>20.0</v>
      </c>
      <c r="B1428" s="17" t="s">
        <v>2855</v>
      </c>
      <c r="C1428" s="17" t="s">
        <v>2856</v>
      </c>
      <c r="D1428" s="17" t="s">
        <v>2857</v>
      </c>
      <c r="E1428" s="16">
        <v>7.5</v>
      </c>
      <c r="F1428" s="7">
        <f t="shared" si="3"/>
        <v>92.5</v>
      </c>
      <c r="G1428" s="17" t="s">
        <v>2804</v>
      </c>
    </row>
    <row r="1429">
      <c r="A1429" s="12">
        <v>21.0</v>
      </c>
      <c r="B1429" s="17" t="s">
        <v>2858</v>
      </c>
      <c r="C1429" s="17" t="s">
        <v>2859</v>
      </c>
      <c r="D1429" s="17" t="s">
        <v>2860</v>
      </c>
      <c r="E1429" s="16">
        <v>7.5</v>
      </c>
      <c r="F1429" s="7">
        <f t="shared" si="3"/>
        <v>92.5</v>
      </c>
      <c r="G1429" s="17" t="s">
        <v>2804</v>
      </c>
    </row>
    <row r="1430">
      <c r="A1430" s="12">
        <v>22.0</v>
      </c>
      <c r="B1430" s="17" t="s">
        <v>2861</v>
      </c>
      <c r="C1430" s="17" t="s">
        <v>2862</v>
      </c>
      <c r="D1430" s="17" t="s">
        <v>2863</v>
      </c>
      <c r="E1430" s="16">
        <v>7.5</v>
      </c>
      <c r="F1430" s="7">
        <f t="shared" si="3"/>
        <v>92.5</v>
      </c>
      <c r="G1430" s="17" t="s">
        <v>2804</v>
      </c>
    </row>
    <row r="1431">
      <c r="A1431" s="12">
        <v>23.0</v>
      </c>
      <c r="B1431" s="17" t="s">
        <v>2861</v>
      </c>
      <c r="C1431" s="17" t="s">
        <v>2864</v>
      </c>
      <c r="D1431" s="17" t="s">
        <v>2865</v>
      </c>
      <c r="E1431" s="16">
        <v>7.5</v>
      </c>
      <c r="F1431" s="7">
        <f t="shared" si="3"/>
        <v>92.5</v>
      </c>
      <c r="G1431" s="17" t="s">
        <v>2804</v>
      </c>
    </row>
    <row r="1432">
      <c r="A1432" s="12">
        <v>24.0</v>
      </c>
      <c r="B1432" s="17" t="s">
        <v>2866</v>
      </c>
      <c r="C1432" s="17" t="s">
        <v>2867</v>
      </c>
      <c r="D1432" s="17" t="s">
        <v>2868</v>
      </c>
      <c r="E1432" s="16">
        <v>7.5</v>
      </c>
      <c r="F1432" s="7">
        <f t="shared" si="3"/>
        <v>92.5</v>
      </c>
      <c r="G1432" s="17" t="s">
        <v>2804</v>
      </c>
    </row>
    <row r="1433">
      <c r="A1433" s="12">
        <v>25.0</v>
      </c>
      <c r="B1433" s="17" t="s">
        <v>2869</v>
      </c>
      <c r="C1433" s="17" t="s">
        <v>2870</v>
      </c>
      <c r="D1433" s="17" t="s">
        <v>2871</v>
      </c>
      <c r="E1433" s="16">
        <v>7.5</v>
      </c>
      <c r="F1433" s="7">
        <f t="shared" si="3"/>
        <v>92.5</v>
      </c>
      <c r="G1433" s="17" t="s">
        <v>2804</v>
      </c>
    </row>
    <row r="1434">
      <c r="A1434" s="12">
        <v>26.0</v>
      </c>
      <c r="B1434" s="17" t="s">
        <v>2872</v>
      </c>
      <c r="C1434" s="17" t="s">
        <v>2873</v>
      </c>
      <c r="D1434" s="17" t="s">
        <v>2874</v>
      </c>
      <c r="E1434" s="16">
        <v>7.5</v>
      </c>
      <c r="F1434" s="7">
        <f t="shared" si="3"/>
        <v>92.5</v>
      </c>
      <c r="G1434" s="17" t="s">
        <v>2804</v>
      </c>
    </row>
    <row r="1435">
      <c r="A1435" s="12">
        <v>27.0</v>
      </c>
      <c r="B1435" s="17" t="s">
        <v>2875</v>
      </c>
      <c r="C1435" s="17" t="s">
        <v>2876</v>
      </c>
      <c r="D1435" s="17" t="s">
        <v>2877</v>
      </c>
      <c r="E1435" s="16">
        <v>7.5</v>
      </c>
      <c r="F1435" s="7">
        <f t="shared" si="3"/>
        <v>92.5</v>
      </c>
      <c r="G1435" s="17" t="s">
        <v>2804</v>
      </c>
    </row>
    <row r="1436">
      <c r="A1436" s="12">
        <v>28.0</v>
      </c>
      <c r="B1436" s="17" t="s">
        <v>2878</v>
      </c>
      <c r="C1436" s="17" t="s">
        <v>2879</v>
      </c>
      <c r="D1436" s="17" t="s">
        <v>2880</v>
      </c>
      <c r="E1436" s="16">
        <v>7.5</v>
      </c>
      <c r="F1436" s="7">
        <f t="shared" si="3"/>
        <v>92.5</v>
      </c>
      <c r="G1436" s="17" t="s">
        <v>2804</v>
      </c>
    </row>
    <row r="1437">
      <c r="A1437" s="12">
        <v>29.0</v>
      </c>
      <c r="B1437" s="17" t="s">
        <v>2881</v>
      </c>
      <c r="C1437" s="17" t="s">
        <v>2882</v>
      </c>
      <c r="D1437" s="17" t="s">
        <v>2883</v>
      </c>
      <c r="E1437" s="16">
        <v>7.5</v>
      </c>
      <c r="F1437" s="7">
        <f t="shared" si="3"/>
        <v>92.5</v>
      </c>
      <c r="G1437" s="17" t="s">
        <v>2804</v>
      </c>
    </row>
    <row r="1438">
      <c r="A1438" s="12">
        <v>30.0</v>
      </c>
      <c r="B1438" s="17" t="s">
        <v>2884</v>
      </c>
      <c r="C1438" s="17" t="s">
        <v>2885</v>
      </c>
      <c r="D1438" s="17" t="s">
        <v>2886</v>
      </c>
      <c r="E1438" s="16">
        <v>7.5</v>
      </c>
      <c r="F1438" s="7">
        <f t="shared" si="3"/>
        <v>92.5</v>
      </c>
      <c r="G1438" s="17" t="s">
        <v>2804</v>
      </c>
    </row>
    <row r="1439">
      <c r="A1439" s="12">
        <v>31.0</v>
      </c>
      <c r="B1439" s="17" t="s">
        <v>2887</v>
      </c>
      <c r="C1439" s="17" t="s">
        <v>2888</v>
      </c>
      <c r="D1439" s="17" t="s">
        <v>2889</v>
      </c>
      <c r="E1439" s="16">
        <v>7.5</v>
      </c>
      <c r="F1439" s="7">
        <f t="shared" si="3"/>
        <v>92.5</v>
      </c>
      <c r="G1439" s="17" t="s">
        <v>2804</v>
      </c>
    </row>
    <row r="1440">
      <c r="A1440" s="12">
        <v>32.0</v>
      </c>
      <c r="B1440" s="17" t="s">
        <v>2890</v>
      </c>
      <c r="C1440" s="17" t="s">
        <v>2891</v>
      </c>
      <c r="D1440" s="17" t="s">
        <v>2892</v>
      </c>
      <c r="E1440" s="16">
        <v>7.5</v>
      </c>
      <c r="F1440" s="7">
        <f t="shared" si="3"/>
        <v>92.5</v>
      </c>
      <c r="G1440" s="17" t="s">
        <v>2804</v>
      </c>
    </row>
    <row r="1441">
      <c r="A1441" s="12">
        <v>33.0</v>
      </c>
      <c r="B1441" s="17" t="s">
        <v>2893</v>
      </c>
      <c r="C1441" s="17" t="s">
        <v>2894</v>
      </c>
      <c r="D1441" s="17" t="s">
        <v>2895</v>
      </c>
      <c r="E1441" s="16">
        <v>7.5</v>
      </c>
      <c r="F1441" s="7">
        <f t="shared" si="3"/>
        <v>92.5</v>
      </c>
      <c r="G1441" s="17" t="s">
        <v>2804</v>
      </c>
    </row>
    <row r="1442">
      <c r="A1442" s="12">
        <v>34.0</v>
      </c>
      <c r="B1442" s="17" t="s">
        <v>2896</v>
      </c>
      <c r="C1442" s="17" t="s">
        <v>2897</v>
      </c>
      <c r="D1442" s="17" t="s">
        <v>2898</v>
      </c>
      <c r="E1442" s="16">
        <v>7.5</v>
      </c>
      <c r="F1442" s="7">
        <f t="shared" si="3"/>
        <v>92.5</v>
      </c>
      <c r="G1442" s="17" t="s">
        <v>2804</v>
      </c>
    </row>
    <row r="1443">
      <c r="A1443" s="12">
        <v>35.0</v>
      </c>
      <c r="B1443" s="17" t="s">
        <v>2899</v>
      </c>
      <c r="C1443" s="17" t="s">
        <v>2900</v>
      </c>
      <c r="D1443" s="17" t="s">
        <v>2898</v>
      </c>
      <c r="E1443" s="16">
        <v>7.5</v>
      </c>
      <c r="F1443" s="7">
        <f t="shared" si="3"/>
        <v>92.5</v>
      </c>
      <c r="G1443" s="17" t="s">
        <v>2804</v>
      </c>
    </row>
    <row r="1444">
      <c r="A1444" s="12">
        <v>36.0</v>
      </c>
      <c r="B1444" s="17" t="s">
        <v>2901</v>
      </c>
      <c r="C1444" s="17" t="s">
        <v>2902</v>
      </c>
      <c r="D1444" s="17" t="s">
        <v>2903</v>
      </c>
      <c r="E1444" s="16">
        <v>7.5</v>
      </c>
      <c r="F1444" s="7">
        <f t="shared" si="3"/>
        <v>92.5</v>
      </c>
      <c r="G1444" s="17" t="s">
        <v>2804</v>
      </c>
    </row>
    <row r="1445">
      <c r="A1445" s="12">
        <v>37.0</v>
      </c>
      <c r="B1445" s="17" t="s">
        <v>2904</v>
      </c>
      <c r="C1445" s="17" t="s">
        <v>2905</v>
      </c>
      <c r="D1445" s="17" t="s">
        <v>2906</v>
      </c>
      <c r="E1445" s="16">
        <v>7.5</v>
      </c>
      <c r="F1445" s="7">
        <f t="shared" si="3"/>
        <v>92.5</v>
      </c>
      <c r="G1445" s="17" t="s">
        <v>2804</v>
      </c>
    </row>
    <row r="1446">
      <c r="A1446" s="12">
        <v>38.0</v>
      </c>
      <c r="B1446" s="17" t="s">
        <v>2907</v>
      </c>
      <c r="C1446" s="17" t="s">
        <v>2908</v>
      </c>
      <c r="D1446" s="17" t="s">
        <v>2906</v>
      </c>
      <c r="E1446" s="16">
        <v>7.5</v>
      </c>
      <c r="F1446" s="7">
        <f t="shared" si="3"/>
        <v>92.5</v>
      </c>
      <c r="G1446" s="17" t="s">
        <v>2804</v>
      </c>
    </row>
    <row r="1447">
      <c r="A1447" s="12">
        <v>39.0</v>
      </c>
      <c r="B1447" s="17" t="s">
        <v>2909</v>
      </c>
      <c r="C1447" s="17" t="s">
        <v>2910</v>
      </c>
      <c r="D1447" s="17" t="s">
        <v>2911</v>
      </c>
      <c r="E1447" s="16">
        <v>7.5</v>
      </c>
      <c r="F1447" s="7">
        <f t="shared" si="3"/>
        <v>92.5</v>
      </c>
      <c r="G1447" s="17" t="s">
        <v>2804</v>
      </c>
    </row>
    <row r="1448">
      <c r="A1448" s="12">
        <v>40.0</v>
      </c>
      <c r="B1448" s="17" t="s">
        <v>2912</v>
      </c>
      <c r="C1448" s="17" t="s">
        <v>2913</v>
      </c>
      <c r="D1448" s="17" t="s">
        <v>2914</v>
      </c>
      <c r="E1448" s="16">
        <v>7.5</v>
      </c>
      <c r="F1448" s="7">
        <f t="shared" si="3"/>
        <v>92.5</v>
      </c>
      <c r="G1448" s="17" t="s">
        <v>2804</v>
      </c>
    </row>
    <row r="1449">
      <c r="A1449" s="12">
        <v>41.0</v>
      </c>
      <c r="B1449" s="17" t="s">
        <v>2915</v>
      </c>
      <c r="C1449" s="17" t="s">
        <v>2916</v>
      </c>
      <c r="D1449" s="17" t="s">
        <v>2917</v>
      </c>
      <c r="E1449" s="16">
        <v>7.5</v>
      </c>
      <c r="F1449" s="7">
        <f t="shared" si="3"/>
        <v>92.5</v>
      </c>
      <c r="G1449" s="17" t="s">
        <v>2804</v>
      </c>
    </row>
    <row r="1450">
      <c r="A1450" s="12">
        <v>42.0</v>
      </c>
      <c r="B1450" s="17" t="s">
        <v>2918</v>
      </c>
      <c r="C1450" s="17" t="s">
        <v>2919</v>
      </c>
      <c r="D1450" s="17" t="s">
        <v>2917</v>
      </c>
      <c r="E1450" s="16">
        <v>7.5</v>
      </c>
      <c r="F1450" s="7">
        <f t="shared" si="3"/>
        <v>92.5</v>
      </c>
      <c r="G1450" s="17" t="s">
        <v>2804</v>
      </c>
    </row>
    <row r="1451">
      <c r="A1451" s="12">
        <v>43.0</v>
      </c>
      <c r="B1451" s="17" t="s">
        <v>2920</v>
      </c>
      <c r="C1451" s="17" t="s">
        <v>2921</v>
      </c>
      <c r="D1451" s="17" t="s">
        <v>2922</v>
      </c>
      <c r="E1451" s="16">
        <v>7.5</v>
      </c>
      <c r="F1451" s="7">
        <f t="shared" si="3"/>
        <v>92.5</v>
      </c>
      <c r="G1451" s="17" t="s">
        <v>2804</v>
      </c>
    </row>
    <row r="1452">
      <c r="A1452" s="12">
        <v>44.0</v>
      </c>
      <c r="B1452" s="17" t="s">
        <v>2923</v>
      </c>
      <c r="C1452" s="17" t="s">
        <v>2924</v>
      </c>
      <c r="D1452" s="17" t="s">
        <v>2922</v>
      </c>
      <c r="E1452" s="16">
        <v>7.5</v>
      </c>
      <c r="F1452" s="7">
        <f t="shared" si="3"/>
        <v>92.5</v>
      </c>
      <c r="G1452" s="17" t="s">
        <v>2804</v>
      </c>
    </row>
    <row r="1453">
      <c r="A1453" s="12">
        <v>45.0</v>
      </c>
      <c r="B1453" s="17" t="s">
        <v>2925</v>
      </c>
      <c r="C1453" s="17" t="s">
        <v>2926</v>
      </c>
      <c r="D1453" s="17" t="s">
        <v>2927</v>
      </c>
      <c r="E1453" s="16">
        <v>7.5</v>
      </c>
      <c r="F1453" s="7">
        <f t="shared" si="3"/>
        <v>92.5</v>
      </c>
      <c r="G1453" s="17" t="s">
        <v>2804</v>
      </c>
    </row>
    <row r="1454">
      <c r="A1454" s="12">
        <v>46.0</v>
      </c>
      <c r="B1454" s="17" t="s">
        <v>2928</v>
      </c>
      <c r="C1454" s="17" t="s">
        <v>2929</v>
      </c>
      <c r="D1454" s="17" t="s">
        <v>2927</v>
      </c>
      <c r="E1454" s="16">
        <v>7.5</v>
      </c>
      <c r="F1454" s="7">
        <f t="shared" si="3"/>
        <v>92.5</v>
      </c>
      <c r="G1454" s="17" t="s">
        <v>2804</v>
      </c>
    </row>
    <row r="1455">
      <c r="A1455" s="12">
        <v>47.0</v>
      </c>
      <c r="B1455" s="17" t="s">
        <v>2930</v>
      </c>
      <c r="C1455" s="17" t="s">
        <v>2931</v>
      </c>
      <c r="D1455" s="17" t="s">
        <v>2932</v>
      </c>
      <c r="E1455" s="16">
        <v>7.5</v>
      </c>
      <c r="F1455" s="7">
        <f t="shared" si="3"/>
        <v>92.5</v>
      </c>
      <c r="G1455" s="17" t="s">
        <v>2804</v>
      </c>
    </row>
    <row r="1456">
      <c r="A1456" s="12">
        <v>48.0</v>
      </c>
      <c r="B1456" s="17" t="s">
        <v>2933</v>
      </c>
      <c r="C1456" s="17" t="s">
        <v>2934</v>
      </c>
      <c r="D1456" s="17" t="s">
        <v>2935</v>
      </c>
      <c r="E1456" s="16">
        <v>7.5</v>
      </c>
      <c r="F1456" s="7">
        <f t="shared" si="3"/>
        <v>92.5</v>
      </c>
      <c r="G1456" s="17" t="s">
        <v>2804</v>
      </c>
    </row>
    <row r="1457">
      <c r="A1457" s="12">
        <v>49.0</v>
      </c>
      <c r="B1457" s="17" t="s">
        <v>2936</v>
      </c>
      <c r="C1457" s="17" t="s">
        <v>2937</v>
      </c>
      <c r="D1457" s="17" t="s">
        <v>2938</v>
      </c>
      <c r="E1457" s="16">
        <v>7.5</v>
      </c>
      <c r="F1457" s="7">
        <f t="shared" si="3"/>
        <v>92.5</v>
      </c>
      <c r="G1457" s="17" t="s">
        <v>2804</v>
      </c>
    </row>
    <row r="1458">
      <c r="A1458" s="12">
        <v>50.0</v>
      </c>
      <c r="B1458" s="17" t="s">
        <v>2939</v>
      </c>
      <c r="C1458" s="17" t="s">
        <v>2940</v>
      </c>
      <c r="D1458" s="17" t="s">
        <v>2941</v>
      </c>
      <c r="E1458" s="16">
        <v>7.5</v>
      </c>
      <c r="F1458" s="7">
        <f t="shared" si="3"/>
        <v>92.5</v>
      </c>
      <c r="G1458" s="17" t="s">
        <v>2804</v>
      </c>
    </row>
    <row r="1459">
      <c r="A1459" s="12">
        <v>51.0</v>
      </c>
      <c r="B1459" s="17" t="s">
        <v>2942</v>
      </c>
      <c r="C1459" s="17" t="s">
        <v>2943</v>
      </c>
      <c r="D1459" s="17" t="s">
        <v>2944</v>
      </c>
      <c r="E1459" s="16">
        <v>7.5</v>
      </c>
      <c r="F1459" s="7">
        <f t="shared" si="3"/>
        <v>92.5</v>
      </c>
      <c r="G1459" s="17" t="s">
        <v>2804</v>
      </c>
    </row>
    <row r="1460">
      <c r="A1460" s="12">
        <v>52.0</v>
      </c>
      <c r="B1460" s="17" t="s">
        <v>2945</v>
      </c>
      <c r="C1460" s="17" t="s">
        <v>2946</v>
      </c>
      <c r="D1460" s="17" t="s">
        <v>2941</v>
      </c>
      <c r="E1460" s="16">
        <v>7.5</v>
      </c>
      <c r="F1460" s="7">
        <f t="shared" si="3"/>
        <v>92.5</v>
      </c>
      <c r="G1460" s="17" t="s">
        <v>2804</v>
      </c>
    </row>
    <row r="1461">
      <c r="A1461" s="12">
        <v>53.0</v>
      </c>
      <c r="B1461" s="17" t="s">
        <v>2947</v>
      </c>
      <c r="C1461" s="17" t="s">
        <v>2948</v>
      </c>
      <c r="D1461" s="17" t="s">
        <v>2949</v>
      </c>
      <c r="E1461" s="16">
        <v>7.5</v>
      </c>
      <c r="F1461" s="7">
        <f t="shared" si="3"/>
        <v>92.5</v>
      </c>
      <c r="G1461" s="17" t="s">
        <v>2804</v>
      </c>
    </row>
    <row r="1462">
      <c r="A1462" s="12">
        <v>54.0</v>
      </c>
      <c r="B1462" s="17" t="s">
        <v>2950</v>
      </c>
      <c r="C1462" s="17" t="s">
        <v>2951</v>
      </c>
      <c r="D1462" s="17" t="s">
        <v>2952</v>
      </c>
      <c r="E1462" s="16">
        <v>7.5</v>
      </c>
      <c r="F1462" s="7">
        <f t="shared" si="3"/>
        <v>92.5</v>
      </c>
      <c r="G1462" s="17" t="s">
        <v>2804</v>
      </c>
    </row>
    <row r="1463">
      <c r="A1463" s="12">
        <v>55.0</v>
      </c>
      <c r="B1463" s="17" t="s">
        <v>2953</v>
      </c>
      <c r="C1463" s="17" t="s">
        <v>2954</v>
      </c>
      <c r="D1463" s="17" t="s">
        <v>2955</v>
      </c>
      <c r="E1463" s="16">
        <v>7.5</v>
      </c>
      <c r="F1463" s="7">
        <f t="shared" si="3"/>
        <v>92.5</v>
      </c>
      <c r="G1463" s="17" t="s">
        <v>2804</v>
      </c>
    </row>
    <row r="1464">
      <c r="A1464" s="12">
        <v>56.0</v>
      </c>
      <c r="B1464" s="17" t="s">
        <v>2956</v>
      </c>
      <c r="C1464" s="17" t="s">
        <v>2957</v>
      </c>
      <c r="D1464" s="17" t="s">
        <v>2958</v>
      </c>
      <c r="E1464" s="16">
        <v>7.5</v>
      </c>
      <c r="F1464" s="7">
        <f t="shared" si="3"/>
        <v>92.5</v>
      </c>
      <c r="G1464" s="17" t="s">
        <v>2804</v>
      </c>
    </row>
    <row r="1465">
      <c r="A1465" s="12">
        <v>57.0</v>
      </c>
      <c r="B1465" s="17" t="s">
        <v>2959</v>
      </c>
      <c r="C1465" s="17" t="s">
        <v>2960</v>
      </c>
      <c r="D1465" s="17" t="s">
        <v>2961</v>
      </c>
      <c r="E1465" s="16">
        <v>7.5</v>
      </c>
      <c r="F1465" s="7">
        <f t="shared" si="3"/>
        <v>92.5</v>
      </c>
      <c r="G1465" s="17" t="s">
        <v>2804</v>
      </c>
    </row>
    <row r="1466">
      <c r="A1466" s="12">
        <v>58.0</v>
      </c>
      <c r="B1466" s="17" t="s">
        <v>2962</v>
      </c>
      <c r="C1466" s="17" t="s">
        <v>2963</v>
      </c>
      <c r="D1466" s="17" t="s">
        <v>2961</v>
      </c>
      <c r="E1466" s="16">
        <v>7.5</v>
      </c>
      <c r="F1466" s="7">
        <f t="shared" si="3"/>
        <v>92.5</v>
      </c>
      <c r="G1466" s="17" t="s">
        <v>2804</v>
      </c>
    </row>
    <row r="1467">
      <c r="A1467" s="12">
        <v>59.0</v>
      </c>
      <c r="B1467" s="17" t="s">
        <v>2964</v>
      </c>
      <c r="C1467" s="17" t="s">
        <v>2965</v>
      </c>
      <c r="D1467" s="17" t="s">
        <v>2966</v>
      </c>
      <c r="E1467" s="16">
        <v>7.5</v>
      </c>
      <c r="F1467" s="7">
        <f t="shared" si="3"/>
        <v>92.5</v>
      </c>
      <c r="G1467" s="17" t="s">
        <v>2804</v>
      </c>
    </row>
    <row r="1468">
      <c r="A1468" s="12">
        <v>60.0</v>
      </c>
      <c r="B1468" s="17" t="s">
        <v>2967</v>
      </c>
      <c r="C1468" s="17" t="s">
        <v>2968</v>
      </c>
      <c r="D1468" s="17" t="s">
        <v>2969</v>
      </c>
      <c r="E1468" s="16">
        <v>7.5</v>
      </c>
      <c r="F1468" s="7">
        <f t="shared" si="3"/>
        <v>92.5</v>
      </c>
      <c r="G1468" s="17" t="s">
        <v>2804</v>
      </c>
    </row>
    <row r="1469">
      <c r="A1469" s="12">
        <v>61.0</v>
      </c>
      <c r="B1469" s="17" t="s">
        <v>2970</v>
      </c>
      <c r="C1469" s="17" t="s">
        <v>2971</v>
      </c>
      <c r="D1469" s="17" t="s">
        <v>2969</v>
      </c>
      <c r="E1469" s="16">
        <v>7.5</v>
      </c>
      <c r="F1469" s="7">
        <f t="shared" si="3"/>
        <v>92.5</v>
      </c>
      <c r="G1469" s="17" t="s">
        <v>2804</v>
      </c>
    </row>
    <row r="1470">
      <c r="A1470" s="12">
        <v>62.0</v>
      </c>
      <c r="B1470" s="17" t="s">
        <v>2972</v>
      </c>
      <c r="C1470" s="17" t="s">
        <v>2973</v>
      </c>
      <c r="D1470" s="17" t="s">
        <v>2974</v>
      </c>
      <c r="E1470" s="16">
        <v>7.5</v>
      </c>
      <c r="F1470" s="7">
        <f t="shared" si="3"/>
        <v>92.5</v>
      </c>
      <c r="G1470" s="17" t="s">
        <v>2804</v>
      </c>
    </row>
    <row r="1471">
      <c r="A1471" s="12">
        <v>63.0</v>
      </c>
      <c r="B1471" s="17" t="s">
        <v>2975</v>
      </c>
      <c r="C1471" s="17" t="s">
        <v>2976</v>
      </c>
      <c r="D1471" s="17" t="s">
        <v>2977</v>
      </c>
      <c r="E1471" s="16">
        <v>7.5</v>
      </c>
      <c r="F1471" s="7">
        <f t="shared" si="3"/>
        <v>92.5</v>
      </c>
      <c r="G1471" s="17" t="s">
        <v>2804</v>
      </c>
    </row>
    <row r="1472">
      <c r="A1472" s="12">
        <v>64.0</v>
      </c>
      <c r="B1472" s="17" t="s">
        <v>2978</v>
      </c>
      <c r="C1472" s="17" t="s">
        <v>2979</v>
      </c>
      <c r="D1472" s="17" t="s">
        <v>2977</v>
      </c>
      <c r="E1472" s="16">
        <v>7.5</v>
      </c>
      <c r="F1472" s="7">
        <f t="shared" si="3"/>
        <v>92.5</v>
      </c>
      <c r="G1472" s="17" t="s">
        <v>2804</v>
      </c>
    </row>
    <row r="1473">
      <c r="A1473" s="12">
        <v>65.0</v>
      </c>
      <c r="B1473" s="17" t="s">
        <v>2980</v>
      </c>
      <c r="C1473" s="17" t="s">
        <v>2981</v>
      </c>
      <c r="D1473" s="17" t="s">
        <v>2982</v>
      </c>
      <c r="E1473" s="16">
        <v>7.5</v>
      </c>
      <c r="F1473" s="7">
        <f t="shared" si="3"/>
        <v>92.5</v>
      </c>
      <c r="G1473" s="17" t="s">
        <v>2804</v>
      </c>
    </row>
    <row r="1474">
      <c r="A1474" s="12">
        <v>66.0</v>
      </c>
      <c r="B1474" s="17" t="s">
        <v>2983</v>
      </c>
      <c r="C1474" s="17" t="s">
        <v>2984</v>
      </c>
      <c r="D1474" s="17" t="s">
        <v>2985</v>
      </c>
      <c r="E1474" s="16">
        <v>7.5</v>
      </c>
      <c r="F1474" s="7">
        <f t="shared" si="3"/>
        <v>92.5</v>
      </c>
      <c r="G1474" s="17" t="s">
        <v>2804</v>
      </c>
    </row>
    <row r="1475">
      <c r="A1475" s="12">
        <v>67.0</v>
      </c>
      <c r="B1475" s="17" t="s">
        <v>2986</v>
      </c>
      <c r="C1475" s="17" t="s">
        <v>2987</v>
      </c>
      <c r="D1475" s="17" t="s">
        <v>2985</v>
      </c>
      <c r="E1475" s="16">
        <v>7.5</v>
      </c>
      <c r="F1475" s="7">
        <f t="shared" si="3"/>
        <v>92.5</v>
      </c>
      <c r="G1475" s="17" t="s">
        <v>2804</v>
      </c>
    </row>
    <row r="1476">
      <c r="A1476" s="12">
        <v>68.0</v>
      </c>
      <c r="B1476" s="17" t="s">
        <v>2988</v>
      </c>
      <c r="C1476" s="17" t="s">
        <v>2989</v>
      </c>
      <c r="D1476" s="17" t="s">
        <v>2990</v>
      </c>
      <c r="E1476" s="16">
        <v>7.5</v>
      </c>
      <c r="F1476" s="7">
        <f t="shared" si="3"/>
        <v>92.5</v>
      </c>
      <c r="G1476" s="17" t="s">
        <v>2804</v>
      </c>
    </row>
    <row r="1477">
      <c r="A1477" s="12">
        <v>69.0</v>
      </c>
      <c r="B1477" s="17" t="s">
        <v>2991</v>
      </c>
      <c r="C1477" s="17" t="s">
        <v>2992</v>
      </c>
      <c r="D1477" s="17" t="s">
        <v>2993</v>
      </c>
      <c r="E1477" s="16">
        <v>7.5</v>
      </c>
      <c r="F1477" s="7">
        <f t="shared" si="3"/>
        <v>92.5</v>
      </c>
      <c r="G1477" s="17" t="s">
        <v>2804</v>
      </c>
    </row>
    <row r="1478">
      <c r="A1478" s="12">
        <v>70.0</v>
      </c>
      <c r="B1478" s="17" t="s">
        <v>2994</v>
      </c>
      <c r="C1478" s="17" t="s">
        <v>2995</v>
      </c>
      <c r="D1478" s="17" t="s">
        <v>2996</v>
      </c>
      <c r="E1478" s="16">
        <v>7.5</v>
      </c>
      <c r="F1478" s="7">
        <f t="shared" si="3"/>
        <v>92.5</v>
      </c>
      <c r="G1478" s="17" t="s">
        <v>2804</v>
      </c>
    </row>
    <row r="1479">
      <c r="A1479" s="12">
        <v>71.0</v>
      </c>
      <c r="B1479" s="17" t="s">
        <v>2997</v>
      </c>
      <c r="C1479" s="17" t="s">
        <v>2998</v>
      </c>
      <c r="D1479" s="17" t="s">
        <v>2999</v>
      </c>
      <c r="E1479" s="16">
        <v>7.5</v>
      </c>
      <c r="F1479" s="7">
        <f t="shared" si="3"/>
        <v>92.5</v>
      </c>
      <c r="G1479" s="17" t="s">
        <v>2804</v>
      </c>
    </row>
    <row r="1480">
      <c r="A1480" s="12">
        <v>72.0</v>
      </c>
      <c r="B1480" s="17" t="s">
        <v>3000</v>
      </c>
      <c r="C1480" s="17" t="s">
        <v>3001</v>
      </c>
      <c r="D1480" s="17" t="s">
        <v>3002</v>
      </c>
      <c r="E1480" s="16">
        <v>7.5</v>
      </c>
      <c r="F1480" s="7">
        <f t="shared" si="3"/>
        <v>92.5</v>
      </c>
      <c r="G1480" s="17" t="s">
        <v>2804</v>
      </c>
    </row>
    <row r="1481">
      <c r="A1481" s="12">
        <v>73.0</v>
      </c>
      <c r="B1481" s="17" t="s">
        <v>3003</v>
      </c>
      <c r="C1481" s="17" t="s">
        <v>3004</v>
      </c>
      <c r="D1481" s="17" t="s">
        <v>3005</v>
      </c>
      <c r="E1481" s="16">
        <v>7.5</v>
      </c>
      <c r="F1481" s="7">
        <f t="shared" si="3"/>
        <v>92.5</v>
      </c>
      <c r="G1481" s="17" t="s">
        <v>2804</v>
      </c>
    </row>
    <row r="1482">
      <c r="A1482" s="12">
        <v>74.0</v>
      </c>
      <c r="B1482" s="17" t="s">
        <v>3006</v>
      </c>
      <c r="C1482" s="17" t="s">
        <v>3007</v>
      </c>
      <c r="D1482" s="17" t="s">
        <v>3008</v>
      </c>
      <c r="E1482" s="16">
        <v>7.5</v>
      </c>
      <c r="F1482" s="7">
        <f t="shared" si="3"/>
        <v>92.5</v>
      </c>
      <c r="G1482" s="17" t="s">
        <v>2804</v>
      </c>
    </row>
    <row r="1483">
      <c r="A1483" s="12">
        <v>75.0</v>
      </c>
      <c r="B1483" s="17" t="s">
        <v>3009</v>
      </c>
      <c r="C1483" s="17" t="s">
        <v>3010</v>
      </c>
      <c r="D1483" s="17" t="s">
        <v>3011</v>
      </c>
      <c r="E1483" s="16">
        <v>7.5</v>
      </c>
      <c r="F1483" s="7">
        <f t="shared" si="3"/>
        <v>92.5</v>
      </c>
      <c r="G1483" s="17" t="s">
        <v>2804</v>
      </c>
    </row>
    <row r="1484">
      <c r="A1484" s="12">
        <v>76.0</v>
      </c>
      <c r="B1484" s="17" t="s">
        <v>3012</v>
      </c>
      <c r="C1484" s="17" t="s">
        <v>3013</v>
      </c>
      <c r="D1484" s="17" t="s">
        <v>3014</v>
      </c>
      <c r="E1484" s="16">
        <v>7.5</v>
      </c>
      <c r="F1484" s="7">
        <f t="shared" si="3"/>
        <v>92.5</v>
      </c>
      <c r="G1484" s="17" t="s">
        <v>2804</v>
      </c>
    </row>
    <row r="1485">
      <c r="A1485" s="12">
        <v>77.0</v>
      </c>
      <c r="B1485" s="17" t="s">
        <v>3015</v>
      </c>
      <c r="C1485" s="17" t="s">
        <v>3016</v>
      </c>
      <c r="D1485" s="17" t="s">
        <v>3017</v>
      </c>
      <c r="E1485" s="16">
        <v>7.5</v>
      </c>
      <c r="F1485" s="7">
        <f t="shared" si="3"/>
        <v>92.5</v>
      </c>
      <c r="G1485" s="17" t="s">
        <v>2804</v>
      </c>
    </row>
    <row r="1486">
      <c r="A1486" s="12">
        <v>78.0</v>
      </c>
      <c r="B1486" s="17" t="s">
        <v>3018</v>
      </c>
      <c r="C1486" s="17" t="s">
        <v>3019</v>
      </c>
      <c r="D1486" s="17" t="s">
        <v>3020</v>
      </c>
      <c r="E1486" s="16">
        <v>7.5</v>
      </c>
      <c r="F1486" s="7">
        <f t="shared" si="3"/>
        <v>92.5</v>
      </c>
      <c r="G1486" s="17" t="s">
        <v>2804</v>
      </c>
    </row>
    <row r="1487">
      <c r="A1487" s="12">
        <v>79.0</v>
      </c>
      <c r="B1487" s="17" t="s">
        <v>3021</v>
      </c>
      <c r="C1487" s="17" t="s">
        <v>3022</v>
      </c>
      <c r="D1487" s="17" t="s">
        <v>3023</v>
      </c>
      <c r="E1487" s="16">
        <v>7.5</v>
      </c>
      <c r="F1487" s="7">
        <f t="shared" si="3"/>
        <v>92.5</v>
      </c>
      <c r="G1487" s="17" t="s">
        <v>2804</v>
      </c>
    </row>
    <row r="1488">
      <c r="A1488" s="12">
        <v>80.0</v>
      </c>
      <c r="B1488" s="17" t="s">
        <v>3021</v>
      </c>
      <c r="C1488" s="17" t="s">
        <v>3024</v>
      </c>
      <c r="D1488" s="17" t="s">
        <v>3025</v>
      </c>
      <c r="E1488" s="16">
        <v>7.5</v>
      </c>
      <c r="F1488" s="7">
        <f t="shared" si="3"/>
        <v>92.5</v>
      </c>
      <c r="G1488" s="17" t="s">
        <v>2804</v>
      </c>
    </row>
    <row r="1489">
      <c r="A1489" s="12">
        <v>81.0</v>
      </c>
      <c r="B1489" s="17" t="s">
        <v>3026</v>
      </c>
      <c r="C1489" s="17" t="s">
        <v>3027</v>
      </c>
      <c r="D1489" s="17" t="s">
        <v>3028</v>
      </c>
      <c r="E1489" s="16">
        <v>7.5</v>
      </c>
      <c r="F1489" s="7">
        <f t="shared" si="3"/>
        <v>92.5</v>
      </c>
      <c r="G1489" s="17" t="s">
        <v>2804</v>
      </c>
    </row>
    <row r="1490">
      <c r="A1490" s="12">
        <v>82.0</v>
      </c>
      <c r="B1490" s="17" t="s">
        <v>3029</v>
      </c>
      <c r="C1490" s="17" t="s">
        <v>3030</v>
      </c>
      <c r="D1490" s="17" t="s">
        <v>3031</v>
      </c>
      <c r="E1490" s="16">
        <v>7.5</v>
      </c>
      <c r="F1490" s="7">
        <f t="shared" si="3"/>
        <v>92.5</v>
      </c>
      <c r="G1490" s="17" t="s">
        <v>2804</v>
      </c>
    </row>
    <row r="1491">
      <c r="A1491" s="12">
        <v>83.0</v>
      </c>
      <c r="B1491" s="17" t="s">
        <v>3032</v>
      </c>
      <c r="C1491" s="17" t="s">
        <v>3033</v>
      </c>
      <c r="D1491" s="17" t="s">
        <v>3034</v>
      </c>
      <c r="E1491" s="16">
        <v>7.5</v>
      </c>
      <c r="F1491" s="7">
        <f t="shared" si="3"/>
        <v>92.5</v>
      </c>
      <c r="G1491" s="17" t="s">
        <v>2804</v>
      </c>
    </row>
    <row r="1492">
      <c r="A1492" s="12">
        <v>84.0</v>
      </c>
      <c r="B1492" s="17" t="s">
        <v>3035</v>
      </c>
      <c r="C1492" s="17" t="s">
        <v>3036</v>
      </c>
      <c r="D1492" s="17" t="s">
        <v>3037</v>
      </c>
      <c r="E1492" s="16">
        <v>7.5</v>
      </c>
      <c r="F1492" s="7">
        <f t="shared" si="3"/>
        <v>92.5</v>
      </c>
      <c r="G1492" s="17" t="s">
        <v>2804</v>
      </c>
    </row>
    <row r="1493">
      <c r="A1493" s="12">
        <v>85.0</v>
      </c>
      <c r="B1493" s="17" t="s">
        <v>3038</v>
      </c>
      <c r="C1493" s="17" t="s">
        <v>3039</v>
      </c>
      <c r="D1493" s="17" t="s">
        <v>3040</v>
      </c>
      <c r="E1493" s="16">
        <v>7.5</v>
      </c>
      <c r="F1493" s="7">
        <f t="shared" si="3"/>
        <v>92.5</v>
      </c>
      <c r="G1493" s="17" t="s">
        <v>2804</v>
      </c>
    </row>
    <row r="1494">
      <c r="A1494" s="12">
        <v>86.0</v>
      </c>
      <c r="B1494" s="17" t="s">
        <v>3041</v>
      </c>
      <c r="C1494" s="17" t="s">
        <v>3042</v>
      </c>
      <c r="D1494" s="17" t="s">
        <v>3043</v>
      </c>
      <c r="E1494" s="16">
        <v>7.5</v>
      </c>
      <c r="F1494" s="7">
        <f t="shared" si="3"/>
        <v>92.5</v>
      </c>
      <c r="G1494" s="17" t="s">
        <v>2804</v>
      </c>
    </row>
    <row r="1495">
      <c r="A1495" s="12">
        <v>87.0</v>
      </c>
      <c r="B1495" s="17" t="s">
        <v>3044</v>
      </c>
      <c r="C1495" s="17" t="s">
        <v>3045</v>
      </c>
      <c r="D1495" s="17" t="s">
        <v>3046</v>
      </c>
      <c r="E1495" s="16">
        <v>7.5</v>
      </c>
      <c r="F1495" s="7">
        <f t="shared" si="3"/>
        <v>92.5</v>
      </c>
      <c r="G1495" s="17" t="s">
        <v>2804</v>
      </c>
    </row>
    <row r="1496">
      <c r="A1496" s="12">
        <v>88.0</v>
      </c>
      <c r="B1496" s="17" t="s">
        <v>3047</v>
      </c>
      <c r="C1496" s="17" t="s">
        <v>3048</v>
      </c>
      <c r="D1496" s="17" t="s">
        <v>3049</v>
      </c>
      <c r="E1496" s="16">
        <v>7.5</v>
      </c>
      <c r="F1496" s="7">
        <f t="shared" si="3"/>
        <v>92.5</v>
      </c>
      <c r="G1496" s="17" t="s">
        <v>2804</v>
      </c>
    </row>
    <row r="1497">
      <c r="A1497" s="12">
        <v>89.0</v>
      </c>
      <c r="B1497" s="17" t="s">
        <v>3050</v>
      </c>
      <c r="C1497" s="17" t="s">
        <v>3051</v>
      </c>
      <c r="D1497" s="17" t="s">
        <v>3052</v>
      </c>
      <c r="E1497" s="16">
        <v>7.5</v>
      </c>
      <c r="F1497" s="7">
        <f t="shared" si="3"/>
        <v>92.5</v>
      </c>
      <c r="G1497" s="17" t="s">
        <v>2804</v>
      </c>
    </row>
    <row r="1498">
      <c r="A1498" s="12">
        <v>90.0</v>
      </c>
      <c r="B1498" s="17" t="s">
        <v>3053</v>
      </c>
      <c r="C1498" s="17" t="s">
        <v>3054</v>
      </c>
      <c r="D1498" s="17" t="s">
        <v>3055</v>
      </c>
      <c r="E1498" s="16">
        <v>7.5</v>
      </c>
      <c r="F1498" s="7">
        <f t="shared" si="3"/>
        <v>92.5</v>
      </c>
      <c r="G1498" s="17" t="s">
        <v>2804</v>
      </c>
    </row>
    <row r="1499">
      <c r="A1499" s="12">
        <v>91.0</v>
      </c>
      <c r="B1499" s="17" t="s">
        <v>3056</v>
      </c>
      <c r="C1499" s="17" t="s">
        <v>3057</v>
      </c>
      <c r="D1499" s="17" t="s">
        <v>3058</v>
      </c>
      <c r="E1499" s="16">
        <v>7.5</v>
      </c>
      <c r="F1499" s="7">
        <f t="shared" si="3"/>
        <v>92.5</v>
      </c>
      <c r="G1499" s="17" t="s">
        <v>2804</v>
      </c>
    </row>
    <row r="1500">
      <c r="A1500" s="12">
        <v>92.0</v>
      </c>
      <c r="B1500" s="17" t="s">
        <v>3059</v>
      </c>
      <c r="C1500" s="17" t="s">
        <v>3060</v>
      </c>
      <c r="D1500" s="17" t="s">
        <v>3061</v>
      </c>
      <c r="E1500" s="16">
        <v>7.5</v>
      </c>
      <c r="F1500" s="7">
        <f t="shared" si="3"/>
        <v>92.5</v>
      </c>
      <c r="G1500" s="17" t="s">
        <v>2804</v>
      </c>
    </row>
    <row r="1501">
      <c r="A1501" s="12">
        <v>93.0</v>
      </c>
      <c r="B1501" s="17" t="s">
        <v>3062</v>
      </c>
      <c r="C1501" s="17" t="s">
        <v>3063</v>
      </c>
      <c r="D1501" s="17" t="s">
        <v>3064</v>
      </c>
      <c r="E1501" s="16">
        <v>7.5</v>
      </c>
      <c r="F1501" s="7">
        <f t="shared" si="3"/>
        <v>92.5</v>
      </c>
      <c r="G1501" s="17" t="s">
        <v>2804</v>
      </c>
    </row>
    <row r="1502">
      <c r="A1502" s="12">
        <v>94.0</v>
      </c>
      <c r="B1502" s="17" t="s">
        <v>3065</v>
      </c>
      <c r="C1502" s="17" t="s">
        <v>3066</v>
      </c>
      <c r="D1502" s="17" t="s">
        <v>3067</v>
      </c>
      <c r="E1502" s="16">
        <v>7.5</v>
      </c>
      <c r="F1502" s="7">
        <f t="shared" si="3"/>
        <v>92.5</v>
      </c>
      <c r="G1502" s="17" t="s">
        <v>2804</v>
      </c>
    </row>
    <row r="1503">
      <c r="A1503" s="12">
        <v>95.0</v>
      </c>
      <c r="B1503" s="17" t="s">
        <v>3068</v>
      </c>
      <c r="C1503" s="17" t="s">
        <v>3069</v>
      </c>
      <c r="D1503" s="17" t="s">
        <v>3070</v>
      </c>
      <c r="E1503" s="16">
        <v>7.5</v>
      </c>
      <c r="F1503" s="7">
        <f t="shared" si="3"/>
        <v>92.5</v>
      </c>
      <c r="G1503" s="17" t="s">
        <v>2804</v>
      </c>
    </row>
    <row r="1504">
      <c r="A1504" s="12">
        <v>96.0</v>
      </c>
      <c r="B1504" s="17" t="s">
        <v>3071</v>
      </c>
      <c r="C1504" s="17" t="s">
        <v>3072</v>
      </c>
      <c r="D1504" s="17" t="s">
        <v>3073</v>
      </c>
      <c r="E1504" s="16">
        <v>7.5</v>
      </c>
      <c r="F1504" s="7">
        <f t="shared" si="3"/>
        <v>92.5</v>
      </c>
      <c r="G1504" s="17" t="s">
        <v>2804</v>
      </c>
    </row>
    <row r="1505">
      <c r="A1505" s="12">
        <v>97.0</v>
      </c>
      <c r="B1505" s="17" t="s">
        <v>3074</v>
      </c>
      <c r="C1505" s="17" t="s">
        <v>3075</v>
      </c>
      <c r="D1505" s="17" t="s">
        <v>3076</v>
      </c>
      <c r="E1505" s="16">
        <v>7.5</v>
      </c>
      <c r="F1505" s="7">
        <f t="shared" si="3"/>
        <v>92.5</v>
      </c>
      <c r="G1505" s="17" t="s">
        <v>2804</v>
      </c>
    </row>
    <row r="1506">
      <c r="A1506" s="12">
        <v>98.0</v>
      </c>
      <c r="B1506" s="17" t="s">
        <v>3077</v>
      </c>
      <c r="C1506" s="17" t="s">
        <v>3078</v>
      </c>
      <c r="D1506" s="17" t="s">
        <v>3079</v>
      </c>
      <c r="E1506" s="16">
        <v>7.5</v>
      </c>
      <c r="F1506" s="7">
        <f t="shared" si="3"/>
        <v>92.5</v>
      </c>
      <c r="G1506" s="17" t="s">
        <v>2804</v>
      </c>
    </row>
    <row r="1507">
      <c r="A1507" s="12">
        <v>99.0</v>
      </c>
      <c r="B1507" s="17" t="s">
        <v>3080</v>
      </c>
      <c r="C1507" s="17" t="s">
        <v>3081</v>
      </c>
      <c r="D1507" s="17" t="s">
        <v>3082</v>
      </c>
      <c r="E1507" s="16">
        <v>7.5</v>
      </c>
      <c r="F1507" s="7">
        <f t="shared" si="3"/>
        <v>92.5</v>
      </c>
      <c r="G1507" s="17" t="s">
        <v>2804</v>
      </c>
    </row>
    <row r="1508">
      <c r="A1508" s="12">
        <v>100.0</v>
      </c>
      <c r="B1508" s="17" t="s">
        <v>3083</v>
      </c>
      <c r="C1508" s="17" t="s">
        <v>3084</v>
      </c>
      <c r="D1508" s="17" t="s">
        <v>3085</v>
      </c>
      <c r="E1508" s="16">
        <v>7.5</v>
      </c>
      <c r="F1508" s="7">
        <f t="shared" si="3"/>
        <v>92.5</v>
      </c>
      <c r="G1508" s="17" t="s">
        <v>2804</v>
      </c>
    </row>
    <row r="1509">
      <c r="A1509" s="12">
        <v>101.0</v>
      </c>
      <c r="B1509" s="17" t="s">
        <v>3086</v>
      </c>
      <c r="C1509" s="17" t="s">
        <v>3087</v>
      </c>
      <c r="D1509" s="17" t="s">
        <v>3088</v>
      </c>
      <c r="E1509" s="16">
        <v>7.5</v>
      </c>
      <c r="F1509" s="7">
        <f t="shared" si="3"/>
        <v>92.5</v>
      </c>
      <c r="G1509" s="17" t="s">
        <v>2804</v>
      </c>
    </row>
    <row r="1510">
      <c r="A1510" s="12">
        <v>102.0</v>
      </c>
      <c r="B1510" s="17" t="s">
        <v>3089</v>
      </c>
      <c r="C1510" s="17" t="s">
        <v>3090</v>
      </c>
      <c r="D1510" s="17" t="s">
        <v>3091</v>
      </c>
      <c r="E1510" s="16">
        <v>7.5</v>
      </c>
      <c r="F1510" s="7">
        <f t="shared" si="3"/>
        <v>92.5</v>
      </c>
      <c r="G1510" s="17" t="s">
        <v>2804</v>
      </c>
    </row>
    <row r="1511">
      <c r="A1511" s="12">
        <v>103.0</v>
      </c>
      <c r="B1511" s="17" t="s">
        <v>3092</v>
      </c>
      <c r="C1511" s="17" t="s">
        <v>3093</v>
      </c>
      <c r="D1511" s="17" t="s">
        <v>3094</v>
      </c>
      <c r="E1511" s="16">
        <v>7.5</v>
      </c>
      <c r="F1511" s="7">
        <f t="shared" si="3"/>
        <v>92.5</v>
      </c>
      <c r="G1511" s="17" t="s">
        <v>2804</v>
      </c>
    </row>
    <row r="1512">
      <c r="A1512" s="12">
        <v>104.0</v>
      </c>
      <c r="B1512" s="17" t="s">
        <v>3095</v>
      </c>
      <c r="C1512" s="17" t="s">
        <v>3096</v>
      </c>
      <c r="D1512" s="17" t="s">
        <v>3097</v>
      </c>
      <c r="E1512" s="16">
        <v>7.5</v>
      </c>
      <c r="F1512" s="7">
        <f t="shared" si="3"/>
        <v>92.5</v>
      </c>
      <c r="G1512" s="17" t="s">
        <v>2804</v>
      </c>
    </row>
    <row r="1513">
      <c r="A1513" s="12">
        <v>105.0</v>
      </c>
      <c r="B1513" s="17" t="s">
        <v>3098</v>
      </c>
      <c r="C1513" s="17" t="s">
        <v>3099</v>
      </c>
      <c r="D1513" s="17" t="s">
        <v>3100</v>
      </c>
      <c r="E1513" s="16">
        <v>7.5</v>
      </c>
      <c r="F1513" s="7">
        <f t="shared" si="3"/>
        <v>92.5</v>
      </c>
      <c r="G1513" s="17" t="s">
        <v>2804</v>
      </c>
    </row>
    <row r="1514">
      <c r="A1514" s="12">
        <v>106.0</v>
      </c>
      <c r="B1514" s="17" t="s">
        <v>3101</v>
      </c>
      <c r="C1514" s="17" t="s">
        <v>3102</v>
      </c>
      <c r="D1514" s="17" t="s">
        <v>3103</v>
      </c>
      <c r="E1514" s="16">
        <v>7.5</v>
      </c>
      <c r="F1514" s="7">
        <f t="shared" si="3"/>
        <v>92.5</v>
      </c>
      <c r="G1514" s="17" t="s">
        <v>2804</v>
      </c>
    </row>
    <row r="1515">
      <c r="A1515" s="12">
        <v>107.0</v>
      </c>
      <c r="B1515" s="17" t="s">
        <v>3104</v>
      </c>
      <c r="C1515" s="17" t="s">
        <v>3105</v>
      </c>
      <c r="D1515" s="17" t="s">
        <v>3106</v>
      </c>
      <c r="E1515" s="16">
        <v>7.5</v>
      </c>
      <c r="F1515" s="7">
        <f t="shared" si="3"/>
        <v>92.5</v>
      </c>
      <c r="G1515" s="17" t="s">
        <v>2804</v>
      </c>
    </row>
    <row r="1516">
      <c r="A1516" s="12">
        <v>108.0</v>
      </c>
      <c r="B1516" s="17" t="s">
        <v>3107</v>
      </c>
      <c r="C1516" s="17" t="s">
        <v>3108</v>
      </c>
      <c r="D1516" s="17" t="s">
        <v>3109</v>
      </c>
      <c r="E1516" s="16">
        <v>7.5</v>
      </c>
      <c r="F1516" s="7">
        <f t="shared" si="3"/>
        <v>92.5</v>
      </c>
      <c r="G1516" s="17" t="s">
        <v>2804</v>
      </c>
    </row>
    <row r="1517">
      <c r="A1517" s="12">
        <v>109.0</v>
      </c>
      <c r="B1517" s="17" t="s">
        <v>3110</v>
      </c>
      <c r="C1517" s="17" t="s">
        <v>3111</v>
      </c>
      <c r="D1517" s="17" t="s">
        <v>3112</v>
      </c>
      <c r="E1517" s="16">
        <v>7.5</v>
      </c>
      <c r="F1517" s="7">
        <f t="shared" si="3"/>
        <v>92.5</v>
      </c>
      <c r="G1517" s="17" t="s">
        <v>3113</v>
      </c>
    </row>
    <row r="1518">
      <c r="A1518" s="12">
        <v>110.0</v>
      </c>
      <c r="B1518" s="17" t="s">
        <v>3114</v>
      </c>
      <c r="C1518" s="17" t="s">
        <v>3115</v>
      </c>
      <c r="D1518" s="17" t="s">
        <v>3112</v>
      </c>
      <c r="E1518" s="16">
        <v>7.5</v>
      </c>
      <c r="F1518" s="7">
        <f t="shared" si="3"/>
        <v>92.5</v>
      </c>
      <c r="G1518" s="17" t="s">
        <v>3113</v>
      </c>
    </row>
    <row r="1519">
      <c r="A1519" s="12">
        <v>111.0</v>
      </c>
      <c r="B1519" s="17" t="s">
        <v>3116</v>
      </c>
      <c r="C1519" s="17" t="s">
        <v>3117</v>
      </c>
      <c r="D1519" s="17" t="s">
        <v>3118</v>
      </c>
      <c r="E1519" s="16">
        <v>7.5</v>
      </c>
      <c r="F1519" s="7">
        <f t="shared" si="3"/>
        <v>92.5</v>
      </c>
      <c r="G1519" s="17" t="s">
        <v>3113</v>
      </c>
    </row>
    <row r="1520">
      <c r="A1520" s="12">
        <v>112.0</v>
      </c>
      <c r="B1520" s="17" t="s">
        <v>3119</v>
      </c>
      <c r="C1520" s="17" t="s">
        <v>3120</v>
      </c>
      <c r="D1520" s="17" t="s">
        <v>3121</v>
      </c>
      <c r="E1520" s="16">
        <v>7.5</v>
      </c>
      <c r="F1520" s="7">
        <f t="shared" si="3"/>
        <v>92.5</v>
      </c>
      <c r="G1520" s="17" t="s">
        <v>3113</v>
      </c>
    </row>
    <row r="1521">
      <c r="A1521" s="12">
        <v>113.0</v>
      </c>
      <c r="B1521" s="17" t="s">
        <v>3122</v>
      </c>
      <c r="C1521" s="17" t="s">
        <v>3123</v>
      </c>
      <c r="D1521" s="17" t="s">
        <v>3121</v>
      </c>
      <c r="E1521" s="16">
        <v>7.5</v>
      </c>
      <c r="F1521" s="7">
        <f t="shared" si="3"/>
        <v>92.5</v>
      </c>
      <c r="G1521" s="17" t="s">
        <v>3113</v>
      </c>
    </row>
    <row r="1522">
      <c r="A1522" s="12">
        <v>114.0</v>
      </c>
      <c r="B1522" s="17" t="s">
        <v>3124</v>
      </c>
      <c r="C1522" s="17" t="s">
        <v>3125</v>
      </c>
      <c r="D1522" s="17" t="s">
        <v>3126</v>
      </c>
      <c r="E1522" s="16">
        <v>7.5</v>
      </c>
      <c r="F1522" s="7">
        <f t="shared" si="3"/>
        <v>92.5</v>
      </c>
      <c r="G1522" s="17" t="s">
        <v>3113</v>
      </c>
    </row>
    <row r="1523">
      <c r="A1523" s="12">
        <v>115.0</v>
      </c>
      <c r="B1523" s="17" t="s">
        <v>3127</v>
      </c>
      <c r="C1523" s="17" t="s">
        <v>3128</v>
      </c>
      <c r="D1523" s="17" t="s">
        <v>3129</v>
      </c>
      <c r="E1523" s="16">
        <v>7.5</v>
      </c>
      <c r="F1523" s="7">
        <f t="shared" si="3"/>
        <v>92.5</v>
      </c>
      <c r="G1523" s="17" t="s">
        <v>3113</v>
      </c>
    </row>
    <row r="1524">
      <c r="A1524" s="12">
        <v>116.0</v>
      </c>
      <c r="B1524" s="17" t="s">
        <v>3130</v>
      </c>
      <c r="C1524" s="17" t="s">
        <v>3131</v>
      </c>
      <c r="D1524" s="17" t="s">
        <v>3132</v>
      </c>
      <c r="E1524" s="16">
        <v>7.5</v>
      </c>
      <c r="F1524" s="7">
        <f t="shared" si="3"/>
        <v>92.5</v>
      </c>
      <c r="G1524" s="17" t="s">
        <v>3113</v>
      </c>
    </row>
    <row r="1525">
      <c r="A1525" s="12">
        <v>117.0</v>
      </c>
      <c r="B1525" s="17" t="s">
        <v>3133</v>
      </c>
      <c r="C1525" s="17" t="s">
        <v>3134</v>
      </c>
      <c r="D1525" s="17" t="s">
        <v>3135</v>
      </c>
      <c r="E1525" s="16">
        <v>7.5</v>
      </c>
      <c r="F1525" s="7">
        <f t="shared" si="3"/>
        <v>92.5</v>
      </c>
      <c r="G1525" s="17" t="s">
        <v>3113</v>
      </c>
    </row>
    <row r="1526">
      <c r="A1526" s="12">
        <v>118.0</v>
      </c>
      <c r="B1526" s="17" t="s">
        <v>3136</v>
      </c>
      <c r="C1526" s="17" t="s">
        <v>3137</v>
      </c>
      <c r="D1526" s="17" t="s">
        <v>3138</v>
      </c>
      <c r="E1526" s="16">
        <v>7.5</v>
      </c>
      <c r="F1526" s="7">
        <f t="shared" si="3"/>
        <v>92.5</v>
      </c>
      <c r="G1526" s="17" t="s">
        <v>3113</v>
      </c>
    </row>
    <row r="1527">
      <c r="A1527" s="12">
        <v>119.0</v>
      </c>
      <c r="B1527" s="17" t="s">
        <v>3139</v>
      </c>
      <c r="C1527" s="17" t="s">
        <v>3140</v>
      </c>
      <c r="D1527" s="17" t="s">
        <v>3141</v>
      </c>
      <c r="E1527" s="16">
        <v>7.5</v>
      </c>
      <c r="F1527" s="7">
        <f t="shared" si="3"/>
        <v>92.5</v>
      </c>
      <c r="G1527" s="17" t="s">
        <v>3113</v>
      </c>
    </row>
    <row r="1528">
      <c r="A1528" s="12">
        <v>120.0</v>
      </c>
      <c r="B1528" s="17" t="s">
        <v>3139</v>
      </c>
      <c r="C1528" s="17" t="s">
        <v>3142</v>
      </c>
      <c r="D1528" s="17" t="s">
        <v>3143</v>
      </c>
      <c r="E1528" s="16">
        <v>7.5</v>
      </c>
      <c r="F1528" s="7">
        <f t="shared" si="3"/>
        <v>92.5</v>
      </c>
      <c r="G1528" s="17" t="s">
        <v>3113</v>
      </c>
    </row>
    <row r="1529">
      <c r="A1529" s="12">
        <v>121.0</v>
      </c>
      <c r="B1529" s="17" t="s">
        <v>3144</v>
      </c>
      <c r="C1529" s="17" t="s">
        <v>3145</v>
      </c>
      <c r="D1529" s="17" t="s">
        <v>3146</v>
      </c>
      <c r="E1529" s="16">
        <v>7.5</v>
      </c>
      <c r="F1529" s="7">
        <f t="shared" si="3"/>
        <v>92.5</v>
      </c>
      <c r="G1529" s="17" t="s">
        <v>3113</v>
      </c>
    </row>
    <row r="1530">
      <c r="A1530" s="12">
        <v>122.0</v>
      </c>
      <c r="B1530" s="17" t="s">
        <v>3144</v>
      </c>
      <c r="C1530" s="17" t="s">
        <v>3147</v>
      </c>
      <c r="D1530" s="17" t="s">
        <v>3148</v>
      </c>
      <c r="E1530" s="16">
        <v>7.5</v>
      </c>
      <c r="F1530" s="7">
        <f t="shared" si="3"/>
        <v>92.5</v>
      </c>
      <c r="G1530" s="17" t="s">
        <v>3113</v>
      </c>
    </row>
    <row r="1531">
      <c r="A1531" s="12">
        <v>123.0</v>
      </c>
      <c r="B1531" s="17" t="s">
        <v>3149</v>
      </c>
      <c r="C1531" s="17" t="s">
        <v>3150</v>
      </c>
      <c r="D1531" s="17" t="s">
        <v>3151</v>
      </c>
      <c r="E1531" s="16">
        <v>7.5</v>
      </c>
      <c r="F1531" s="7">
        <f t="shared" si="3"/>
        <v>92.5</v>
      </c>
      <c r="G1531" s="17" t="s">
        <v>3113</v>
      </c>
    </row>
    <row r="1532">
      <c r="A1532" s="12">
        <v>124.0</v>
      </c>
      <c r="B1532" s="17" t="s">
        <v>3152</v>
      </c>
      <c r="C1532" s="17" t="s">
        <v>3153</v>
      </c>
      <c r="D1532" s="17" t="s">
        <v>3154</v>
      </c>
      <c r="E1532" s="16">
        <v>7.5</v>
      </c>
      <c r="F1532" s="7">
        <f t="shared" si="3"/>
        <v>92.5</v>
      </c>
      <c r="G1532" s="17" t="s">
        <v>3113</v>
      </c>
    </row>
    <row r="1533">
      <c r="A1533" s="12">
        <v>125.0</v>
      </c>
      <c r="B1533" s="17" t="s">
        <v>3152</v>
      </c>
      <c r="C1533" s="17" t="s">
        <v>3155</v>
      </c>
      <c r="D1533" s="17" t="s">
        <v>3156</v>
      </c>
      <c r="E1533" s="16">
        <v>7.5</v>
      </c>
      <c r="F1533" s="7">
        <f t="shared" si="3"/>
        <v>92.5</v>
      </c>
      <c r="G1533" s="17" t="s">
        <v>3113</v>
      </c>
    </row>
    <row r="1534">
      <c r="A1534" s="12">
        <v>126.0</v>
      </c>
      <c r="B1534" s="17" t="s">
        <v>3157</v>
      </c>
      <c r="C1534" s="17" t="s">
        <v>3158</v>
      </c>
      <c r="D1534" s="17" t="s">
        <v>3159</v>
      </c>
      <c r="E1534" s="16">
        <v>7.5</v>
      </c>
      <c r="F1534" s="7">
        <f t="shared" si="3"/>
        <v>92.5</v>
      </c>
      <c r="G1534" s="17" t="s">
        <v>3113</v>
      </c>
    </row>
    <row r="1535">
      <c r="A1535" s="12">
        <v>127.0</v>
      </c>
      <c r="B1535" s="17" t="s">
        <v>3160</v>
      </c>
      <c r="C1535" s="17" t="s">
        <v>3161</v>
      </c>
      <c r="D1535" s="17" t="s">
        <v>3162</v>
      </c>
      <c r="E1535" s="16">
        <v>7.5</v>
      </c>
      <c r="F1535" s="7">
        <f t="shared" si="3"/>
        <v>92.5</v>
      </c>
      <c r="G1535" s="17" t="s">
        <v>3113</v>
      </c>
    </row>
    <row r="1536">
      <c r="A1536" s="12">
        <v>128.0</v>
      </c>
      <c r="B1536" s="17" t="s">
        <v>3160</v>
      </c>
      <c r="C1536" s="17" t="s">
        <v>3163</v>
      </c>
      <c r="D1536" s="17" t="s">
        <v>3164</v>
      </c>
      <c r="E1536" s="16">
        <v>7.5</v>
      </c>
      <c r="F1536" s="7">
        <f t="shared" si="3"/>
        <v>92.5</v>
      </c>
      <c r="G1536" s="17" t="s">
        <v>3113</v>
      </c>
    </row>
    <row r="1537">
      <c r="A1537" s="12">
        <v>129.0</v>
      </c>
      <c r="B1537" s="17" t="s">
        <v>3165</v>
      </c>
      <c r="C1537" s="17" t="s">
        <v>3166</v>
      </c>
      <c r="D1537" s="17" t="s">
        <v>3167</v>
      </c>
      <c r="E1537" s="16">
        <v>7.5</v>
      </c>
      <c r="F1537" s="7">
        <f t="shared" si="3"/>
        <v>92.5</v>
      </c>
      <c r="G1537" s="17" t="s">
        <v>3113</v>
      </c>
    </row>
    <row r="1538">
      <c r="A1538" s="12">
        <v>130.0</v>
      </c>
      <c r="B1538" s="17" t="s">
        <v>3168</v>
      </c>
      <c r="C1538" s="17" t="s">
        <v>3169</v>
      </c>
      <c r="D1538" s="17" t="s">
        <v>3170</v>
      </c>
      <c r="E1538" s="16">
        <v>7.5</v>
      </c>
      <c r="F1538" s="7">
        <f t="shared" si="3"/>
        <v>92.5</v>
      </c>
      <c r="G1538" s="17" t="s">
        <v>3113</v>
      </c>
    </row>
    <row r="1539">
      <c r="A1539" s="12">
        <v>131.0</v>
      </c>
      <c r="B1539" s="17" t="s">
        <v>3171</v>
      </c>
      <c r="C1539" s="17" t="s">
        <v>3172</v>
      </c>
      <c r="D1539" s="17" t="s">
        <v>3173</v>
      </c>
      <c r="E1539" s="16">
        <v>7.5</v>
      </c>
      <c r="F1539" s="7">
        <f t="shared" si="3"/>
        <v>92.5</v>
      </c>
      <c r="G1539" s="17" t="s">
        <v>3113</v>
      </c>
    </row>
    <row r="1540">
      <c r="A1540" s="12">
        <v>132.0</v>
      </c>
      <c r="B1540" s="17" t="s">
        <v>3171</v>
      </c>
      <c r="C1540" s="17" t="s">
        <v>3174</v>
      </c>
      <c r="D1540" s="17" t="s">
        <v>3175</v>
      </c>
      <c r="E1540" s="16">
        <v>7.5</v>
      </c>
      <c r="F1540" s="7">
        <f t="shared" si="3"/>
        <v>92.5</v>
      </c>
      <c r="G1540" s="17" t="s">
        <v>3113</v>
      </c>
    </row>
    <row r="1541">
      <c r="A1541" s="12">
        <v>133.0</v>
      </c>
      <c r="B1541" s="17" t="s">
        <v>3176</v>
      </c>
      <c r="C1541" s="17" t="s">
        <v>3177</v>
      </c>
      <c r="D1541" s="17" t="s">
        <v>3178</v>
      </c>
      <c r="E1541" s="16">
        <v>7.5</v>
      </c>
      <c r="F1541" s="7">
        <f t="shared" si="3"/>
        <v>92.5</v>
      </c>
      <c r="G1541" s="17" t="s">
        <v>3113</v>
      </c>
    </row>
    <row r="1542">
      <c r="A1542" s="12">
        <v>134.0</v>
      </c>
      <c r="B1542" s="17" t="s">
        <v>3179</v>
      </c>
      <c r="C1542" s="17" t="s">
        <v>3180</v>
      </c>
      <c r="D1542" s="17" t="s">
        <v>3181</v>
      </c>
      <c r="E1542" s="16">
        <v>7.5</v>
      </c>
      <c r="F1542" s="7">
        <f t="shared" si="3"/>
        <v>92.5</v>
      </c>
      <c r="G1542" s="17" t="s">
        <v>3113</v>
      </c>
    </row>
    <row r="1543">
      <c r="A1543" s="12">
        <v>135.0</v>
      </c>
      <c r="B1543" s="17" t="s">
        <v>3179</v>
      </c>
      <c r="C1543" s="17" t="s">
        <v>3182</v>
      </c>
      <c r="D1543" s="17" t="s">
        <v>3183</v>
      </c>
      <c r="E1543" s="16">
        <v>7.5</v>
      </c>
      <c r="F1543" s="7">
        <f t="shared" si="3"/>
        <v>92.5</v>
      </c>
      <c r="G1543" s="17" t="s">
        <v>3113</v>
      </c>
    </row>
    <row r="1544">
      <c r="A1544" s="12">
        <v>136.0</v>
      </c>
      <c r="B1544" s="17" t="s">
        <v>3184</v>
      </c>
      <c r="C1544" s="17" t="s">
        <v>3185</v>
      </c>
      <c r="D1544" s="17" t="s">
        <v>3186</v>
      </c>
      <c r="E1544" s="16">
        <v>7.5</v>
      </c>
      <c r="F1544" s="7">
        <f t="shared" si="3"/>
        <v>92.5</v>
      </c>
      <c r="G1544" s="17" t="s">
        <v>3113</v>
      </c>
    </row>
    <row r="1545">
      <c r="A1545" s="12">
        <v>137.0</v>
      </c>
      <c r="B1545" s="17" t="s">
        <v>3187</v>
      </c>
      <c r="C1545" s="17" t="s">
        <v>3188</v>
      </c>
      <c r="D1545" s="17" t="s">
        <v>3189</v>
      </c>
      <c r="E1545" s="16">
        <v>7.5</v>
      </c>
      <c r="F1545" s="7">
        <f t="shared" si="3"/>
        <v>92.5</v>
      </c>
      <c r="G1545" s="17" t="s">
        <v>3113</v>
      </c>
    </row>
    <row r="1546">
      <c r="A1546" s="12">
        <v>138.0</v>
      </c>
      <c r="B1546" s="17" t="s">
        <v>3187</v>
      </c>
      <c r="C1546" s="17" t="s">
        <v>3190</v>
      </c>
      <c r="D1546" s="17" t="s">
        <v>3191</v>
      </c>
      <c r="E1546" s="16">
        <v>7.5</v>
      </c>
      <c r="F1546" s="7">
        <f t="shared" si="3"/>
        <v>92.5</v>
      </c>
      <c r="G1546" s="17" t="s">
        <v>3113</v>
      </c>
    </row>
    <row r="1547">
      <c r="A1547" s="12">
        <v>139.0</v>
      </c>
      <c r="B1547" s="17" t="s">
        <v>3192</v>
      </c>
      <c r="C1547" s="17" t="s">
        <v>3193</v>
      </c>
      <c r="D1547" s="17" t="s">
        <v>3194</v>
      </c>
      <c r="E1547" s="16">
        <v>7.5</v>
      </c>
      <c r="F1547" s="7">
        <f t="shared" si="3"/>
        <v>92.5</v>
      </c>
      <c r="G1547" s="17" t="s">
        <v>3113</v>
      </c>
    </row>
    <row r="1548">
      <c r="A1548" s="12">
        <v>140.0</v>
      </c>
      <c r="B1548" s="17" t="s">
        <v>3195</v>
      </c>
      <c r="C1548" s="17" t="s">
        <v>3196</v>
      </c>
      <c r="D1548" s="17" t="s">
        <v>3197</v>
      </c>
      <c r="E1548" s="16">
        <v>7.5</v>
      </c>
      <c r="F1548" s="7">
        <f t="shared" si="3"/>
        <v>92.5</v>
      </c>
      <c r="G1548" s="17" t="s">
        <v>3113</v>
      </c>
    </row>
    <row r="1549">
      <c r="A1549" s="12">
        <v>141.0</v>
      </c>
      <c r="B1549" s="17" t="s">
        <v>3198</v>
      </c>
      <c r="C1549" s="17" t="s">
        <v>3199</v>
      </c>
      <c r="D1549" s="17" t="s">
        <v>3200</v>
      </c>
      <c r="E1549" s="16">
        <v>7.5</v>
      </c>
      <c r="F1549" s="7">
        <f t="shared" si="3"/>
        <v>92.5</v>
      </c>
      <c r="G1549" s="17" t="s">
        <v>3113</v>
      </c>
    </row>
    <row r="1550">
      <c r="A1550" s="12">
        <v>142.0</v>
      </c>
      <c r="B1550" s="17" t="s">
        <v>3201</v>
      </c>
      <c r="C1550" s="17" t="s">
        <v>3202</v>
      </c>
      <c r="D1550" s="17" t="s">
        <v>3203</v>
      </c>
      <c r="E1550" s="16">
        <v>7.5</v>
      </c>
      <c r="F1550" s="7">
        <f t="shared" si="3"/>
        <v>92.5</v>
      </c>
      <c r="G1550" s="17" t="s">
        <v>3113</v>
      </c>
    </row>
    <row r="1551">
      <c r="A1551" s="12">
        <v>143.0</v>
      </c>
      <c r="B1551" s="17" t="s">
        <v>3204</v>
      </c>
      <c r="C1551" s="17" t="s">
        <v>3205</v>
      </c>
      <c r="D1551" s="17" t="s">
        <v>3206</v>
      </c>
      <c r="E1551" s="16">
        <v>7.5</v>
      </c>
      <c r="F1551" s="7">
        <f t="shared" si="3"/>
        <v>92.5</v>
      </c>
      <c r="G1551" s="17" t="s">
        <v>3113</v>
      </c>
    </row>
    <row r="1552">
      <c r="A1552" s="12">
        <v>144.0</v>
      </c>
      <c r="B1552" s="17" t="s">
        <v>3204</v>
      </c>
      <c r="C1552" s="17" t="s">
        <v>3207</v>
      </c>
      <c r="D1552" s="17" t="s">
        <v>3208</v>
      </c>
      <c r="E1552" s="16">
        <v>7.5</v>
      </c>
      <c r="F1552" s="7">
        <f t="shared" si="3"/>
        <v>92.5</v>
      </c>
      <c r="G1552" s="17" t="s">
        <v>3113</v>
      </c>
    </row>
    <row r="1553">
      <c r="A1553" s="12">
        <v>145.0</v>
      </c>
      <c r="B1553" s="17" t="s">
        <v>3209</v>
      </c>
      <c r="C1553" s="17" t="s">
        <v>3210</v>
      </c>
      <c r="D1553" s="17" t="s">
        <v>3211</v>
      </c>
      <c r="E1553" s="16">
        <v>7.5</v>
      </c>
      <c r="F1553" s="7">
        <f t="shared" si="3"/>
        <v>92.5</v>
      </c>
      <c r="G1553" s="17" t="s">
        <v>3113</v>
      </c>
    </row>
    <row r="1554">
      <c r="A1554" s="12">
        <v>146.0</v>
      </c>
      <c r="B1554" s="17" t="s">
        <v>3212</v>
      </c>
      <c r="C1554" s="17" t="s">
        <v>3213</v>
      </c>
      <c r="D1554" s="17" t="s">
        <v>3214</v>
      </c>
      <c r="E1554" s="16">
        <v>7.5</v>
      </c>
      <c r="F1554" s="7">
        <f t="shared" si="3"/>
        <v>92.5</v>
      </c>
      <c r="G1554" s="17" t="s">
        <v>3113</v>
      </c>
    </row>
    <row r="1555">
      <c r="A1555" s="12">
        <v>147.0</v>
      </c>
      <c r="B1555" s="17" t="s">
        <v>3215</v>
      </c>
      <c r="C1555" s="17" t="s">
        <v>3216</v>
      </c>
      <c r="D1555" s="17" t="s">
        <v>3217</v>
      </c>
      <c r="E1555" s="16">
        <v>7.5</v>
      </c>
      <c r="F1555" s="7">
        <f t="shared" si="3"/>
        <v>92.5</v>
      </c>
      <c r="G1555" s="17" t="s">
        <v>3113</v>
      </c>
    </row>
    <row r="1556">
      <c r="A1556" s="12">
        <v>148.0</v>
      </c>
      <c r="B1556" s="17" t="s">
        <v>3218</v>
      </c>
      <c r="C1556" s="17" t="s">
        <v>3219</v>
      </c>
      <c r="D1556" s="17" t="s">
        <v>3220</v>
      </c>
      <c r="E1556" s="16">
        <v>7.5</v>
      </c>
      <c r="F1556" s="7">
        <f t="shared" si="3"/>
        <v>92.5</v>
      </c>
      <c r="G1556" s="17" t="s">
        <v>3113</v>
      </c>
    </row>
    <row r="1557">
      <c r="A1557" s="12">
        <v>149.0</v>
      </c>
      <c r="B1557" s="17" t="s">
        <v>3221</v>
      </c>
      <c r="C1557" s="17" t="s">
        <v>3222</v>
      </c>
      <c r="D1557" s="17" t="s">
        <v>3223</v>
      </c>
      <c r="E1557" s="16">
        <v>7.5</v>
      </c>
      <c r="F1557" s="7">
        <f t="shared" si="3"/>
        <v>92.5</v>
      </c>
      <c r="G1557" s="17" t="s">
        <v>3113</v>
      </c>
    </row>
    <row r="1558">
      <c r="A1558" s="12">
        <v>150.0</v>
      </c>
      <c r="B1558" s="17" t="s">
        <v>3224</v>
      </c>
      <c r="C1558" s="17" t="s">
        <v>3225</v>
      </c>
      <c r="D1558" s="17" t="s">
        <v>3226</v>
      </c>
      <c r="E1558" s="16">
        <v>7.5</v>
      </c>
      <c r="F1558" s="7">
        <f t="shared" si="3"/>
        <v>92.5</v>
      </c>
      <c r="G1558" s="17" t="s">
        <v>3113</v>
      </c>
    </row>
    <row r="1559">
      <c r="A1559" s="12">
        <v>151.0</v>
      </c>
      <c r="B1559" s="17" t="s">
        <v>3227</v>
      </c>
      <c r="C1559" s="17" t="s">
        <v>3228</v>
      </c>
      <c r="D1559" s="17" t="s">
        <v>3229</v>
      </c>
      <c r="E1559" s="16">
        <v>7.5</v>
      </c>
      <c r="F1559" s="7">
        <f t="shared" si="3"/>
        <v>92.5</v>
      </c>
      <c r="G1559" s="17" t="s">
        <v>3113</v>
      </c>
    </row>
    <row r="1560">
      <c r="A1560" s="12">
        <v>152.0</v>
      </c>
      <c r="B1560" s="17" t="s">
        <v>3230</v>
      </c>
      <c r="C1560" s="17" t="s">
        <v>3231</v>
      </c>
      <c r="D1560" s="17" t="s">
        <v>3232</v>
      </c>
      <c r="E1560" s="16">
        <v>7.5</v>
      </c>
      <c r="F1560" s="7">
        <f t="shared" si="3"/>
        <v>92.5</v>
      </c>
      <c r="G1560" s="17" t="s">
        <v>3113</v>
      </c>
    </row>
    <row r="1561">
      <c r="A1561" s="12">
        <v>153.0</v>
      </c>
      <c r="B1561" s="17" t="s">
        <v>3233</v>
      </c>
      <c r="C1561" s="17" t="s">
        <v>3234</v>
      </c>
      <c r="D1561" s="17" t="s">
        <v>3235</v>
      </c>
      <c r="E1561" s="16">
        <v>7.5</v>
      </c>
      <c r="F1561" s="7">
        <f t="shared" si="3"/>
        <v>92.5</v>
      </c>
      <c r="G1561" s="17" t="s">
        <v>3113</v>
      </c>
    </row>
    <row r="1562">
      <c r="A1562" s="12">
        <v>154.0</v>
      </c>
      <c r="B1562" s="17" t="s">
        <v>3236</v>
      </c>
      <c r="C1562" s="17" t="s">
        <v>3237</v>
      </c>
      <c r="D1562" s="17" t="s">
        <v>3238</v>
      </c>
      <c r="E1562" s="16">
        <v>7.5</v>
      </c>
      <c r="F1562" s="7">
        <f t="shared" si="3"/>
        <v>92.5</v>
      </c>
      <c r="G1562" s="17" t="s">
        <v>3113</v>
      </c>
    </row>
    <row r="1563">
      <c r="A1563" s="12">
        <v>155.0</v>
      </c>
      <c r="B1563" s="17" t="s">
        <v>3239</v>
      </c>
      <c r="C1563" s="17" t="s">
        <v>3240</v>
      </c>
      <c r="D1563" s="17" t="s">
        <v>3241</v>
      </c>
      <c r="E1563" s="16">
        <v>7.5</v>
      </c>
      <c r="F1563" s="7">
        <f t="shared" si="3"/>
        <v>92.5</v>
      </c>
      <c r="G1563" s="17" t="s">
        <v>3113</v>
      </c>
    </row>
    <row r="1564">
      <c r="A1564" s="12">
        <v>156.0</v>
      </c>
      <c r="B1564" s="17" t="s">
        <v>3242</v>
      </c>
      <c r="C1564" s="17" t="s">
        <v>3243</v>
      </c>
      <c r="D1564" s="17" t="s">
        <v>3244</v>
      </c>
      <c r="E1564" s="16">
        <v>7.5</v>
      </c>
      <c r="F1564" s="7">
        <f t="shared" si="3"/>
        <v>92.5</v>
      </c>
      <c r="G1564" s="17" t="s">
        <v>3113</v>
      </c>
    </row>
    <row r="1565">
      <c r="A1565" s="12">
        <v>157.0</v>
      </c>
      <c r="B1565" s="17" t="s">
        <v>3245</v>
      </c>
      <c r="C1565" s="17" t="s">
        <v>3246</v>
      </c>
      <c r="D1565" s="17" t="s">
        <v>3247</v>
      </c>
      <c r="E1565" s="16">
        <v>7.5</v>
      </c>
      <c r="F1565" s="7">
        <f t="shared" si="3"/>
        <v>92.5</v>
      </c>
      <c r="G1565" s="17" t="s">
        <v>3113</v>
      </c>
    </row>
    <row r="1566">
      <c r="A1566" s="12">
        <v>158.0</v>
      </c>
      <c r="B1566" s="17" t="s">
        <v>3248</v>
      </c>
      <c r="C1566" s="17" t="s">
        <v>3249</v>
      </c>
      <c r="D1566" s="17" t="s">
        <v>3250</v>
      </c>
      <c r="E1566" s="16">
        <v>7.5</v>
      </c>
      <c r="F1566" s="7">
        <f t="shared" si="3"/>
        <v>92.5</v>
      </c>
      <c r="G1566" s="17" t="s">
        <v>3113</v>
      </c>
    </row>
    <row r="1567">
      <c r="A1567" s="12">
        <v>159.0</v>
      </c>
      <c r="B1567" s="17" t="s">
        <v>3251</v>
      </c>
      <c r="C1567" s="17" t="s">
        <v>3252</v>
      </c>
      <c r="D1567" s="17" t="s">
        <v>3253</v>
      </c>
      <c r="E1567" s="16">
        <v>7.5</v>
      </c>
      <c r="F1567" s="7">
        <f t="shared" si="3"/>
        <v>92.5</v>
      </c>
      <c r="G1567" s="17" t="s">
        <v>3113</v>
      </c>
    </row>
    <row r="1568">
      <c r="A1568" s="12">
        <v>160.0</v>
      </c>
      <c r="B1568" s="17" t="s">
        <v>3254</v>
      </c>
      <c r="C1568" s="17" t="s">
        <v>3255</v>
      </c>
      <c r="D1568" s="17" t="s">
        <v>3256</v>
      </c>
      <c r="E1568" s="16">
        <v>7.5</v>
      </c>
      <c r="F1568" s="7">
        <f t="shared" si="3"/>
        <v>92.5</v>
      </c>
      <c r="G1568" s="17" t="s">
        <v>3113</v>
      </c>
    </row>
    <row r="1569">
      <c r="A1569" s="12">
        <v>161.0</v>
      </c>
      <c r="B1569" s="17" t="s">
        <v>3254</v>
      </c>
      <c r="C1569" s="17" t="s">
        <v>3257</v>
      </c>
      <c r="D1569" s="17" t="s">
        <v>3258</v>
      </c>
      <c r="E1569" s="16">
        <v>7.5</v>
      </c>
      <c r="F1569" s="7">
        <f t="shared" si="3"/>
        <v>92.5</v>
      </c>
      <c r="G1569" s="17" t="s">
        <v>3113</v>
      </c>
    </row>
    <row r="1570">
      <c r="A1570" s="12">
        <v>162.0</v>
      </c>
      <c r="B1570" s="17" t="s">
        <v>3259</v>
      </c>
      <c r="C1570" s="17" t="s">
        <v>3260</v>
      </c>
      <c r="D1570" s="17" t="s">
        <v>3261</v>
      </c>
      <c r="E1570" s="16">
        <v>7.5</v>
      </c>
      <c r="F1570" s="7">
        <f t="shared" si="3"/>
        <v>92.5</v>
      </c>
      <c r="G1570" s="17" t="s">
        <v>3113</v>
      </c>
    </row>
    <row r="1571">
      <c r="A1571" s="12">
        <v>163.0</v>
      </c>
      <c r="B1571" s="17" t="s">
        <v>3262</v>
      </c>
      <c r="C1571" s="17" t="s">
        <v>3263</v>
      </c>
      <c r="D1571" s="17" t="s">
        <v>3264</v>
      </c>
      <c r="E1571" s="16">
        <v>7.5</v>
      </c>
      <c r="F1571" s="7">
        <f t="shared" si="3"/>
        <v>92.5</v>
      </c>
      <c r="G1571" s="17" t="s">
        <v>3113</v>
      </c>
    </row>
    <row r="1572">
      <c r="A1572" s="12">
        <v>164.0</v>
      </c>
      <c r="B1572" s="17" t="s">
        <v>3265</v>
      </c>
      <c r="C1572" s="17" t="s">
        <v>3266</v>
      </c>
      <c r="D1572" s="17" t="s">
        <v>3267</v>
      </c>
      <c r="E1572" s="16">
        <v>7.5</v>
      </c>
      <c r="F1572" s="7">
        <f t="shared" si="3"/>
        <v>92.5</v>
      </c>
      <c r="G1572" s="17" t="s">
        <v>3113</v>
      </c>
    </row>
    <row r="1573">
      <c r="A1573" s="12">
        <v>165.0</v>
      </c>
      <c r="B1573" s="17" t="s">
        <v>3268</v>
      </c>
      <c r="C1573" s="17" t="s">
        <v>3269</v>
      </c>
      <c r="D1573" s="17" t="s">
        <v>3270</v>
      </c>
      <c r="E1573" s="16">
        <v>7.5</v>
      </c>
      <c r="F1573" s="7">
        <f t="shared" si="3"/>
        <v>92.5</v>
      </c>
      <c r="G1573" s="17" t="s">
        <v>3113</v>
      </c>
    </row>
    <row r="1574">
      <c r="A1574" s="12">
        <v>166.0</v>
      </c>
      <c r="B1574" s="17" t="s">
        <v>3271</v>
      </c>
      <c r="C1574" s="17" t="s">
        <v>3272</v>
      </c>
      <c r="D1574" s="17" t="s">
        <v>3273</v>
      </c>
      <c r="E1574" s="16">
        <v>7.5</v>
      </c>
      <c r="F1574" s="7">
        <f t="shared" si="3"/>
        <v>92.5</v>
      </c>
      <c r="G1574" s="17" t="s">
        <v>3113</v>
      </c>
    </row>
    <row r="1575">
      <c r="A1575" s="12">
        <v>167.0</v>
      </c>
      <c r="B1575" s="17" t="s">
        <v>3274</v>
      </c>
      <c r="C1575" s="17" t="s">
        <v>3275</v>
      </c>
      <c r="D1575" s="17" t="s">
        <v>3276</v>
      </c>
      <c r="E1575" s="16">
        <v>7.5</v>
      </c>
      <c r="F1575" s="7">
        <f t="shared" si="3"/>
        <v>92.5</v>
      </c>
      <c r="G1575" s="17" t="s">
        <v>3113</v>
      </c>
    </row>
    <row r="1576">
      <c r="A1576" s="12">
        <v>168.0</v>
      </c>
      <c r="B1576" s="17" t="s">
        <v>3277</v>
      </c>
      <c r="C1576" s="17" t="s">
        <v>3278</v>
      </c>
      <c r="D1576" s="17" t="s">
        <v>3279</v>
      </c>
      <c r="E1576" s="16">
        <v>7.5</v>
      </c>
      <c r="F1576" s="7">
        <f t="shared" si="3"/>
        <v>92.5</v>
      </c>
      <c r="G1576" s="17" t="s">
        <v>3113</v>
      </c>
    </row>
    <row r="1577">
      <c r="A1577" s="12">
        <v>169.0</v>
      </c>
      <c r="B1577" s="17" t="s">
        <v>3280</v>
      </c>
      <c r="C1577" s="17" t="s">
        <v>3281</v>
      </c>
      <c r="D1577" s="17" t="s">
        <v>3282</v>
      </c>
      <c r="E1577" s="16">
        <v>7.5</v>
      </c>
      <c r="F1577" s="7">
        <f t="shared" si="3"/>
        <v>92.5</v>
      </c>
      <c r="G1577" s="17" t="s">
        <v>3113</v>
      </c>
    </row>
    <row r="1578">
      <c r="A1578" s="12">
        <v>170.0</v>
      </c>
      <c r="B1578" s="17" t="s">
        <v>3280</v>
      </c>
      <c r="C1578" s="17" t="s">
        <v>3283</v>
      </c>
      <c r="D1578" s="17" t="s">
        <v>3284</v>
      </c>
      <c r="E1578" s="16">
        <v>7.5</v>
      </c>
      <c r="F1578" s="7">
        <f t="shared" si="3"/>
        <v>92.5</v>
      </c>
      <c r="G1578" s="17" t="s">
        <v>3113</v>
      </c>
    </row>
    <row r="1579">
      <c r="A1579" s="12">
        <v>171.0</v>
      </c>
      <c r="B1579" s="17" t="s">
        <v>3285</v>
      </c>
      <c r="C1579" s="17" t="s">
        <v>3286</v>
      </c>
      <c r="D1579" s="17" t="s">
        <v>3287</v>
      </c>
      <c r="E1579" s="16">
        <v>7.5</v>
      </c>
      <c r="F1579" s="7">
        <f t="shared" si="3"/>
        <v>92.5</v>
      </c>
      <c r="G1579" s="17" t="s">
        <v>3113</v>
      </c>
    </row>
    <row r="1580">
      <c r="A1580" s="12">
        <v>172.0</v>
      </c>
      <c r="B1580" s="17" t="s">
        <v>3288</v>
      </c>
      <c r="C1580" s="17" t="s">
        <v>3289</v>
      </c>
      <c r="D1580" s="17" t="s">
        <v>3290</v>
      </c>
      <c r="E1580" s="16">
        <v>7.5</v>
      </c>
      <c r="F1580" s="7">
        <f t="shared" si="3"/>
        <v>92.5</v>
      </c>
      <c r="G1580" s="17" t="s">
        <v>3113</v>
      </c>
    </row>
    <row r="1581">
      <c r="A1581" s="12">
        <v>173.0</v>
      </c>
      <c r="B1581" s="17" t="s">
        <v>3288</v>
      </c>
      <c r="C1581" s="17" t="s">
        <v>3291</v>
      </c>
      <c r="D1581" s="17" t="s">
        <v>3292</v>
      </c>
      <c r="E1581" s="16">
        <v>7.5</v>
      </c>
      <c r="F1581" s="7">
        <f t="shared" si="3"/>
        <v>92.5</v>
      </c>
      <c r="G1581" s="17" t="s">
        <v>3113</v>
      </c>
    </row>
    <row r="1582">
      <c r="A1582" s="12">
        <v>174.0</v>
      </c>
      <c r="B1582" s="17" t="s">
        <v>3293</v>
      </c>
      <c r="C1582" s="17" t="s">
        <v>3294</v>
      </c>
      <c r="D1582" s="17" t="s">
        <v>3295</v>
      </c>
      <c r="E1582" s="16">
        <v>7.5</v>
      </c>
      <c r="F1582" s="7">
        <f t="shared" si="3"/>
        <v>92.5</v>
      </c>
      <c r="G1582" s="17" t="s">
        <v>3113</v>
      </c>
    </row>
    <row r="1583">
      <c r="A1583" s="12">
        <v>175.0</v>
      </c>
      <c r="B1583" s="17" t="s">
        <v>3296</v>
      </c>
      <c r="C1583" s="17" t="s">
        <v>3297</v>
      </c>
      <c r="D1583" s="17" t="s">
        <v>3298</v>
      </c>
      <c r="E1583" s="16">
        <v>7.5</v>
      </c>
      <c r="F1583" s="7">
        <f t="shared" si="3"/>
        <v>92.5</v>
      </c>
      <c r="G1583" s="17" t="s">
        <v>3113</v>
      </c>
    </row>
    <row r="1584">
      <c r="A1584" s="12">
        <v>176.0</v>
      </c>
      <c r="B1584" s="17" t="s">
        <v>3299</v>
      </c>
      <c r="C1584" s="17" t="s">
        <v>3300</v>
      </c>
      <c r="D1584" s="17" t="s">
        <v>3301</v>
      </c>
      <c r="E1584" s="16">
        <v>7.5</v>
      </c>
      <c r="F1584" s="7">
        <f t="shared" si="3"/>
        <v>92.5</v>
      </c>
      <c r="G1584" s="17" t="s">
        <v>3113</v>
      </c>
    </row>
    <row r="1585">
      <c r="A1585" s="12">
        <v>177.0</v>
      </c>
      <c r="B1585" s="17" t="s">
        <v>3302</v>
      </c>
      <c r="C1585" s="17" t="s">
        <v>3303</v>
      </c>
      <c r="D1585" s="17" t="s">
        <v>3304</v>
      </c>
      <c r="E1585" s="16">
        <v>7.5</v>
      </c>
      <c r="F1585" s="7">
        <f t="shared" si="3"/>
        <v>92.5</v>
      </c>
      <c r="G1585" s="17" t="s">
        <v>3113</v>
      </c>
    </row>
    <row r="1586">
      <c r="A1586" s="12">
        <v>178.0</v>
      </c>
      <c r="B1586" s="17" t="s">
        <v>3302</v>
      </c>
      <c r="C1586" s="17" t="s">
        <v>3305</v>
      </c>
      <c r="D1586" s="17" t="s">
        <v>3306</v>
      </c>
      <c r="E1586" s="16">
        <v>7.5</v>
      </c>
      <c r="F1586" s="7">
        <f t="shared" si="3"/>
        <v>92.5</v>
      </c>
      <c r="G1586" s="17" t="s">
        <v>3113</v>
      </c>
    </row>
    <row r="1587">
      <c r="A1587" s="12">
        <v>179.0</v>
      </c>
      <c r="B1587" s="17" t="s">
        <v>3307</v>
      </c>
      <c r="C1587" s="17" t="s">
        <v>3308</v>
      </c>
      <c r="D1587" s="17" t="s">
        <v>3309</v>
      </c>
      <c r="E1587" s="16">
        <v>7.5</v>
      </c>
      <c r="F1587" s="7">
        <f t="shared" si="3"/>
        <v>92.5</v>
      </c>
      <c r="G1587" s="17" t="s">
        <v>3113</v>
      </c>
    </row>
    <row r="1588">
      <c r="A1588" s="12">
        <v>180.0</v>
      </c>
      <c r="B1588" s="17" t="s">
        <v>3310</v>
      </c>
      <c r="C1588" s="17" t="s">
        <v>3311</v>
      </c>
      <c r="D1588" s="17" t="s">
        <v>3312</v>
      </c>
      <c r="E1588" s="16">
        <v>7.5</v>
      </c>
      <c r="F1588" s="7">
        <f t="shared" si="3"/>
        <v>92.5</v>
      </c>
      <c r="G1588" s="17" t="s">
        <v>3113</v>
      </c>
    </row>
    <row r="1589">
      <c r="A1589" s="12">
        <v>181.0</v>
      </c>
      <c r="B1589" s="17" t="s">
        <v>3313</v>
      </c>
      <c r="C1589" s="17" t="s">
        <v>3314</v>
      </c>
      <c r="D1589" s="17" t="s">
        <v>3315</v>
      </c>
      <c r="E1589" s="16">
        <v>7.5</v>
      </c>
      <c r="F1589" s="7">
        <f t="shared" si="3"/>
        <v>92.5</v>
      </c>
      <c r="G1589" s="17" t="s">
        <v>3113</v>
      </c>
    </row>
    <row r="1590">
      <c r="A1590" s="12">
        <v>182.0</v>
      </c>
      <c r="B1590" s="17" t="s">
        <v>3316</v>
      </c>
      <c r="C1590" s="17" t="s">
        <v>3317</v>
      </c>
      <c r="D1590" s="17" t="s">
        <v>3318</v>
      </c>
      <c r="E1590" s="16">
        <v>7.5</v>
      </c>
      <c r="F1590" s="7">
        <f t="shared" si="3"/>
        <v>92.5</v>
      </c>
      <c r="G1590" s="17" t="s">
        <v>3113</v>
      </c>
    </row>
    <row r="1591">
      <c r="A1591" s="12">
        <v>183.0</v>
      </c>
      <c r="B1591" s="17" t="s">
        <v>3319</v>
      </c>
      <c r="C1591" s="17" t="s">
        <v>3320</v>
      </c>
      <c r="D1591" s="17" t="s">
        <v>3321</v>
      </c>
      <c r="E1591" s="16">
        <v>7.5</v>
      </c>
      <c r="F1591" s="7">
        <f t="shared" si="3"/>
        <v>92.5</v>
      </c>
      <c r="G1591" s="17" t="s">
        <v>3113</v>
      </c>
    </row>
    <row r="1592">
      <c r="A1592" s="12">
        <v>184.0</v>
      </c>
      <c r="B1592" s="17" t="s">
        <v>3322</v>
      </c>
      <c r="C1592" s="17" t="s">
        <v>3323</v>
      </c>
      <c r="D1592" s="17" t="s">
        <v>3324</v>
      </c>
      <c r="E1592" s="16">
        <v>7.5</v>
      </c>
      <c r="F1592" s="7">
        <f t="shared" si="3"/>
        <v>92.5</v>
      </c>
      <c r="G1592" s="17" t="s">
        <v>3113</v>
      </c>
    </row>
    <row r="1593">
      <c r="A1593" s="12">
        <v>185.0</v>
      </c>
      <c r="B1593" s="17" t="s">
        <v>3325</v>
      </c>
      <c r="C1593" s="17" t="s">
        <v>3326</v>
      </c>
      <c r="D1593" s="17" t="s">
        <v>3327</v>
      </c>
      <c r="E1593" s="16">
        <v>7.5</v>
      </c>
      <c r="F1593" s="7">
        <f t="shared" si="3"/>
        <v>92.5</v>
      </c>
      <c r="G1593" s="17" t="s">
        <v>3113</v>
      </c>
    </row>
    <row r="1594">
      <c r="A1594" s="12">
        <v>186.0</v>
      </c>
      <c r="B1594" s="17" t="s">
        <v>3328</v>
      </c>
      <c r="C1594" s="17" t="s">
        <v>3329</v>
      </c>
      <c r="D1594" s="17" t="s">
        <v>3330</v>
      </c>
      <c r="E1594" s="16">
        <v>7.5</v>
      </c>
      <c r="F1594" s="7">
        <f t="shared" si="3"/>
        <v>92.5</v>
      </c>
      <c r="G1594" s="17" t="s">
        <v>3113</v>
      </c>
    </row>
    <row r="1595">
      <c r="A1595" s="12">
        <v>187.0</v>
      </c>
      <c r="B1595" s="17" t="s">
        <v>3331</v>
      </c>
      <c r="C1595" s="17" t="s">
        <v>3332</v>
      </c>
      <c r="D1595" s="17" t="s">
        <v>3333</v>
      </c>
      <c r="E1595" s="16">
        <v>7.5</v>
      </c>
      <c r="F1595" s="7">
        <f t="shared" si="3"/>
        <v>92.5</v>
      </c>
      <c r="G1595" s="17" t="s">
        <v>3113</v>
      </c>
    </row>
    <row r="1596">
      <c r="A1596" s="12">
        <v>188.0</v>
      </c>
      <c r="B1596" s="17" t="s">
        <v>3334</v>
      </c>
      <c r="C1596" s="17" t="s">
        <v>3335</v>
      </c>
      <c r="D1596" s="17" t="s">
        <v>3336</v>
      </c>
      <c r="E1596" s="16">
        <v>7.5</v>
      </c>
      <c r="F1596" s="7">
        <f t="shared" si="3"/>
        <v>92.5</v>
      </c>
      <c r="G1596" s="17" t="s">
        <v>3113</v>
      </c>
    </row>
    <row r="1597">
      <c r="A1597" s="12">
        <v>189.0</v>
      </c>
      <c r="B1597" s="17" t="s">
        <v>3337</v>
      </c>
      <c r="C1597" s="17" t="s">
        <v>3338</v>
      </c>
      <c r="D1597" s="17" t="s">
        <v>3339</v>
      </c>
      <c r="E1597" s="16">
        <v>7.5</v>
      </c>
      <c r="F1597" s="7">
        <f t="shared" si="3"/>
        <v>92.5</v>
      </c>
      <c r="G1597" s="17" t="s">
        <v>3113</v>
      </c>
    </row>
    <row r="1598">
      <c r="A1598" s="12">
        <v>190.0</v>
      </c>
      <c r="B1598" s="17" t="s">
        <v>3340</v>
      </c>
      <c r="C1598" s="17" t="s">
        <v>3341</v>
      </c>
      <c r="D1598" s="17" t="s">
        <v>3342</v>
      </c>
      <c r="E1598" s="16">
        <v>7.5</v>
      </c>
      <c r="F1598" s="7">
        <f t="shared" si="3"/>
        <v>92.5</v>
      </c>
      <c r="G1598" s="17" t="s">
        <v>3113</v>
      </c>
    </row>
    <row r="1599">
      <c r="A1599" s="12">
        <v>191.0</v>
      </c>
      <c r="B1599" s="17" t="s">
        <v>3343</v>
      </c>
      <c r="C1599" s="17" t="s">
        <v>3344</v>
      </c>
      <c r="D1599" s="17" t="s">
        <v>3345</v>
      </c>
      <c r="E1599" s="16">
        <v>7.5</v>
      </c>
      <c r="F1599" s="7">
        <f t="shared" si="3"/>
        <v>92.5</v>
      </c>
      <c r="G1599" s="17" t="s">
        <v>3113</v>
      </c>
    </row>
    <row r="1600">
      <c r="A1600" s="12">
        <v>192.0</v>
      </c>
      <c r="B1600" s="17" t="s">
        <v>3346</v>
      </c>
      <c r="C1600" s="17" t="s">
        <v>3347</v>
      </c>
      <c r="D1600" s="17" t="s">
        <v>3348</v>
      </c>
      <c r="E1600" s="16">
        <v>7.5</v>
      </c>
      <c r="F1600" s="7">
        <f t="shared" si="3"/>
        <v>92.5</v>
      </c>
      <c r="G1600" s="17" t="s">
        <v>3113</v>
      </c>
    </row>
    <row r="1601">
      <c r="A1601" s="12">
        <v>193.0</v>
      </c>
      <c r="B1601" s="17" t="s">
        <v>3346</v>
      </c>
      <c r="C1601" s="17" t="s">
        <v>3349</v>
      </c>
      <c r="D1601" s="17" t="s">
        <v>3350</v>
      </c>
      <c r="E1601" s="16">
        <v>7.5</v>
      </c>
      <c r="F1601" s="7">
        <f t="shared" si="3"/>
        <v>92.5</v>
      </c>
      <c r="G1601" s="17" t="s">
        <v>3113</v>
      </c>
    </row>
    <row r="1602">
      <c r="A1602" s="12">
        <v>194.0</v>
      </c>
      <c r="B1602" s="17" t="s">
        <v>3351</v>
      </c>
      <c r="C1602" s="17" t="s">
        <v>3352</v>
      </c>
      <c r="D1602" s="17" t="s">
        <v>3353</v>
      </c>
      <c r="E1602" s="16">
        <v>7.5</v>
      </c>
      <c r="F1602" s="7">
        <f t="shared" si="3"/>
        <v>92.5</v>
      </c>
      <c r="G1602" s="17" t="s">
        <v>3113</v>
      </c>
    </row>
    <row r="1603">
      <c r="A1603" s="12">
        <v>195.0</v>
      </c>
      <c r="B1603" s="17" t="s">
        <v>3354</v>
      </c>
      <c r="C1603" s="17" t="s">
        <v>3355</v>
      </c>
      <c r="D1603" s="17" t="s">
        <v>3356</v>
      </c>
      <c r="E1603" s="16">
        <v>7.5</v>
      </c>
      <c r="F1603" s="7">
        <f t="shared" si="3"/>
        <v>92.5</v>
      </c>
      <c r="G1603" s="17" t="s">
        <v>3113</v>
      </c>
    </row>
    <row r="1604">
      <c r="A1604" s="12">
        <v>196.0</v>
      </c>
      <c r="B1604" s="17" t="s">
        <v>3357</v>
      </c>
      <c r="C1604" s="17" t="s">
        <v>3358</v>
      </c>
      <c r="D1604" s="17" t="s">
        <v>3359</v>
      </c>
      <c r="E1604" s="16">
        <v>7.5</v>
      </c>
      <c r="F1604" s="7">
        <f t="shared" si="3"/>
        <v>92.5</v>
      </c>
      <c r="G1604" s="17" t="s">
        <v>3113</v>
      </c>
    </row>
    <row r="1605">
      <c r="A1605" s="12">
        <v>197.0</v>
      </c>
      <c r="B1605" s="17" t="s">
        <v>3360</v>
      </c>
      <c r="C1605" s="17" t="s">
        <v>3361</v>
      </c>
      <c r="D1605" s="17" t="s">
        <v>3362</v>
      </c>
      <c r="E1605" s="16">
        <v>7.5</v>
      </c>
      <c r="F1605" s="7">
        <f t="shared" si="3"/>
        <v>92.5</v>
      </c>
      <c r="G1605" s="17" t="s">
        <v>3113</v>
      </c>
    </row>
    <row r="1606">
      <c r="A1606" s="12">
        <v>198.0</v>
      </c>
      <c r="B1606" s="17" t="s">
        <v>3363</v>
      </c>
      <c r="C1606" s="17" t="s">
        <v>3364</v>
      </c>
      <c r="D1606" s="17" t="s">
        <v>3365</v>
      </c>
      <c r="E1606" s="16">
        <v>7.5</v>
      </c>
      <c r="F1606" s="7">
        <f t="shared" si="3"/>
        <v>92.5</v>
      </c>
      <c r="G1606" s="17" t="s">
        <v>3113</v>
      </c>
    </row>
    <row r="1607">
      <c r="A1607" s="12">
        <v>199.0</v>
      </c>
      <c r="B1607" s="17" t="s">
        <v>3366</v>
      </c>
      <c r="C1607" s="17" t="s">
        <v>3367</v>
      </c>
      <c r="D1607" s="17" t="s">
        <v>3368</v>
      </c>
      <c r="E1607" s="16">
        <v>7.5</v>
      </c>
      <c r="F1607" s="7">
        <f t="shared" si="3"/>
        <v>92.5</v>
      </c>
      <c r="G1607" s="17" t="s">
        <v>3113</v>
      </c>
    </row>
    <row r="1608">
      <c r="A1608" s="12">
        <v>200.0</v>
      </c>
      <c r="B1608" s="17" t="s">
        <v>3369</v>
      </c>
      <c r="C1608" s="17" t="s">
        <v>3370</v>
      </c>
      <c r="D1608" s="17" t="s">
        <v>3371</v>
      </c>
      <c r="E1608" s="16">
        <v>7.5</v>
      </c>
      <c r="F1608" s="7">
        <f t="shared" si="3"/>
        <v>92.5</v>
      </c>
      <c r="G1608" s="17" t="s">
        <v>3113</v>
      </c>
    </row>
    <row r="1609">
      <c r="A1609" s="12">
        <v>201.0</v>
      </c>
      <c r="B1609" s="17" t="s">
        <v>3372</v>
      </c>
      <c r="C1609" s="17" t="s">
        <v>3373</v>
      </c>
      <c r="D1609" s="17" t="s">
        <v>3374</v>
      </c>
      <c r="E1609" s="16">
        <v>7.5</v>
      </c>
      <c r="F1609" s="7">
        <f t="shared" si="3"/>
        <v>92.5</v>
      </c>
      <c r="G1609" s="17" t="s">
        <v>3113</v>
      </c>
    </row>
    <row r="1610">
      <c r="A1610" s="12">
        <v>202.0</v>
      </c>
      <c r="B1610" s="17" t="s">
        <v>3375</v>
      </c>
      <c r="C1610" s="17" t="s">
        <v>3376</v>
      </c>
      <c r="D1610" s="17" t="s">
        <v>3377</v>
      </c>
      <c r="E1610" s="16">
        <v>7.5</v>
      </c>
      <c r="F1610" s="7">
        <f t="shared" si="3"/>
        <v>92.5</v>
      </c>
      <c r="G1610" s="17" t="s">
        <v>3113</v>
      </c>
    </row>
    <row r="1611">
      <c r="A1611" s="12">
        <v>203.0</v>
      </c>
      <c r="B1611" s="17" t="s">
        <v>3378</v>
      </c>
      <c r="C1611" s="17" t="s">
        <v>3379</v>
      </c>
      <c r="D1611" s="17" t="s">
        <v>3380</v>
      </c>
      <c r="E1611" s="16">
        <v>7.5</v>
      </c>
      <c r="F1611" s="7">
        <f t="shared" si="3"/>
        <v>92.5</v>
      </c>
      <c r="G1611" s="17" t="s">
        <v>3113</v>
      </c>
    </row>
    <row r="1612">
      <c r="A1612" s="12">
        <v>204.0</v>
      </c>
      <c r="B1612" s="17" t="s">
        <v>3381</v>
      </c>
      <c r="C1612" s="17" t="s">
        <v>3382</v>
      </c>
      <c r="D1612" s="17" t="s">
        <v>3383</v>
      </c>
      <c r="E1612" s="16">
        <v>7.5</v>
      </c>
      <c r="F1612" s="7">
        <f t="shared" si="3"/>
        <v>92.5</v>
      </c>
      <c r="G1612" s="17" t="s">
        <v>3113</v>
      </c>
    </row>
    <row r="1613">
      <c r="A1613" s="12">
        <v>205.0</v>
      </c>
      <c r="B1613" s="17" t="s">
        <v>3384</v>
      </c>
      <c r="C1613" s="17" t="s">
        <v>3385</v>
      </c>
      <c r="D1613" s="17" t="s">
        <v>3386</v>
      </c>
      <c r="E1613" s="16">
        <v>7.5</v>
      </c>
      <c r="F1613" s="7">
        <f t="shared" si="3"/>
        <v>92.5</v>
      </c>
      <c r="G1613" s="17" t="s">
        <v>3113</v>
      </c>
    </row>
    <row r="1614">
      <c r="A1614" s="12">
        <v>206.0</v>
      </c>
      <c r="B1614" s="17" t="s">
        <v>3387</v>
      </c>
      <c r="C1614" s="17" t="s">
        <v>3388</v>
      </c>
      <c r="D1614" s="17" t="s">
        <v>3389</v>
      </c>
      <c r="E1614" s="16">
        <v>7.5</v>
      </c>
      <c r="F1614" s="7">
        <f t="shared" si="3"/>
        <v>92.5</v>
      </c>
      <c r="G1614" s="17" t="s">
        <v>3113</v>
      </c>
    </row>
    <row r="1615">
      <c r="A1615" s="12">
        <v>207.0</v>
      </c>
      <c r="B1615" s="17" t="s">
        <v>3390</v>
      </c>
      <c r="C1615" s="17" t="s">
        <v>3391</v>
      </c>
      <c r="D1615" s="17" t="s">
        <v>3392</v>
      </c>
      <c r="E1615" s="16">
        <v>7.5</v>
      </c>
      <c r="F1615" s="7">
        <f t="shared" si="3"/>
        <v>92.5</v>
      </c>
      <c r="G1615" s="17" t="s">
        <v>3113</v>
      </c>
    </row>
    <row r="1616">
      <c r="A1616" s="12">
        <v>208.0</v>
      </c>
      <c r="B1616" s="17" t="s">
        <v>3393</v>
      </c>
      <c r="C1616" s="17" t="s">
        <v>3394</v>
      </c>
      <c r="D1616" s="17" t="s">
        <v>3395</v>
      </c>
      <c r="E1616" s="16">
        <v>7.5</v>
      </c>
      <c r="F1616" s="7">
        <f t="shared" si="3"/>
        <v>92.5</v>
      </c>
      <c r="G1616" s="17" t="s">
        <v>3113</v>
      </c>
    </row>
    <row r="1617">
      <c r="A1617" s="12">
        <v>209.0</v>
      </c>
      <c r="B1617" s="17" t="s">
        <v>3396</v>
      </c>
      <c r="C1617" s="17" t="s">
        <v>3397</v>
      </c>
      <c r="D1617" s="17" t="s">
        <v>3398</v>
      </c>
      <c r="E1617" s="16">
        <v>7.5</v>
      </c>
      <c r="F1617" s="7">
        <f t="shared" si="3"/>
        <v>92.5</v>
      </c>
      <c r="G1617" s="17" t="s">
        <v>3113</v>
      </c>
    </row>
    <row r="1618">
      <c r="A1618" s="12">
        <v>210.0</v>
      </c>
      <c r="B1618" s="17" t="s">
        <v>3399</v>
      </c>
      <c r="C1618" s="17" t="s">
        <v>3400</v>
      </c>
      <c r="D1618" s="17" t="s">
        <v>3401</v>
      </c>
      <c r="E1618" s="16">
        <v>7.5</v>
      </c>
      <c r="F1618" s="7">
        <f t="shared" si="3"/>
        <v>92.5</v>
      </c>
      <c r="G1618" s="17" t="s">
        <v>3113</v>
      </c>
    </row>
    <row r="1619">
      <c r="A1619" s="12">
        <v>211.0</v>
      </c>
      <c r="B1619" s="17" t="s">
        <v>3402</v>
      </c>
      <c r="C1619" s="17" t="s">
        <v>3403</v>
      </c>
      <c r="D1619" s="17" t="s">
        <v>3404</v>
      </c>
      <c r="E1619" s="16">
        <v>7.5</v>
      </c>
      <c r="F1619" s="7">
        <f t="shared" si="3"/>
        <v>92.5</v>
      </c>
      <c r="G1619" s="17" t="s">
        <v>3113</v>
      </c>
    </row>
    <row r="1620">
      <c r="A1620" s="12">
        <v>212.0</v>
      </c>
      <c r="B1620" s="17" t="s">
        <v>3405</v>
      </c>
      <c r="C1620" s="17" t="s">
        <v>3406</v>
      </c>
      <c r="D1620" s="17" t="s">
        <v>3407</v>
      </c>
      <c r="E1620" s="16">
        <v>7.5</v>
      </c>
      <c r="F1620" s="7">
        <f t="shared" si="3"/>
        <v>92.5</v>
      </c>
      <c r="G1620" s="17" t="s">
        <v>3113</v>
      </c>
    </row>
    <row r="1621">
      <c r="A1621" s="12">
        <v>213.0</v>
      </c>
      <c r="B1621" s="17" t="s">
        <v>3408</v>
      </c>
      <c r="C1621" s="17" t="s">
        <v>3409</v>
      </c>
      <c r="D1621" s="17" t="s">
        <v>3410</v>
      </c>
      <c r="E1621" s="16">
        <v>7.5</v>
      </c>
      <c r="F1621" s="7">
        <f t="shared" si="3"/>
        <v>92.5</v>
      </c>
      <c r="G1621" s="17" t="s">
        <v>3113</v>
      </c>
    </row>
    <row r="1622">
      <c r="A1622" s="12">
        <v>214.0</v>
      </c>
      <c r="B1622" s="17" t="s">
        <v>3408</v>
      </c>
      <c r="C1622" s="17" t="s">
        <v>3411</v>
      </c>
      <c r="D1622" s="17" t="s">
        <v>3412</v>
      </c>
      <c r="E1622" s="16">
        <v>7.5</v>
      </c>
      <c r="F1622" s="7">
        <f t="shared" si="3"/>
        <v>92.5</v>
      </c>
      <c r="G1622" s="17" t="s">
        <v>3113</v>
      </c>
    </row>
    <row r="1623">
      <c r="A1623" s="12">
        <v>215.0</v>
      </c>
      <c r="B1623" s="17" t="s">
        <v>3413</v>
      </c>
      <c r="C1623" s="17" t="s">
        <v>3414</v>
      </c>
      <c r="D1623" s="17" t="s">
        <v>3415</v>
      </c>
      <c r="E1623" s="16">
        <v>7.5</v>
      </c>
      <c r="F1623" s="7">
        <f t="shared" si="3"/>
        <v>92.5</v>
      </c>
      <c r="G1623" s="17" t="s">
        <v>3113</v>
      </c>
    </row>
    <row r="1624">
      <c r="A1624" s="12">
        <v>216.0</v>
      </c>
      <c r="B1624" s="17" t="s">
        <v>3416</v>
      </c>
      <c r="C1624" s="17" t="s">
        <v>3417</v>
      </c>
      <c r="D1624" s="17" t="s">
        <v>3418</v>
      </c>
      <c r="E1624" s="16">
        <v>7.5</v>
      </c>
      <c r="F1624" s="7">
        <f t="shared" si="3"/>
        <v>92.5</v>
      </c>
      <c r="G1624" s="17" t="s">
        <v>3113</v>
      </c>
    </row>
    <row r="1625">
      <c r="A1625" s="12">
        <v>217.0</v>
      </c>
      <c r="B1625" s="17" t="s">
        <v>3419</v>
      </c>
      <c r="C1625" s="17" t="s">
        <v>3420</v>
      </c>
      <c r="D1625" s="17" t="s">
        <v>3421</v>
      </c>
      <c r="E1625" s="16">
        <v>7.5</v>
      </c>
      <c r="F1625" s="7">
        <f t="shared" si="3"/>
        <v>92.5</v>
      </c>
      <c r="G1625" s="17" t="s">
        <v>3113</v>
      </c>
    </row>
    <row r="1626">
      <c r="A1626" s="12">
        <v>218.0</v>
      </c>
      <c r="B1626" s="17" t="s">
        <v>3422</v>
      </c>
      <c r="C1626" s="17" t="s">
        <v>3423</v>
      </c>
      <c r="D1626" s="17" t="s">
        <v>3424</v>
      </c>
      <c r="E1626" s="16">
        <v>7.5</v>
      </c>
      <c r="F1626" s="7">
        <f t="shared" si="3"/>
        <v>92.5</v>
      </c>
      <c r="G1626" s="17" t="s">
        <v>3113</v>
      </c>
    </row>
    <row r="1627">
      <c r="A1627" s="12">
        <v>219.0</v>
      </c>
      <c r="B1627" s="17" t="s">
        <v>3425</v>
      </c>
      <c r="C1627" s="17" t="s">
        <v>3426</v>
      </c>
      <c r="D1627" s="17" t="s">
        <v>3427</v>
      </c>
      <c r="E1627" s="16">
        <v>7.5</v>
      </c>
      <c r="F1627" s="7">
        <f t="shared" si="3"/>
        <v>92.5</v>
      </c>
      <c r="G1627" s="17" t="s">
        <v>3113</v>
      </c>
    </row>
    <row r="1628">
      <c r="A1628" s="12">
        <v>220.0</v>
      </c>
      <c r="B1628" s="17" t="s">
        <v>3428</v>
      </c>
      <c r="C1628" s="17" t="s">
        <v>3429</v>
      </c>
      <c r="D1628" s="17" t="s">
        <v>3430</v>
      </c>
      <c r="E1628" s="16">
        <v>7.5</v>
      </c>
      <c r="F1628" s="7">
        <f t="shared" si="3"/>
        <v>92.5</v>
      </c>
      <c r="G1628" s="17" t="s">
        <v>3113</v>
      </c>
    </row>
    <row r="1629">
      <c r="A1629" s="12">
        <v>221.0</v>
      </c>
      <c r="B1629" s="17" t="s">
        <v>3431</v>
      </c>
      <c r="C1629" s="17" t="s">
        <v>3432</v>
      </c>
      <c r="D1629" s="17" t="s">
        <v>3433</v>
      </c>
      <c r="E1629" s="16">
        <v>7.5</v>
      </c>
      <c r="F1629" s="7">
        <f t="shared" si="3"/>
        <v>92.5</v>
      </c>
      <c r="G1629" s="17" t="s">
        <v>3113</v>
      </c>
    </row>
    <row r="1630">
      <c r="A1630" s="12">
        <v>222.0</v>
      </c>
      <c r="B1630" s="17" t="s">
        <v>3434</v>
      </c>
      <c r="C1630" s="17" t="s">
        <v>3435</v>
      </c>
      <c r="D1630" s="17" t="s">
        <v>3436</v>
      </c>
      <c r="E1630" s="16">
        <v>7.5</v>
      </c>
      <c r="F1630" s="7">
        <f t="shared" si="3"/>
        <v>92.5</v>
      </c>
      <c r="G1630" s="17" t="s">
        <v>3113</v>
      </c>
    </row>
    <row r="1631">
      <c r="A1631" s="12">
        <v>223.0</v>
      </c>
      <c r="B1631" s="17" t="s">
        <v>3437</v>
      </c>
      <c r="C1631" s="17" t="s">
        <v>3438</v>
      </c>
      <c r="D1631" s="17" t="s">
        <v>3439</v>
      </c>
      <c r="E1631" s="16">
        <v>7.5</v>
      </c>
      <c r="F1631" s="7">
        <f t="shared" si="3"/>
        <v>92.5</v>
      </c>
      <c r="G1631" s="17" t="s">
        <v>3113</v>
      </c>
    </row>
    <row r="1632">
      <c r="A1632" s="12">
        <v>224.0</v>
      </c>
      <c r="B1632" s="17" t="s">
        <v>3440</v>
      </c>
      <c r="C1632" s="17" t="s">
        <v>3441</v>
      </c>
      <c r="D1632" s="17" t="s">
        <v>3442</v>
      </c>
      <c r="E1632" s="16">
        <v>7.5</v>
      </c>
      <c r="F1632" s="7">
        <f t="shared" si="3"/>
        <v>92.5</v>
      </c>
      <c r="G1632" s="17" t="s">
        <v>3113</v>
      </c>
    </row>
    <row r="1633">
      <c r="A1633" s="12">
        <v>225.0</v>
      </c>
      <c r="B1633" s="17" t="s">
        <v>3443</v>
      </c>
      <c r="C1633" s="17" t="s">
        <v>3444</v>
      </c>
      <c r="D1633" s="17" t="s">
        <v>3445</v>
      </c>
      <c r="E1633" s="16">
        <v>7.5</v>
      </c>
      <c r="F1633" s="7">
        <f t="shared" si="3"/>
        <v>92.5</v>
      </c>
      <c r="G1633" s="17" t="s">
        <v>3113</v>
      </c>
    </row>
    <row r="1634">
      <c r="A1634" s="12">
        <v>226.0</v>
      </c>
      <c r="B1634" s="17" t="s">
        <v>3446</v>
      </c>
      <c r="C1634" s="17" t="s">
        <v>3447</v>
      </c>
      <c r="D1634" s="17" t="s">
        <v>3448</v>
      </c>
      <c r="E1634" s="16">
        <v>7.5</v>
      </c>
      <c r="F1634" s="7">
        <f t="shared" si="3"/>
        <v>92.5</v>
      </c>
      <c r="G1634" s="17" t="s">
        <v>3113</v>
      </c>
    </row>
    <row r="1635">
      <c r="A1635" s="12">
        <v>227.0</v>
      </c>
      <c r="B1635" s="17" t="s">
        <v>3449</v>
      </c>
      <c r="C1635" s="17" t="s">
        <v>3450</v>
      </c>
      <c r="D1635" s="17" t="s">
        <v>3451</v>
      </c>
      <c r="E1635" s="16">
        <v>7.5</v>
      </c>
      <c r="F1635" s="7">
        <f t="shared" si="3"/>
        <v>92.5</v>
      </c>
      <c r="G1635" s="17" t="s">
        <v>3113</v>
      </c>
    </row>
    <row r="1636">
      <c r="A1636" s="12">
        <v>228.0</v>
      </c>
      <c r="B1636" s="17" t="s">
        <v>3452</v>
      </c>
      <c r="C1636" s="17" t="s">
        <v>3453</v>
      </c>
      <c r="D1636" s="17" t="s">
        <v>3454</v>
      </c>
      <c r="E1636" s="16">
        <v>7.5</v>
      </c>
      <c r="F1636" s="7">
        <f t="shared" si="3"/>
        <v>92.5</v>
      </c>
      <c r="G1636" s="17" t="s">
        <v>3113</v>
      </c>
    </row>
    <row r="1637">
      <c r="A1637" s="12">
        <v>229.0</v>
      </c>
      <c r="B1637" s="17" t="s">
        <v>3455</v>
      </c>
      <c r="C1637" s="17" t="s">
        <v>3456</v>
      </c>
      <c r="D1637" s="17" t="s">
        <v>3457</v>
      </c>
      <c r="E1637" s="16">
        <v>7.5</v>
      </c>
      <c r="F1637" s="7">
        <f t="shared" si="3"/>
        <v>92.5</v>
      </c>
      <c r="G1637" s="17" t="s">
        <v>3113</v>
      </c>
    </row>
    <row r="1638">
      <c r="A1638" s="12">
        <v>230.0</v>
      </c>
      <c r="B1638" s="17" t="s">
        <v>3458</v>
      </c>
      <c r="C1638" s="17" t="s">
        <v>3459</v>
      </c>
      <c r="D1638" s="17" t="s">
        <v>3460</v>
      </c>
      <c r="E1638" s="16">
        <v>7.5</v>
      </c>
      <c r="F1638" s="7">
        <f t="shared" si="3"/>
        <v>92.5</v>
      </c>
      <c r="G1638" s="17" t="s">
        <v>3113</v>
      </c>
    </row>
    <row r="1639">
      <c r="A1639" s="12">
        <v>231.0</v>
      </c>
      <c r="B1639" s="17" t="s">
        <v>3461</v>
      </c>
      <c r="C1639" s="17" t="s">
        <v>3462</v>
      </c>
      <c r="D1639" s="17" t="s">
        <v>3463</v>
      </c>
      <c r="E1639" s="16">
        <v>7.5</v>
      </c>
      <c r="F1639" s="7">
        <f t="shared" si="3"/>
        <v>92.5</v>
      </c>
      <c r="G1639" s="17" t="s">
        <v>3113</v>
      </c>
    </row>
    <row r="1640">
      <c r="A1640" s="12">
        <v>232.0</v>
      </c>
      <c r="B1640" s="17" t="s">
        <v>3464</v>
      </c>
      <c r="C1640" s="17" t="s">
        <v>3465</v>
      </c>
      <c r="D1640" s="17" t="s">
        <v>3466</v>
      </c>
      <c r="E1640" s="16">
        <v>7.5</v>
      </c>
      <c r="F1640" s="7">
        <f t="shared" si="3"/>
        <v>92.5</v>
      </c>
      <c r="G1640" s="17" t="s">
        <v>3113</v>
      </c>
    </row>
    <row r="1641">
      <c r="A1641" s="12">
        <v>233.0</v>
      </c>
      <c r="B1641" s="17" t="s">
        <v>3467</v>
      </c>
      <c r="C1641" s="17" t="s">
        <v>3468</v>
      </c>
      <c r="D1641" s="17" t="s">
        <v>3469</v>
      </c>
      <c r="E1641" s="16">
        <v>7.5</v>
      </c>
      <c r="F1641" s="7">
        <f t="shared" si="3"/>
        <v>92.5</v>
      </c>
      <c r="G1641" s="17" t="s">
        <v>3113</v>
      </c>
    </row>
    <row r="1642">
      <c r="A1642" s="12">
        <v>234.0</v>
      </c>
      <c r="B1642" s="17" t="s">
        <v>3470</v>
      </c>
      <c r="C1642" s="17" t="s">
        <v>3471</v>
      </c>
      <c r="D1642" s="17" t="s">
        <v>3472</v>
      </c>
      <c r="E1642" s="16">
        <v>7.5</v>
      </c>
      <c r="F1642" s="7">
        <f t="shared" si="3"/>
        <v>92.5</v>
      </c>
      <c r="G1642" s="17" t="s">
        <v>3113</v>
      </c>
    </row>
    <row r="1643">
      <c r="A1643" s="12">
        <v>235.0</v>
      </c>
      <c r="B1643" s="17" t="s">
        <v>3473</v>
      </c>
      <c r="C1643" s="17" t="s">
        <v>3474</v>
      </c>
      <c r="D1643" s="17" t="s">
        <v>3475</v>
      </c>
      <c r="E1643" s="16">
        <v>7.5</v>
      </c>
      <c r="F1643" s="7">
        <f t="shared" si="3"/>
        <v>92.5</v>
      </c>
      <c r="G1643" s="17" t="s">
        <v>3113</v>
      </c>
    </row>
    <row r="1644">
      <c r="A1644" s="12">
        <v>236.0</v>
      </c>
      <c r="B1644" s="17" t="s">
        <v>3473</v>
      </c>
      <c r="C1644" s="17" t="s">
        <v>3476</v>
      </c>
      <c r="D1644" s="17" t="s">
        <v>3477</v>
      </c>
      <c r="E1644" s="16">
        <v>7.5</v>
      </c>
      <c r="F1644" s="7">
        <f t="shared" si="3"/>
        <v>92.5</v>
      </c>
      <c r="G1644" s="17" t="s">
        <v>3113</v>
      </c>
    </row>
    <row r="1645">
      <c r="A1645" s="12">
        <v>237.0</v>
      </c>
      <c r="B1645" s="17" t="s">
        <v>3478</v>
      </c>
      <c r="C1645" s="17" t="s">
        <v>3479</v>
      </c>
      <c r="D1645" s="17" t="s">
        <v>3480</v>
      </c>
      <c r="E1645" s="16">
        <v>7.5</v>
      </c>
      <c r="F1645" s="7">
        <f t="shared" si="3"/>
        <v>92.5</v>
      </c>
      <c r="G1645" s="17" t="s">
        <v>3113</v>
      </c>
    </row>
    <row r="1646">
      <c r="A1646" s="12">
        <v>238.0</v>
      </c>
      <c r="B1646" s="17" t="s">
        <v>3481</v>
      </c>
      <c r="C1646" s="17" t="s">
        <v>3482</v>
      </c>
      <c r="D1646" s="17" t="s">
        <v>3483</v>
      </c>
      <c r="E1646" s="16">
        <v>7.5</v>
      </c>
      <c r="F1646" s="7">
        <f t="shared" si="3"/>
        <v>92.5</v>
      </c>
      <c r="G1646" s="17" t="s">
        <v>3113</v>
      </c>
    </row>
    <row r="1647">
      <c r="A1647" s="12">
        <v>239.0</v>
      </c>
      <c r="B1647" s="17" t="s">
        <v>3484</v>
      </c>
      <c r="C1647" s="17" t="s">
        <v>3485</v>
      </c>
      <c r="D1647" s="17" t="s">
        <v>3486</v>
      </c>
      <c r="E1647" s="16">
        <v>7.5</v>
      </c>
      <c r="F1647" s="7">
        <f t="shared" si="3"/>
        <v>92.5</v>
      </c>
      <c r="G1647" s="17" t="s">
        <v>3113</v>
      </c>
    </row>
    <row r="1648">
      <c r="A1648" s="12">
        <v>240.0</v>
      </c>
      <c r="B1648" s="17" t="s">
        <v>3487</v>
      </c>
      <c r="C1648" s="17" t="s">
        <v>3488</v>
      </c>
      <c r="D1648" s="17" t="s">
        <v>3489</v>
      </c>
      <c r="E1648" s="16">
        <v>7.5</v>
      </c>
      <c r="F1648" s="7">
        <f t="shared" si="3"/>
        <v>92.5</v>
      </c>
      <c r="G1648" s="17" t="s">
        <v>3113</v>
      </c>
    </row>
    <row r="1649">
      <c r="A1649" s="12">
        <v>241.0</v>
      </c>
      <c r="B1649" s="17" t="s">
        <v>3487</v>
      </c>
      <c r="C1649" s="17" t="s">
        <v>3490</v>
      </c>
      <c r="D1649" s="17" t="s">
        <v>3491</v>
      </c>
      <c r="E1649" s="16">
        <v>7.5</v>
      </c>
      <c r="F1649" s="7">
        <f t="shared" si="3"/>
        <v>92.5</v>
      </c>
      <c r="G1649" s="17" t="s">
        <v>3113</v>
      </c>
    </row>
    <row r="1650">
      <c r="A1650" s="12">
        <v>242.0</v>
      </c>
      <c r="B1650" s="17" t="s">
        <v>3492</v>
      </c>
      <c r="C1650" s="17" t="s">
        <v>3493</v>
      </c>
      <c r="D1650" s="17" t="s">
        <v>3494</v>
      </c>
      <c r="E1650" s="16">
        <v>7.5</v>
      </c>
      <c r="F1650" s="7">
        <f t="shared" si="3"/>
        <v>92.5</v>
      </c>
      <c r="G1650" s="17" t="s">
        <v>3113</v>
      </c>
    </row>
    <row r="1651">
      <c r="A1651" s="12">
        <v>243.0</v>
      </c>
      <c r="B1651" s="17" t="s">
        <v>3495</v>
      </c>
      <c r="C1651" s="17" t="s">
        <v>3496</v>
      </c>
      <c r="D1651" s="17" t="s">
        <v>3497</v>
      </c>
      <c r="E1651" s="16">
        <v>7.5</v>
      </c>
      <c r="F1651" s="7">
        <f t="shared" si="3"/>
        <v>92.5</v>
      </c>
      <c r="G1651" s="17" t="s">
        <v>3113</v>
      </c>
    </row>
    <row r="1652">
      <c r="A1652" s="12">
        <v>244.0</v>
      </c>
      <c r="B1652" s="17" t="s">
        <v>3498</v>
      </c>
      <c r="C1652" s="17" t="s">
        <v>3499</v>
      </c>
      <c r="D1652" s="17" t="s">
        <v>3500</v>
      </c>
      <c r="E1652" s="16">
        <v>7.5</v>
      </c>
      <c r="F1652" s="7">
        <f t="shared" si="3"/>
        <v>92.5</v>
      </c>
      <c r="G1652" s="17" t="s">
        <v>3113</v>
      </c>
    </row>
    <row r="1653">
      <c r="A1653" s="12">
        <v>245.0</v>
      </c>
      <c r="B1653" s="17" t="s">
        <v>3501</v>
      </c>
      <c r="C1653" s="17" t="s">
        <v>3502</v>
      </c>
      <c r="D1653" s="17" t="s">
        <v>3503</v>
      </c>
      <c r="E1653" s="16">
        <v>7.5</v>
      </c>
      <c r="F1653" s="7">
        <f t="shared" si="3"/>
        <v>92.5</v>
      </c>
      <c r="G1653" s="17" t="s">
        <v>3113</v>
      </c>
    </row>
    <row r="1654">
      <c r="A1654" s="12">
        <v>246.0</v>
      </c>
      <c r="B1654" s="17" t="s">
        <v>3504</v>
      </c>
      <c r="C1654" s="17" t="s">
        <v>3505</v>
      </c>
      <c r="D1654" s="17" t="s">
        <v>3506</v>
      </c>
      <c r="E1654" s="16">
        <v>7.5</v>
      </c>
      <c r="F1654" s="7">
        <f t="shared" si="3"/>
        <v>92.5</v>
      </c>
      <c r="G1654" s="17" t="s">
        <v>3113</v>
      </c>
    </row>
    <row r="1655">
      <c r="A1655" s="12">
        <v>247.0</v>
      </c>
      <c r="B1655" s="17" t="s">
        <v>3507</v>
      </c>
      <c r="C1655" s="17" t="s">
        <v>3508</v>
      </c>
      <c r="D1655" s="17" t="s">
        <v>3509</v>
      </c>
      <c r="E1655" s="16">
        <v>7.5</v>
      </c>
      <c r="F1655" s="7">
        <f t="shared" si="3"/>
        <v>92.5</v>
      </c>
      <c r="G1655" s="17" t="s">
        <v>3113</v>
      </c>
    </row>
    <row r="1656">
      <c r="A1656" s="12">
        <v>248.0</v>
      </c>
      <c r="B1656" s="17" t="s">
        <v>3510</v>
      </c>
      <c r="C1656" s="17" t="s">
        <v>3511</v>
      </c>
      <c r="D1656" s="17" t="s">
        <v>3512</v>
      </c>
      <c r="E1656" s="16">
        <v>7.5</v>
      </c>
      <c r="F1656" s="7">
        <f t="shared" si="3"/>
        <v>92.5</v>
      </c>
      <c r="G1656" s="17" t="s">
        <v>3113</v>
      </c>
    </row>
    <row r="1657">
      <c r="A1657" s="12">
        <v>249.0</v>
      </c>
      <c r="B1657" s="17" t="s">
        <v>3513</v>
      </c>
      <c r="C1657" s="17" t="s">
        <v>3514</v>
      </c>
      <c r="D1657" s="17" t="s">
        <v>3515</v>
      </c>
      <c r="E1657" s="16">
        <v>7.5</v>
      </c>
      <c r="F1657" s="7">
        <f t="shared" si="3"/>
        <v>92.5</v>
      </c>
      <c r="G1657" s="17" t="s">
        <v>3113</v>
      </c>
    </row>
    <row r="1658">
      <c r="A1658" s="12">
        <v>250.0</v>
      </c>
      <c r="B1658" s="17" t="s">
        <v>3516</v>
      </c>
      <c r="C1658" s="17" t="s">
        <v>3517</v>
      </c>
      <c r="D1658" s="17" t="s">
        <v>3518</v>
      </c>
      <c r="E1658" s="16">
        <v>7.5</v>
      </c>
      <c r="F1658" s="7">
        <f t="shared" si="3"/>
        <v>92.5</v>
      </c>
      <c r="G1658" s="17" t="s">
        <v>3113</v>
      </c>
    </row>
    <row r="1659">
      <c r="A1659" s="12">
        <v>251.0</v>
      </c>
      <c r="B1659" s="17" t="s">
        <v>3519</v>
      </c>
      <c r="C1659" s="17" t="s">
        <v>3520</v>
      </c>
      <c r="D1659" s="17" t="s">
        <v>3521</v>
      </c>
      <c r="E1659" s="16">
        <v>7.5</v>
      </c>
      <c r="F1659" s="7">
        <f t="shared" si="3"/>
        <v>92.5</v>
      </c>
      <c r="G1659" s="17" t="s">
        <v>3113</v>
      </c>
    </row>
    <row r="1660">
      <c r="A1660" s="12">
        <v>252.0</v>
      </c>
      <c r="B1660" s="17" t="s">
        <v>3522</v>
      </c>
      <c r="C1660" s="17" t="s">
        <v>3523</v>
      </c>
      <c r="D1660" s="17" t="s">
        <v>3524</v>
      </c>
      <c r="E1660" s="16">
        <v>7.5</v>
      </c>
      <c r="F1660" s="7">
        <f t="shared" si="3"/>
        <v>92.5</v>
      </c>
      <c r="G1660" s="17" t="s">
        <v>3113</v>
      </c>
    </row>
    <row r="1661">
      <c r="A1661" s="12">
        <v>253.0</v>
      </c>
      <c r="B1661" s="17" t="s">
        <v>3525</v>
      </c>
      <c r="C1661" s="17" t="s">
        <v>3526</v>
      </c>
      <c r="D1661" s="17" t="s">
        <v>3527</v>
      </c>
      <c r="E1661" s="16">
        <v>7.5</v>
      </c>
      <c r="F1661" s="7">
        <f t="shared" si="3"/>
        <v>92.5</v>
      </c>
      <c r="G1661" s="17" t="s">
        <v>3113</v>
      </c>
    </row>
    <row r="1662">
      <c r="A1662" s="12">
        <v>254.0</v>
      </c>
      <c r="B1662" s="17" t="s">
        <v>3528</v>
      </c>
      <c r="C1662" s="17" t="s">
        <v>3529</v>
      </c>
      <c r="D1662" s="17" t="s">
        <v>3530</v>
      </c>
      <c r="E1662" s="16">
        <v>7.5</v>
      </c>
      <c r="F1662" s="7">
        <f t="shared" si="3"/>
        <v>92.5</v>
      </c>
      <c r="G1662" s="17" t="s">
        <v>3113</v>
      </c>
    </row>
    <row r="1663">
      <c r="A1663" s="12">
        <v>255.0</v>
      </c>
      <c r="B1663" s="17" t="s">
        <v>3531</v>
      </c>
      <c r="C1663" s="17" t="s">
        <v>3532</v>
      </c>
      <c r="D1663" s="17" t="s">
        <v>3533</v>
      </c>
      <c r="E1663" s="16">
        <v>7.5</v>
      </c>
      <c r="F1663" s="7">
        <f t="shared" si="3"/>
        <v>92.5</v>
      </c>
      <c r="G1663" s="17" t="s">
        <v>3113</v>
      </c>
    </row>
    <row r="1664">
      <c r="A1664" s="12">
        <v>256.0</v>
      </c>
      <c r="B1664" s="17" t="s">
        <v>3534</v>
      </c>
      <c r="C1664" s="17" t="s">
        <v>3535</v>
      </c>
      <c r="D1664" s="17" t="s">
        <v>3536</v>
      </c>
      <c r="E1664" s="16">
        <v>7.5</v>
      </c>
      <c r="F1664" s="7">
        <f t="shared" si="3"/>
        <v>92.5</v>
      </c>
      <c r="G1664" s="17" t="s">
        <v>3113</v>
      </c>
    </row>
    <row r="1665">
      <c r="A1665" s="12">
        <v>257.0</v>
      </c>
      <c r="B1665" s="17" t="s">
        <v>3537</v>
      </c>
      <c r="C1665" s="17" t="s">
        <v>3538</v>
      </c>
      <c r="D1665" s="17" t="s">
        <v>3539</v>
      </c>
      <c r="E1665" s="16">
        <v>7.5</v>
      </c>
      <c r="F1665" s="7">
        <f t="shared" si="3"/>
        <v>92.5</v>
      </c>
      <c r="G1665" s="17" t="s">
        <v>3113</v>
      </c>
    </row>
    <row r="1666">
      <c r="A1666" s="12">
        <v>258.0</v>
      </c>
      <c r="B1666" s="17" t="s">
        <v>3540</v>
      </c>
      <c r="C1666" s="17" t="s">
        <v>3541</v>
      </c>
      <c r="D1666" s="17" t="s">
        <v>3542</v>
      </c>
      <c r="E1666" s="16">
        <v>7.5</v>
      </c>
      <c r="F1666" s="7">
        <f t="shared" si="3"/>
        <v>92.5</v>
      </c>
      <c r="G1666" s="17" t="s">
        <v>3113</v>
      </c>
    </row>
    <row r="1667">
      <c r="A1667" s="12">
        <v>259.0</v>
      </c>
      <c r="B1667" s="17" t="s">
        <v>3543</v>
      </c>
      <c r="C1667" s="17" t="s">
        <v>3544</v>
      </c>
      <c r="D1667" s="17" t="s">
        <v>3545</v>
      </c>
      <c r="E1667" s="16">
        <v>7.5</v>
      </c>
      <c r="F1667" s="7">
        <f t="shared" si="3"/>
        <v>92.5</v>
      </c>
      <c r="G1667" s="17" t="s">
        <v>3113</v>
      </c>
    </row>
    <row r="1668">
      <c r="A1668" s="12">
        <v>260.0</v>
      </c>
      <c r="B1668" s="17" t="s">
        <v>3546</v>
      </c>
      <c r="C1668" s="17" t="s">
        <v>3547</v>
      </c>
      <c r="D1668" s="17" t="s">
        <v>3548</v>
      </c>
      <c r="E1668" s="16">
        <v>7.5</v>
      </c>
      <c r="F1668" s="7">
        <f t="shared" si="3"/>
        <v>92.5</v>
      </c>
      <c r="G1668" s="17" t="s">
        <v>3113</v>
      </c>
    </row>
    <row r="1669">
      <c r="A1669" s="12">
        <v>261.0</v>
      </c>
      <c r="B1669" s="17" t="s">
        <v>3549</v>
      </c>
      <c r="C1669" s="17" t="s">
        <v>3550</v>
      </c>
      <c r="D1669" s="17" t="s">
        <v>3551</v>
      </c>
      <c r="E1669" s="16">
        <v>7.5</v>
      </c>
      <c r="F1669" s="7">
        <f t="shared" si="3"/>
        <v>92.5</v>
      </c>
      <c r="G1669" s="17" t="s">
        <v>3113</v>
      </c>
    </row>
    <row r="1670">
      <c r="A1670" s="12">
        <v>262.0</v>
      </c>
      <c r="B1670" s="17" t="s">
        <v>3552</v>
      </c>
      <c r="C1670" s="17" t="s">
        <v>3553</v>
      </c>
      <c r="D1670" s="17" t="s">
        <v>3554</v>
      </c>
      <c r="E1670" s="16">
        <v>7.5</v>
      </c>
      <c r="F1670" s="7">
        <f t="shared" si="3"/>
        <v>92.5</v>
      </c>
      <c r="G1670" s="17" t="s">
        <v>3113</v>
      </c>
    </row>
    <row r="1671">
      <c r="A1671" s="12">
        <v>263.0</v>
      </c>
      <c r="B1671" s="17" t="s">
        <v>3555</v>
      </c>
      <c r="C1671" s="17" t="s">
        <v>3556</v>
      </c>
      <c r="D1671" s="17" t="s">
        <v>3557</v>
      </c>
      <c r="E1671" s="16">
        <v>7.5</v>
      </c>
      <c r="F1671" s="7">
        <f t="shared" si="3"/>
        <v>92.5</v>
      </c>
      <c r="G1671" s="17" t="s">
        <v>3113</v>
      </c>
    </row>
    <row r="1672">
      <c r="A1672" s="12">
        <v>264.0</v>
      </c>
      <c r="B1672" s="17" t="s">
        <v>3558</v>
      </c>
      <c r="C1672" s="17" t="s">
        <v>3559</v>
      </c>
      <c r="D1672" s="17" t="s">
        <v>3560</v>
      </c>
      <c r="E1672" s="16">
        <v>7.5</v>
      </c>
      <c r="F1672" s="7">
        <f t="shared" si="3"/>
        <v>92.5</v>
      </c>
      <c r="G1672" s="17" t="s">
        <v>3113</v>
      </c>
    </row>
    <row r="1673">
      <c r="A1673" s="12">
        <v>265.0</v>
      </c>
      <c r="B1673" s="17" t="s">
        <v>3561</v>
      </c>
      <c r="C1673" s="17" t="s">
        <v>3562</v>
      </c>
      <c r="D1673" s="17" t="s">
        <v>3563</v>
      </c>
      <c r="E1673" s="16">
        <v>7.5</v>
      </c>
      <c r="F1673" s="7">
        <f t="shared" si="3"/>
        <v>92.5</v>
      </c>
      <c r="G1673" s="17" t="s">
        <v>3113</v>
      </c>
    </row>
    <row r="1674">
      <c r="A1674" s="12">
        <v>266.0</v>
      </c>
      <c r="B1674" s="17" t="s">
        <v>3564</v>
      </c>
      <c r="C1674" s="17" t="s">
        <v>3565</v>
      </c>
      <c r="D1674" s="17" t="s">
        <v>3566</v>
      </c>
      <c r="E1674" s="16">
        <v>7.5</v>
      </c>
      <c r="F1674" s="7">
        <f t="shared" si="3"/>
        <v>92.5</v>
      </c>
      <c r="G1674" s="17" t="s">
        <v>3113</v>
      </c>
    </row>
    <row r="1675">
      <c r="A1675" s="12">
        <v>267.0</v>
      </c>
      <c r="B1675" s="17" t="s">
        <v>3567</v>
      </c>
      <c r="C1675" s="17" t="s">
        <v>3568</v>
      </c>
      <c r="D1675" s="17" t="s">
        <v>3569</v>
      </c>
      <c r="E1675" s="16">
        <v>7.5</v>
      </c>
      <c r="F1675" s="7">
        <f t="shared" si="3"/>
        <v>92.5</v>
      </c>
      <c r="G1675" s="17" t="s">
        <v>3113</v>
      </c>
    </row>
    <row r="1676">
      <c r="A1676" s="12">
        <v>268.0</v>
      </c>
      <c r="B1676" s="17" t="s">
        <v>3570</v>
      </c>
      <c r="C1676" s="17" t="s">
        <v>3571</v>
      </c>
      <c r="D1676" s="17" t="s">
        <v>3572</v>
      </c>
      <c r="E1676" s="16">
        <v>7.5</v>
      </c>
      <c r="F1676" s="7">
        <f t="shared" si="3"/>
        <v>92.5</v>
      </c>
      <c r="G1676" s="17" t="s">
        <v>3113</v>
      </c>
    </row>
    <row r="1677">
      <c r="A1677" s="12">
        <v>269.0</v>
      </c>
      <c r="B1677" s="17" t="s">
        <v>3573</v>
      </c>
      <c r="C1677" s="17" t="s">
        <v>3574</v>
      </c>
      <c r="D1677" s="17" t="s">
        <v>3575</v>
      </c>
      <c r="E1677" s="16">
        <v>7.5</v>
      </c>
      <c r="F1677" s="7">
        <f t="shared" si="3"/>
        <v>92.5</v>
      </c>
      <c r="G1677" s="17" t="s">
        <v>3113</v>
      </c>
    </row>
    <row r="1678">
      <c r="A1678" s="12">
        <v>270.0</v>
      </c>
      <c r="B1678" s="17" t="s">
        <v>3576</v>
      </c>
      <c r="C1678" s="17" t="s">
        <v>3577</v>
      </c>
      <c r="D1678" s="17" t="s">
        <v>3578</v>
      </c>
      <c r="E1678" s="16">
        <v>7.5</v>
      </c>
      <c r="F1678" s="7">
        <f t="shared" si="3"/>
        <v>92.5</v>
      </c>
      <c r="G1678" s="17" t="s">
        <v>3113</v>
      </c>
    </row>
    <row r="1679">
      <c r="A1679" s="12">
        <v>271.0</v>
      </c>
      <c r="B1679" s="17" t="s">
        <v>3579</v>
      </c>
      <c r="C1679" s="17" t="s">
        <v>3580</v>
      </c>
      <c r="D1679" s="17" t="s">
        <v>3581</v>
      </c>
      <c r="E1679" s="16">
        <v>7.5</v>
      </c>
      <c r="F1679" s="7">
        <f t="shared" si="3"/>
        <v>92.5</v>
      </c>
      <c r="G1679" s="17" t="s">
        <v>3113</v>
      </c>
    </row>
    <row r="1680">
      <c r="A1680" s="12">
        <v>272.0</v>
      </c>
      <c r="B1680" s="17" t="s">
        <v>3582</v>
      </c>
      <c r="C1680" s="17" t="s">
        <v>3583</v>
      </c>
      <c r="D1680" s="17" t="s">
        <v>3584</v>
      </c>
      <c r="E1680" s="16">
        <v>7.5</v>
      </c>
      <c r="F1680" s="7">
        <f t="shared" si="3"/>
        <v>92.5</v>
      </c>
      <c r="G1680" s="17" t="s">
        <v>3113</v>
      </c>
    </row>
    <row r="1681">
      <c r="A1681" s="12">
        <v>273.0</v>
      </c>
      <c r="B1681" s="17" t="s">
        <v>3585</v>
      </c>
      <c r="C1681" s="17" t="s">
        <v>3586</v>
      </c>
      <c r="D1681" s="17" t="s">
        <v>3587</v>
      </c>
      <c r="E1681" s="16">
        <v>7.5</v>
      </c>
      <c r="F1681" s="7">
        <f t="shared" si="3"/>
        <v>92.5</v>
      </c>
      <c r="G1681" s="17" t="s">
        <v>3113</v>
      </c>
    </row>
    <row r="1682">
      <c r="A1682" s="12">
        <v>274.0</v>
      </c>
      <c r="B1682" s="17" t="s">
        <v>3588</v>
      </c>
      <c r="C1682" s="17" t="s">
        <v>3589</v>
      </c>
      <c r="D1682" s="17" t="s">
        <v>3590</v>
      </c>
      <c r="E1682" s="16">
        <v>7.5</v>
      </c>
      <c r="F1682" s="7">
        <f t="shared" si="3"/>
        <v>92.5</v>
      </c>
      <c r="G1682" s="17" t="s">
        <v>3113</v>
      </c>
    </row>
    <row r="1683">
      <c r="A1683" s="12">
        <v>275.0</v>
      </c>
      <c r="B1683" s="17" t="s">
        <v>3591</v>
      </c>
      <c r="C1683" s="17" t="s">
        <v>3592</v>
      </c>
      <c r="D1683" s="17" t="s">
        <v>3593</v>
      </c>
      <c r="E1683" s="16">
        <v>7.5</v>
      </c>
      <c r="F1683" s="7">
        <f t="shared" si="3"/>
        <v>92.5</v>
      </c>
      <c r="G1683" s="17" t="s">
        <v>3113</v>
      </c>
    </row>
    <row r="1684">
      <c r="A1684" s="12">
        <v>276.0</v>
      </c>
      <c r="B1684" s="17" t="s">
        <v>3594</v>
      </c>
      <c r="C1684" s="17" t="s">
        <v>3595</v>
      </c>
      <c r="D1684" s="17" t="s">
        <v>3596</v>
      </c>
      <c r="E1684" s="16">
        <v>7.5</v>
      </c>
      <c r="F1684" s="7">
        <f t="shared" si="3"/>
        <v>92.5</v>
      </c>
      <c r="G1684" s="17" t="s">
        <v>3113</v>
      </c>
    </row>
    <row r="1685">
      <c r="A1685" s="12">
        <v>277.0</v>
      </c>
      <c r="B1685" s="17" t="s">
        <v>3597</v>
      </c>
      <c r="C1685" s="17" t="s">
        <v>3598</v>
      </c>
      <c r="D1685" s="17" t="s">
        <v>3599</v>
      </c>
      <c r="E1685" s="16">
        <v>7.5</v>
      </c>
      <c r="F1685" s="7">
        <f t="shared" si="3"/>
        <v>92.5</v>
      </c>
      <c r="G1685" s="17" t="s">
        <v>3113</v>
      </c>
    </row>
    <row r="1686">
      <c r="A1686" s="12">
        <v>278.0</v>
      </c>
      <c r="B1686" s="17" t="s">
        <v>3600</v>
      </c>
      <c r="C1686" s="17" t="s">
        <v>3601</v>
      </c>
      <c r="D1686" s="17" t="s">
        <v>3602</v>
      </c>
      <c r="E1686" s="16">
        <v>7.5</v>
      </c>
      <c r="F1686" s="7">
        <f t="shared" si="3"/>
        <v>92.5</v>
      </c>
      <c r="G1686" s="17" t="s">
        <v>3113</v>
      </c>
    </row>
    <row r="1687">
      <c r="A1687" s="12">
        <v>279.0</v>
      </c>
      <c r="B1687" s="17" t="s">
        <v>3603</v>
      </c>
      <c r="C1687" s="17" t="s">
        <v>3604</v>
      </c>
      <c r="D1687" s="17" t="s">
        <v>3605</v>
      </c>
      <c r="E1687" s="16">
        <v>7.5</v>
      </c>
      <c r="F1687" s="7">
        <f t="shared" si="3"/>
        <v>92.5</v>
      </c>
      <c r="G1687" s="17" t="s">
        <v>3113</v>
      </c>
    </row>
    <row r="1688">
      <c r="A1688" s="12">
        <v>280.0</v>
      </c>
      <c r="B1688" s="17" t="s">
        <v>3606</v>
      </c>
      <c r="C1688" s="17" t="s">
        <v>3607</v>
      </c>
      <c r="D1688" s="17" t="s">
        <v>3608</v>
      </c>
      <c r="E1688" s="16">
        <v>7.5</v>
      </c>
      <c r="F1688" s="7">
        <f t="shared" si="3"/>
        <v>92.5</v>
      </c>
      <c r="G1688" s="17" t="s">
        <v>3113</v>
      </c>
    </row>
    <row r="1689">
      <c r="A1689" s="12">
        <v>281.0</v>
      </c>
      <c r="B1689" s="17" t="s">
        <v>3609</v>
      </c>
      <c r="C1689" s="17" t="s">
        <v>3610</v>
      </c>
      <c r="D1689" s="17" t="s">
        <v>3611</v>
      </c>
      <c r="E1689" s="16">
        <v>7.5</v>
      </c>
      <c r="F1689" s="7">
        <f t="shared" si="3"/>
        <v>92.5</v>
      </c>
      <c r="G1689" s="17" t="s">
        <v>3113</v>
      </c>
    </row>
    <row r="1690">
      <c r="A1690" s="12">
        <v>282.0</v>
      </c>
      <c r="B1690" s="17" t="s">
        <v>3612</v>
      </c>
      <c r="C1690" s="17" t="s">
        <v>3613</v>
      </c>
      <c r="D1690" s="17" t="s">
        <v>3614</v>
      </c>
      <c r="E1690" s="16">
        <v>7.5</v>
      </c>
      <c r="F1690" s="7">
        <f t="shared" si="3"/>
        <v>92.5</v>
      </c>
      <c r="G1690" s="17" t="s">
        <v>3113</v>
      </c>
    </row>
    <row r="1691">
      <c r="A1691" s="12">
        <v>283.0</v>
      </c>
      <c r="B1691" s="17" t="s">
        <v>3615</v>
      </c>
      <c r="C1691" s="17" t="s">
        <v>3616</v>
      </c>
      <c r="D1691" s="17" t="s">
        <v>3617</v>
      </c>
      <c r="E1691" s="16">
        <v>7.5</v>
      </c>
      <c r="F1691" s="7">
        <f t="shared" si="3"/>
        <v>92.5</v>
      </c>
      <c r="G1691" s="17" t="s">
        <v>3113</v>
      </c>
    </row>
    <row r="1692">
      <c r="A1692" s="12">
        <v>284.0</v>
      </c>
      <c r="B1692" s="17" t="s">
        <v>3618</v>
      </c>
      <c r="C1692" s="17" t="s">
        <v>3619</v>
      </c>
      <c r="D1692" s="17" t="s">
        <v>3620</v>
      </c>
      <c r="E1692" s="16">
        <v>7.5</v>
      </c>
      <c r="F1692" s="7">
        <f t="shared" si="3"/>
        <v>92.5</v>
      </c>
      <c r="G1692" s="17" t="s">
        <v>3113</v>
      </c>
    </row>
    <row r="1693">
      <c r="A1693" s="12">
        <v>285.0</v>
      </c>
      <c r="B1693" s="17" t="s">
        <v>3621</v>
      </c>
      <c r="C1693" s="17" t="s">
        <v>3622</v>
      </c>
      <c r="D1693" s="17" t="s">
        <v>3623</v>
      </c>
      <c r="E1693" s="16">
        <v>7.5</v>
      </c>
      <c r="F1693" s="7">
        <f t="shared" si="3"/>
        <v>92.5</v>
      </c>
      <c r="G1693" s="17" t="s">
        <v>3113</v>
      </c>
    </row>
    <row r="1694">
      <c r="A1694" s="12">
        <v>286.0</v>
      </c>
      <c r="B1694" s="17" t="s">
        <v>3624</v>
      </c>
      <c r="C1694" s="17" t="s">
        <v>3625</v>
      </c>
      <c r="D1694" s="17" t="s">
        <v>3626</v>
      </c>
      <c r="E1694" s="16">
        <v>7.5</v>
      </c>
      <c r="F1694" s="7">
        <f t="shared" si="3"/>
        <v>92.5</v>
      </c>
      <c r="G1694" s="17" t="s">
        <v>3113</v>
      </c>
    </row>
    <row r="1695">
      <c r="A1695" s="12">
        <v>287.0</v>
      </c>
      <c r="B1695" s="17" t="s">
        <v>3627</v>
      </c>
      <c r="C1695" s="17" t="s">
        <v>3628</v>
      </c>
      <c r="D1695" s="17" t="s">
        <v>3629</v>
      </c>
      <c r="E1695" s="16">
        <v>7.5</v>
      </c>
      <c r="F1695" s="7">
        <f t="shared" si="3"/>
        <v>92.5</v>
      </c>
      <c r="G1695" s="17" t="s">
        <v>3113</v>
      </c>
    </row>
    <row r="1696">
      <c r="A1696" s="12">
        <v>288.0</v>
      </c>
      <c r="B1696" s="17" t="s">
        <v>3627</v>
      </c>
      <c r="C1696" s="17" t="s">
        <v>3630</v>
      </c>
      <c r="D1696" s="17" t="s">
        <v>3631</v>
      </c>
      <c r="E1696" s="16">
        <v>7.5</v>
      </c>
      <c r="F1696" s="7">
        <f t="shared" si="3"/>
        <v>92.5</v>
      </c>
      <c r="G1696" s="17" t="s">
        <v>3113</v>
      </c>
    </row>
    <row r="1697">
      <c r="A1697" s="12">
        <v>289.0</v>
      </c>
      <c r="B1697" s="17" t="s">
        <v>3632</v>
      </c>
      <c r="C1697" s="17" t="s">
        <v>3633</v>
      </c>
      <c r="D1697" s="17" t="s">
        <v>3634</v>
      </c>
      <c r="E1697" s="16">
        <v>7.5</v>
      </c>
      <c r="F1697" s="7">
        <f t="shared" si="3"/>
        <v>92.5</v>
      </c>
      <c r="G1697" s="17" t="s">
        <v>3113</v>
      </c>
    </row>
    <row r="1698">
      <c r="A1698" s="12">
        <v>290.0</v>
      </c>
      <c r="B1698" s="17" t="s">
        <v>3635</v>
      </c>
      <c r="C1698" s="17" t="s">
        <v>3636</v>
      </c>
      <c r="D1698" s="17" t="s">
        <v>3637</v>
      </c>
      <c r="E1698" s="16">
        <v>7.5</v>
      </c>
      <c r="F1698" s="7">
        <f t="shared" si="3"/>
        <v>92.5</v>
      </c>
      <c r="G1698" s="17" t="s">
        <v>3113</v>
      </c>
    </row>
    <row r="1699">
      <c r="A1699" s="12">
        <v>291.0</v>
      </c>
      <c r="B1699" s="17" t="s">
        <v>3638</v>
      </c>
      <c r="C1699" s="17" t="s">
        <v>3639</v>
      </c>
      <c r="D1699" s="17" t="s">
        <v>3640</v>
      </c>
      <c r="E1699" s="16">
        <v>7.5</v>
      </c>
      <c r="F1699" s="7">
        <f t="shared" si="3"/>
        <v>92.5</v>
      </c>
      <c r="G1699" s="17" t="s">
        <v>3113</v>
      </c>
    </row>
    <row r="1700">
      <c r="A1700" s="12">
        <v>292.0</v>
      </c>
      <c r="B1700" s="17" t="s">
        <v>3641</v>
      </c>
      <c r="C1700" s="17" t="s">
        <v>3642</v>
      </c>
      <c r="D1700" s="17" t="s">
        <v>3643</v>
      </c>
      <c r="E1700" s="16">
        <v>7.5</v>
      </c>
      <c r="F1700" s="7">
        <f t="shared" si="3"/>
        <v>92.5</v>
      </c>
      <c r="G1700" s="17" t="s">
        <v>3113</v>
      </c>
    </row>
    <row r="1701">
      <c r="A1701" s="12">
        <v>293.0</v>
      </c>
      <c r="B1701" s="17" t="s">
        <v>3644</v>
      </c>
      <c r="C1701" s="17" t="s">
        <v>3645</v>
      </c>
      <c r="D1701" s="17" t="s">
        <v>3646</v>
      </c>
      <c r="E1701" s="16">
        <v>7.5</v>
      </c>
      <c r="F1701" s="7">
        <f t="shared" si="3"/>
        <v>92.5</v>
      </c>
      <c r="G1701" s="17" t="s">
        <v>3113</v>
      </c>
    </row>
    <row r="1702">
      <c r="A1702" s="12">
        <v>294.0</v>
      </c>
      <c r="B1702" s="17" t="s">
        <v>3647</v>
      </c>
      <c r="C1702" s="17" t="s">
        <v>3648</v>
      </c>
      <c r="D1702" s="17" t="s">
        <v>3649</v>
      </c>
      <c r="E1702" s="16">
        <v>7.5</v>
      </c>
      <c r="F1702" s="7">
        <f t="shared" si="3"/>
        <v>92.5</v>
      </c>
      <c r="G1702" s="17" t="s">
        <v>3113</v>
      </c>
    </row>
    <row r="1703">
      <c r="A1703" s="12">
        <v>295.0</v>
      </c>
      <c r="B1703" s="17" t="s">
        <v>3650</v>
      </c>
      <c r="C1703" s="17" t="s">
        <v>3651</v>
      </c>
      <c r="D1703" s="17" t="s">
        <v>3652</v>
      </c>
      <c r="E1703" s="16">
        <v>7.5</v>
      </c>
      <c r="F1703" s="7">
        <f t="shared" si="3"/>
        <v>92.5</v>
      </c>
      <c r="G1703" s="17" t="s">
        <v>3113</v>
      </c>
    </row>
    <row r="1704">
      <c r="A1704" s="12">
        <v>296.0</v>
      </c>
      <c r="B1704" s="17" t="s">
        <v>3653</v>
      </c>
      <c r="C1704" s="17" t="s">
        <v>3654</v>
      </c>
      <c r="D1704" s="17" t="s">
        <v>3655</v>
      </c>
      <c r="E1704" s="16">
        <v>7.5</v>
      </c>
      <c r="F1704" s="7">
        <f t="shared" si="3"/>
        <v>92.5</v>
      </c>
      <c r="G1704" s="17" t="s">
        <v>3113</v>
      </c>
    </row>
    <row r="1705">
      <c r="A1705" s="12">
        <v>297.0</v>
      </c>
      <c r="B1705" s="17" t="s">
        <v>3656</v>
      </c>
      <c r="C1705" s="17" t="s">
        <v>3657</v>
      </c>
      <c r="D1705" s="17" t="s">
        <v>3658</v>
      </c>
      <c r="E1705" s="16">
        <v>7.5</v>
      </c>
      <c r="F1705" s="7">
        <f t="shared" si="3"/>
        <v>92.5</v>
      </c>
      <c r="G1705" s="17" t="s">
        <v>3113</v>
      </c>
    </row>
    <row r="1706">
      <c r="A1706" s="12">
        <v>298.0</v>
      </c>
      <c r="B1706" s="17" t="s">
        <v>3659</v>
      </c>
      <c r="C1706" s="17" t="s">
        <v>3660</v>
      </c>
      <c r="D1706" s="17" t="s">
        <v>3661</v>
      </c>
      <c r="E1706" s="16">
        <v>7.5</v>
      </c>
      <c r="F1706" s="7">
        <f t="shared" si="3"/>
        <v>92.5</v>
      </c>
      <c r="G1706" s="17" t="s">
        <v>3113</v>
      </c>
    </row>
    <row r="1707">
      <c r="A1707" s="12">
        <v>299.0</v>
      </c>
      <c r="B1707" s="17" t="s">
        <v>3662</v>
      </c>
      <c r="C1707" s="17" t="s">
        <v>3663</v>
      </c>
      <c r="D1707" s="17" t="s">
        <v>3664</v>
      </c>
      <c r="E1707" s="16">
        <v>7.5</v>
      </c>
      <c r="F1707" s="7">
        <f t="shared" si="3"/>
        <v>92.5</v>
      </c>
      <c r="G1707" s="17" t="s">
        <v>3113</v>
      </c>
    </row>
    <row r="1708">
      <c r="A1708" s="12">
        <v>300.0</v>
      </c>
      <c r="B1708" s="17" t="s">
        <v>3665</v>
      </c>
      <c r="C1708" s="17" t="s">
        <v>3666</v>
      </c>
      <c r="D1708" s="17" t="s">
        <v>3667</v>
      </c>
      <c r="E1708" s="16">
        <v>7.5</v>
      </c>
      <c r="F1708" s="7">
        <f t="shared" si="3"/>
        <v>92.5</v>
      </c>
      <c r="G1708" s="17" t="s">
        <v>3113</v>
      </c>
    </row>
    <row r="1709">
      <c r="A1709" s="12">
        <v>301.0</v>
      </c>
      <c r="B1709" s="17" t="s">
        <v>3668</v>
      </c>
      <c r="C1709" s="17" t="s">
        <v>3669</v>
      </c>
      <c r="D1709" s="17" t="s">
        <v>3667</v>
      </c>
      <c r="E1709" s="16">
        <v>7.5</v>
      </c>
      <c r="F1709" s="7">
        <f t="shared" si="3"/>
        <v>92.5</v>
      </c>
      <c r="G1709" s="17" t="s">
        <v>3113</v>
      </c>
    </row>
    <row r="1710">
      <c r="A1710" s="12">
        <v>302.0</v>
      </c>
      <c r="B1710" s="17" t="s">
        <v>3670</v>
      </c>
      <c r="C1710" s="17" t="s">
        <v>3671</v>
      </c>
      <c r="D1710" s="17" t="s">
        <v>3672</v>
      </c>
      <c r="E1710" s="16">
        <v>7.5</v>
      </c>
      <c r="F1710" s="7">
        <f t="shared" si="3"/>
        <v>92.5</v>
      </c>
      <c r="G1710" s="17" t="s">
        <v>3113</v>
      </c>
    </row>
    <row r="1711">
      <c r="A1711" s="12">
        <v>303.0</v>
      </c>
      <c r="B1711" s="17" t="s">
        <v>3673</v>
      </c>
      <c r="C1711" s="17" t="s">
        <v>3674</v>
      </c>
      <c r="D1711" s="17" t="s">
        <v>3675</v>
      </c>
      <c r="E1711" s="16">
        <v>7.5</v>
      </c>
      <c r="F1711" s="7">
        <f t="shared" si="3"/>
        <v>92.5</v>
      </c>
      <c r="G1711" s="17" t="s">
        <v>3113</v>
      </c>
    </row>
    <row r="1712">
      <c r="A1712" s="12">
        <v>304.0</v>
      </c>
      <c r="B1712" s="17" t="s">
        <v>3676</v>
      </c>
      <c r="C1712" s="17" t="s">
        <v>3677</v>
      </c>
      <c r="D1712" s="17" t="s">
        <v>3678</v>
      </c>
      <c r="E1712" s="16">
        <v>7.5</v>
      </c>
      <c r="F1712" s="7">
        <f t="shared" si="3"/>
        <v>92.5</v>
      </c>
      <c r="G1712" s="17" t="s">
        <v>3113</v>
      </c>
    </row>
    <row r="1713">
      <c r="A1713" s="12">
        <v>305.0</v>
      </c>
      <c r="B1713" s="17" t="s">
        <v>3679</v>
      </c>
      <c r="C1713" s="17" t="s">
        <v>3680</v>
      </c>
      <c r="D1713" s="17" t="s">
        <v>3681</v>
      </c>
      <c r="E1713" s="16">
        <v>7.5</v>
      </c>
      <c r="F1713" s="7">
        <f t="shared" si="3"/>
        <v>92.5</v>
      </c>
      <c r="G1713" s="17" t="s">
        <v>3113</v>
      </c>
    </row>
    <row r="1714">
      <c r="A1714" s="12">
        <v>306.0</v>
      </c>
      <c r="B1714" s="17" t="s">
        <v>3682</v>
      </c>
      <c r="C1714" s="17" t="s">
        <v>3683</v>
      </c>
      <c r="D1714" s="17" t="s">
        <v>3684</v>
      </c>
      <c r="E1714" s="16">
        <v>7.5</v>
      </c>
      <c r="F1714" s="7">
        <f t="shared" si="3"/>
        <v>92.5</v>
      </c>
      <c r="G1714" s="17" t="s">
        <v>3113</v>
      </c>
    </row>
    <row r="1715">
      <c r="A1715" s="12">
        <v>307.0</v>
      </c>
      <c r="B1715" s="17" t="s">
        <v>3685</v>
      </c>
      <c r="C1715" s="17" t="s">
        <v>3686</v>
      </c>
      <c r="D1715" s="17" t="s">
        <v>3687</v>
      </c>
      <c r="E1715" s="16">
        <v>7.5</v>
      </c>
      <c r="F1715" s="7">
        <f t="shared" si="3"/>
        <v>92.5</v>
      </c>
      <c r="G1715" s="17" t="s">
        <v>3113</v>
      </c>
    </row>
    <row r="1716">
      <c r="A1716" s="12">
        <v>308.0</v>
      </c>
      <c r="B1716" s="17" t="s">
        <v>3688</v>
      </c>
      <c r="C1716" s="17" t="s">
        <v>3689</v>
      </c>
      <c r="D1716" s="17" t="s">
        <v>3690</v>
      </c>
      <c r="E1716" s="16">
        <v>7.5</v>
      </c>
      <c r="F1716" s="7">
        <f t="shared" si="3"/>
        <v>92.5</v>
      </c>
      <c r="G1716" s="17" t="s">
        <v>3113</v>
      </c>
    </row>
    <row r="1717">
      <c r="A1717" s="12">
        <v>309.0</v>
      </c>
      <c r="B1717" s="17" t="s">
        <v>3691</v>
      </c>
      <c r="C1717" s="17" t="s">
        <v>3692</v>
      </c>
      <c r="D1717" s="17" t="s">
        <v>3693</v>
      </c>
      <c r="E1717" s="16">
        <v>7.5</v>
      </c>
      <c r="F1717" s="7">
        <f t="shared" si="3"/>
        <v>92.5</v>
      </c>
      <c r="G1717" s="17" t="s">
        <v>3113</v>
      </c>
    </row>
    <row r="1718">
      <c r="A1718" s="12">
        <v>310.0</v>
      </c>
      <c r="B1718" s="17" t="s">
        <v>3694</v>
      </c>
      <c r="C1718" s="17" t="s">
        <v>3695</v>
      </c>
      <c r="D1718" s="17" t="s">
        <v>3696</v>
      </c>
      <c r="E1718" s="16">
        <v>7.5</v>
      </c>
      <c r="F1718" s="7">
        <f t="shared" si="3"/>
        <v>92.5</v>
      </c>
      <c r="G1718" s="17" t="s">
        <v>3113</v>
      </c>
    </row>
    <row r="1719">
      <c r="A1719" s="12">
        <v>311.0</v>
      </c>
      <c r="B1719" s="17" t="s">
        <v>3697</v>
      </c>
      <c r="C1719" s="17" t="s">
        <v>3698</v>
      </c>
      <c r="D1719" s="17" t="s">
        <v>3699</v>
      </c>
      <c r="E1719" s="16">
        <v>7.5</v>
      </c>
      <c r="F1719" s="7">
        <f t="shared" si="3"/>
        <v>92.5</v>
      </c>
      <c r="G1719" s="17" t="s">
        <v>3113</v>
      </c>
    </row>
    <row r="1720">
      <c r="A1720" s="12">
        <v>312.0</v>
      </c>
      <c r="B1720" s="17" t="s">
        <v>3700</v>
      </c>
      <c r="C1720" s="17" t="s">
        <v>3701</v>
      </c>
      <c r="D1720" s="17" t="s">
        <v>3702</v>
      </c>
      <c r="E1720" s="16">
        <v>7.5</v>
      </c>
      <c r="F1720" s="7">
        <f t="shared" si="3"/>
        <v>92.5</v>
      </c>
      <c r="G1720" s="17" t="s">
        <v>3113</v>
      </c>
    </row>
    <row r="1721">
      <c r="A1721" s="12">
        <v>313.0</v>
      </c>
      <c r="B1721" s="17" t="s">
        <v>3703</v>
      </c>
      <c r="C1721" s="17" t="s">
        <v>3704</v>
      </c>
      <c r="D1721" s="17" t="s">
        <v>3705</v>
      </c>
      <c r="E1721" s="16">
        <v>7.5</v>
      </c>
      <c r="F1721" s="7">
        <f t="shared" si="3"/>
        <v>92.5</v>
      </c>
      <c r="G1721" s="17" t="s">
        <v>3113</v>
      </c>
    </row>
    <row r="1722">
      <c r="A1722" s="12">
        <v>314.0</v>
      </c>
      <c r="B1722" s="17" t="s">
        <v>3706</v>
      </c>
      <c r="C1722" s="17" t="s">
        <v>3707</v>
      </c>
      <c r="D1722" s="17" t="s">
        <v>3708</v>
      </c>
      <c r="E1722" s="16">
        <v>7.5</v>
      </c>
      <c r="F1722" s="7">
        <f t="shared" si="3"/>
        <v>92.5</v>
      </c>
      <c r="G1722" s="17" t="s">
        <v>3113</v>
      </c>
    </row>
    <row r="1723">
      <c r="A1723" s="12">
        <v>315.0</v>
      </c>
      <c r="B1723" s="17" t="s">
        <v>3709</v>
      </c>
      <c r="C1723" s="17" t="s">
        <v>3710</v>
      </c>
      <c r="D1723" s="17" t="s">
        <v>3711</v>
      </c>
      <c r="E1723" s="16">
        <v>7.5</v>
      </c>
      <c r="F1723" s="7">
        <f t="shared" si="3"/>
        <v>92.5</v>
      </c>
      <c r="G1723" s="17" t="s">
        <v>3113</v>
      </c>
    </row>
    <row r="1724">
      <c r="A1724" s="12">
        <v>316.0</v>
      </c>
      <c r="B1724" s="17" t="s">
        <v>3712</v>
      </c>
      <c r="C1724" s="17" t="s">
        <v>3713</v>
      </c>
      <c r="D1724" s="17" t="s">
        <v>3714</v>
      </c>
      <c r="E1724" s="16">
        <v>7.5</v>
      </c>
      <c r="F1724" s="7">
        <f t="shared" si="3"/>
        <v>92.5</v>
      </c>
      <c r="G1724" s="17" t="s">
        <v>3113</v>
      </c>
    </row>
    <row r="1725">
      <c r="A1725" s="12">
        <v>317.0</v>
      </c>
      <c r="B1725" s="17" t="s">
        <v>3715</v>
      </c>
      <c r="C1725" s="17" t="s">
        <v>3716</v>
      </c>
      <c r="D1725" s="17" t="s">
        <v>3717</v>
      </c>
      <c r="E1725" s="16">
        <v>7.5</v>
      </c>
      <c r="F1725" s="7">
        <f t="shared" si="3"/>
        <v>92.5</v>
      </c>
      <c r="G1725" s="17" t="s">
        <v>3113</v>
      </c>
    </row>
    <row r="1726">
      <c r="A1726" s="12">
        <v>318.0</v>
      </c>
      <c r="B1726" s="17" t="s">
        <v>3718</v>
      </c>
      <c r="C1726" s="17" t="s">
        <v>3719</v>
      </c>
      <c r="D1726" s="17" t="s">
        <v>3720</v>
      </c>
      <c r="E1726" s="16">
        <v>7.5</v>
      </c>
      <c r="F1726" s="7">
        <f t="shared" si="3"/>
        <v>92.5</v>
      </c>
      <c r="G1726" s="17" t="s">
        <v>3113</v>
      </c>
    </row>
    <row r="1727">
      <c r="A1727" s="12">
        <v>319.0</v>
      </c>
      <c r="B1727" s="17" t="s">
        <v>3721</v>
      </c>
      <c r="C1727" s="17" t="s">
        <v>3722</v>
      </c>
      <c r="D1727" s="17" t="s">
        <v>3723</v>
      </c>
      <c r="E1727" s="16">
        <v>7.5</v>
      </c>
      <c r="F1727" s="7">
        <f t="shared" si="3"/>
        <v>92.5</v>
      </c>
      <c r="G1727" s="17" t="s">
        <v>3113</v>
      </c>
    </row>
    <row r="1728">
      <c r="A1728" s="12">
        <v>320.0</v>
      </c>
      <c r="B1728" s="17" t="s">
        <v>3724</v>
      </c>
      <c r="C1728" s="17" t="s">
        <v>3725</v>
      </c>
      <c r="D1728" s="17" t="s">
        <v>3726</v>
      </c>
      <c r="E1728" s="16">
        <v>7.5</v>
      </c>
      <c r="F1728" s="7">
        <f t="shared" si="3"/>
        <v>92.5</v>
      </c>
      <c r="G1728" s="17" t="s">
        <v>3113</v>
      </c>
    </row>
    <row r="1729">
      <c r="A1729" s="12">
        <v>321.0</v>
      </c>
      <c r="B1729" s="17" t="s">
        <v>3727</v>
      </c>
      <c r="C1729" s="17" t="s">
        <v>3728</v>
      </c>
      <c r="D1729" s="17" t="s">
        <v>3729</v>
      </c>
      <c r="E1729" s="16">
        <v>7.5</v>
      </c>
      <c r="F1729" s="7">
        <f t="shared" si="3"/>
        <v>92.5</v>
      </c>
      <c r="G1729" s="17" t="s">
        <v>3113</v>
      </c>
    </row>
    <row r="1730">
      <c r="A1730" s="12">
        <v>322.0</v>
      </c>
      <c r="B1730" s="17" t="s">
        <v>3730</v>
      </c>
      <c r="C1730" s="17" t="s">
        <v>3731</v>
      </c>
      <c r="D1730" s="17" t="s">
        <v>3732</v>
      </c>
      <c r="E1730" s="16">
        <v>7.5</v>
      </c>
      <c r="F1730" s="7">
        <f t="shared" si="3"/>
        <v>92.5</v>
      </c>
      <c r="G1730" s="17" t="s">
        <v>3113</v>
      </c>
    </row>
    <row r="1731">
      <c r="A1731" s="12">
        <v>323.0</v>
      </c>
      <c r="B1731" s="17" t="s">
        <v>3733</v>
      </c>
      <c r="C1731" s="17" t="s">
        <v>3734</v>
      </c>
      <c r="D1731" s="17" t="s">
        <v>3735</v>
      </c>
      <c r="E1731" s="16">
        <v>7.5</v>
      </c>
      <c r="F1731" s="7">
        <f t="shared" si="3"/>
        <v>92.5</v>
      </c>
      <c r="G1731" s="17" t="s">
        <v>3113</v>
      </c>
    </row>
    <row r="1732">
      <c r="A1732" s="12">
        <v>324.0</v>
      </c>
      <c r="B1732" s="17" t="s">
        <v>3736</v>
      </c>
      <c r="C1732" s="17" t="s">
        <v>3737</v>
      </c>
      <c r="D1732" s="17" t="s">
        <v>3738</v>
      </c>
      <c r="E1732" s="16">
        <v>7.5</v>
      </c>
      <c r="F1732" s="7">
        <f t="shared" si="3"/>
        <v>92.5</v>
      </c>
      <c r="G1732" s="17" t="s">
        <v>3113</v>
      </c>
    </row>
    <row r="1733">
      <c r="A1733" s="12">
        <v>325.0</v>
      </c>
      <c r="B1733" s="17" t="s">
        <v>3739</v>
      </c>
      <c r="C1733" s="17" t="s">
        <v>3740</v>
      </c>
      <c r="D1733" s="17" t="s">
        <v>3741</v>
      </c>
      <c r="E1733" s="16">
        <v>7.5</v>
      </c>
      <c r="F1733" s="7">
        <f t="shared" si="3"/>
        <v>92.5</v>
      </c>
      <c r="G1733" s="17" t="s">
        <v>3113</v>
      </c>
    </row>
    <row r="1734">
      <c r="A1734" s="12">
        <v>326.0</v>
      </c>
      <c r="B1734" s="17" t="s">
        <v>3742</v>
      </c>
      <c r="C1734" s="17" t="s">
        <v>3743</v>
      </c>
      <c r="D1734" s="17" t="s">
        <v>3744</v>
      </c>
      <c r="E1734" s="16">
        <v>7.5</v>
      </c>
      <c r="F1734" s="7">
        <f t="shared" si="3"/>
        <v>92.5</v>
      </c>
      <c r="G1734" s="17" t="s">
        <v>3113</v>
      </c>
    </row>
    <row r="1735">
      <c r="A1735" s="12">
        <v>327.0</v>
      </c>
      <c r="B1735" s="17" t="s">
        <v>3745</v>
      </c>
      <c r="C1735" s="17" t="s">
        <v>3746</v>
      </c>
      <c r="D1735" s="17" t="s">
        <v>3747</v>
      </c>
      <c r="E1735" s="16">
        <v>7.5</v>
      </c>
      <c r="F1735" s="7">
        <f t="shared" si="3"/>
        <v>92.5</v>
      </c>
      <c r="G1735" s="17" t="s">
        <v>3113</v>
      </c>
    </row>
    <row r="1736">
      <c r="A1736" s="12">
        <v>328.0</v>
      </c>
      <c r="B1736" s="17" t="s">
        <v>3748</v>
      </c>
      <c r="C1736" s="17" t="s">
        <v>3749</v>
      </c>
      <c r="D1736" s="17" t="s">
        <v>3744</v>
      </c>
      <c r="E1736" s="16">
        <v>7.5</v>
      </c>
      <c r="F1736" s="7">
        <f t="shared" si="3"/>
        <v>92.5</v>
      </c>
      <c r="G1736" s="17" t="s">
        <v>3113</v>
      </c>
    </row>
    <row r="1737">
      <c r="A1737" s="12">
        <v>329.0</v>
      </c>
      <c r="B1737" s="17" t="s">
        <v>3750</v>
      </c>
      <c r="C1737" s="17" t="s">
        <v>3751</v>
      </c>
      <c r="D1737" s="17" t="s">
        <v>3752</v>
      </c>
      <c r="E1737" s="16">
        <v>7.5</v>
      </c>
      <c r="F1737" s="7">
        <f t="shared" si="3"/>
        <v>92.5</v>
      </c>
      <c r="G1737" s="17" t="s">
        <v>3113</v>
      </c>
    </row>
    <row r="1738">
      <c r="A1738" s="12">
        <v>330.0</v>
      </c>
      <c r="B1738" s="17" t="s">
        <v>3753</v>
      </c>
      <c r="C1738" s="17" t="s">
        <v>3754</v>
      </c>
      <c r="D1738" s="17" t="s">
        <v>3755</v>
      </c>
      <c r="E1738" s="16">
        <v>7.5</v>
      </c>
      <c r="F1738" s="7">
        <f t="shared" si="3"/>
        <v>92.5</v>
      </c>
      <c r="G1738" s="17" t="s">
        <v>3113</v>
      </c>
    </row>
    <row r="1739">
      <c r="A1739" s="12">
        <v>331.0</v>
      </c>
      <c r="B1739" s="17" t="s">
        <v>3756</v>
      </c>
      <c r="C1739" s="17" t="s">
        <v>3757</v>
      </c>
      <c r="D1739" s="17" t="s">
        <v>3758</v>
      </c>
      <c r="E1739" s="16">
        <v>7.5</v>
      </c>
      <c r="F1739" s="7">
        <f t="shared" si="3"/>
        <v>92.5</v>
      </c>
      <c r="G1739" s="17" t="s">
        <v>3113</v>
      </c>
    </row>
    <row r="1740">
      <c r="A1740" s="12">
        <v>332.0</v>
      </c>
      <c r="B1740" s="17" t="s">
        <v>3759</v>
      </c>
      <c r="C1740" s="17" t="s">
        <v>3760</v>
      </c>
      <c r="D1740" s="17" t="s">
        <v>3761</v>
      </c>
      <c r="E1740" s="16">
        <v>7.5</v>
      </c>
      <c r="F1740" s="7">
        <f t="shared" si="3"/>
        <v>92.5</v>
      </c>
      <c r="G1740" s="17" t="s">
        <v>3113</v>
      </c>
    </row>
    <row r="1741">
      <c r="A1741" s="12">
        <v>333.0</v>
      </c>
      <c r="B1741" s="17" t="s">
        <v>3762</v>
      </c>
      <c r="C1741" s="17" t="s">
        <v>3763</v>
      </c>
      <c r="D1741" s="17" t="s">
        <v>3764</v>
      </c>
      <c r="E1741" s="16">
        <v>7.5</v>
      </c>
      <c r="F1741" s="7">
        <f t="shared" si="3"/>
        <v>92.5</v>
      </c>
      <c r="G1741" s="17" t="s">
        <v>3113</v>
      </c>
    </row>
    <row r="1742">
      <c r="A1742" s="12">
        <v>334.0</v>
      </c>
      <c r="B1742" s="17" t="s">
        <v>3765</v>
      </c>
      <c r="C1742" s="17" t="s">
        <v>3766</v>
      </c>
      <c r="D1742" s="17" t="s">
        <v>3767</v>
      </c>
      <c r="E1742" s="16">
        <v>7.5</v>
      </c>
      <c r="F1742" s="7">
        <f t="shared" si="3"/>
        <v>92.5</v>
      </c>
      <c r="G1742" s="17" t="s">
        <v>3113</v>
      </c>
    </row>
    <row r="1743">
      <c r="A1743" s="12">
        <v>335.0</v>
      </c>
      <c r="B1743" s="17" t="s">
        <v>3768</v>
      </c>
      <c r="C1743" s="17" t="s">
        <v>3769</v>
      </c>
      <c r="D1743" s="17" t="s">
        <v>3770</v>
      </c>
      <c r="E1743" s="16">
        <v>7.5</v>
      </c>
      <c r="F1743" s="7">
        <f t="shared" si="3"/>
        <v>92.5</v>
      </c>
      <c r="G1743" s="17" t="s">
        <v>3113</v>
      </c>
    </row>
    <row r="1744">
      <c r="A1744" s="12">
        <v>336.0</v>
      </c>
      <c r="B1744" s="17" t="s">
        <v>3771</v>
      </c>
      <c r="C1744" s="17" t="s">
        <v>3772</v>
      </c>
      <c r="D1744" s="17" t="s">
        <v>3773</v>
      </c>
      <c r="E1744" s="16">
        <v>7.5</v>
      </c>
      <c r="F1744" s="7">
        <f t="shared" si="3"/>
        <v>92.5</v>
      </c>
      <c r="G1744" s="17" t="s">
        <v>3113</v>
      </c>
    </row>
    <row r="1745">
      <c r="A1745" s="12">
        <v>337.0</v>
      </c>
      <c r="B1745" s="17" t="s">
        <v>3774</v>
      </c>
      <c r="C1745" s="17" t="s">
        <v>3775</v>
      </c>
      <c r="D1745" s="17" t="s">
        <v>3776</v>
      </c>
      <c r="E1745" s="16">
        <v>7.5</v>
      </c>
      <c r="F1745" s="7">
        <f t="shared" si="3"/>
        <v>92.5</v>
      </c>
      <c r="G1745" s="17" t="s">
        <v>3113</v>
      </c>
    </row>
    <row r="1746">
      <c r="A1746" s="12">
        <v>338.0</v>
      </c>
      <c r="B1746" s="17" t="s">
        <v>3777</v>
      </c>
      <c r="C1746" s="17" t="s">
        <v>3778</v>
      </c>
      <c r="D1746" s="17" t="s">
        <v>3779</v>
      </c>
      <c r="E1746" s="16">
        <v>7.5</v>
      </c>
      <c r="F1746" s="7">
        <f t="shared" si="3"/>
        <v>92.5</v>
      </c>
      <c r="G1746" s="17" t="s">
        <v>3113</v>
      </c>
    </row>
    <row r="1747">
      <c r="A1747" s="12">
        <v>339.0</v>
      </c>
      <c r="B1747" s="17" t="s">
        <v>3780</v>
      </c>
      <c r="C1747" s="17" t="s">
        <v>3781</v>
      </c>
      <c r="D1747" s="17" t="s">
        <v>3782</v>
      </c>
      <c r="E1747" s="16">
        <v>7.5</v>
      </c>
      <c r="F1747" s="7">
        <f t="shared" si="3"/>
        <v>92.5</v>
      </c>
      <c r="G1747" s="17" t="s">
        <v>3113</v>
      </c>
    </row>
    <row r="1748">
      <c r="A1748" s="12">
        <v>340.0</v>
      </c>
      <c r="B1748" s="17" t="s">
        <v>3783</v>
      </c>
      <c r="C1748" s="17" t="s">
        <v>3784</v>
      </c>
      <c r="D1748" s="17" t="s">
        <v>3785</v>
      </c>
      <c r="E1748" s="16">
        <v>7.5</v>
      </c>
      <c r="F1748" s="7">
        <f t="shared" si="3"/>
        <v>92.5</v>
      </c>
      <c r="G1748" s="17" t="s">
        <v>3113</v>
      </c>
    </row>
    <row r="1749">
      <c r="A1749" s="12">
        <v>341.0</v>
      </c>
      <c r="B1749" s="17" t="s">
        <v>3786</v>
      </c>
      <c r="C1749" s="17" t="s">
        <v>3787</v>
      </c>
      <c r="D1749" s="17" t="s">
        <v>3788</v>
      </c>
      <c r="E1749" s="16">
        <v>7.5</v>
      </c>
      <c r="F1749" s="7">
        <f t="shared" si="3"/>
        <v>92.5</v>
      </c>
      <c r="G1749" s="17" t="s">
        <v>3113</v>
      </c>
    </row>
    <row r="1750">
      <c r="A1750" s="12">
        <v>342.0</v>
      </c>
      <c r="B1750" s="17" t="s">
        <v>3789</v>
      </c>
      <c r="C1750" s="17" t="s">
        <v>3790</v>
      </c>
      <c r="D1750" s="17" t="s">
        <v>3791</v>
      </c>
      <c r="E1750" s="16">
        <v>7.5</v>
      </c>
      <c r="F1750" s="7">
        <f t="shared" si="3"/>
        <v>92.5</v>
      </c>
      <c r="G1750" s="17" t="s">
        <v>3113</v>
      </c>
    </row>
    <row r="1751">
      <c r="A1751" s="12">
        <v>343.0</v>
      </c>
      <c r="B1751" s="17" t="s">
        <v>3792</v>
      </c>
      <c r="C1751" s="17" t="s">
        <v>3793</v>
      </c>
      <c r="D1751" s="17" t="s">
        <v>3794</v>
      </c>
      <c r="E1751" s="16">
        <v>7.5</v>
      </c>
      <c r="F1751" s="7">
        <f t="shared" si="3"/>
        <v>92.5</v>
      </c>
      <c r="G1751" s="17" t="s">
        <v>3113</v>
      </c>
    </row>
    <row r="1752">
      <c r="A1752" s="12">
        <v>344.0</v>
      </c>
      <c r="B1752" s="17" t="s">
        <v>3795</v>
      </c>
      <c r="C1752" s="17" t="s">
        <v>3796</v>
      </c>
      <c r="D1752" s="17" t="s">
        <v>3797</v>
      </c>
      <c r="E1752" s="16">
        <v>7.5</v>
      </c>
      <c r="F1752" s="7">
        <f t="shared" si="3"/>
        <v>92.5</v>
      </c>
      <c r="G1752" s="17" t="s">
        <v>3113</v>
      </c>
    </row>
    <row r="1753">
      <c r="A1753" s="12">
        <v>345.0</v>
      </c>
      <c r="B1753" s="17" t="s">
        <v>3798</v>
      </c>
      <c r="C1753" s="17" t="s">
        <v>3799</v>
      </c>
      <c r="D1753" s="17" t="s">
        <v>3800</v>
      </c>
      <c r="E1753" s="16">
        <v>7.5</v>
      </c>
      <c r="F1753" s="7">
        <f t="shared" si="3"/>
        <v>92.5</v>
      </c>
      <c r="G1753" s="17" t="s">
        <v>3113</v>
      </c>
    </row>
    <row r="1754">
      <c r="A1754" s="12">
        <v>346.0</v>
      </c>
      <c r="B1754" s="17" t="s">
        <v>3801</v>
      </c>
      <c r="C1754" s="17" t="s">
        <v>3802</v>
      </c>
      <c r="D1754" s="17" t="s">
        <v>3803</v>
      </c>
      <c r="E1754" s="16">
        <v>7.5</v>
      </c>
      <c r="F1754" s="7">
        <f t="shared" si="3"/>
        <v>92.5</v>
      </c>
      <c r="G1754" s="17" t="s">
        <v>3113</v>
      </c>
    </row>
    <row r="1755">
      <c r="A1755" s="12">
        <v>347.0</v>
      </c>
      <c r="B1755" s="17" t="s">
        <v>3804</v>
      </c>
      <c r="C1755" s="17" t="s">
        <v>3805</v>
      </c>
      <c r="D1755" s="17" t="s">
        <v>3806</v>
      </c>
      <c r="E1755" s="16">
        <v>7.5</v>
      </c>
      <c r="F1755" s="7">
        <f t="shared" si="3"/>
        <v>92.5</v>
      </c>
      <c r="G1755" s="17" t="s">
        <v>3113</v>
      </c>
    </row>
    <row r="1756">
      <c r="A1756" s="12">
        <v>348.0</v>
      </c>
      <c r="B1756" s="17" t="s">
        <v>3807</v>
      </c>
      <c r="C1756" s="17" t="s">
        <v>3808</v>
      </c>
      <c r="D1756" s="17" t="s">
        <v>3809</v>
      </c>
      <c r="E1756" s="16">
        <v>7.5</v>
      </c>
      <c r="F1756" s="7">
        <f t="shared" si="3"/>
        <v>92.5</v>
      </c>
      <c r="G1756" s="17" t="s">
        <v>3113</v>
      </c>
    </row>
    <row r="1757">
      <c r="A1757" s="12">
        <v>349.0</v>
      </c>
      <c r="B1757" s="17" t="s">
        <v>3810</v>
      </c>
      <c r="C1757" s="17" t="s">
        <v>3811</v>
      </c>
      <c r="D1757" s="17" t="s">
        <v>3812</v>
      </c>
      <c r="E1757" s="16">
        <v>7.5</v>
      </c>
      <c r="F1757" s="7">
        <f t="shared" si="3"/>
        <v>92.5</v>
      </c>
      <c r="G1757" s="17" t="s">
        <v>3113</v>
      </c>
    </row>
    <row r="1758">
      <c r="A1758" s="12">
        <v>350.0</v>
      </c>
      <c r="B1758" s="17" t="s">
        <v>3813</v>
      </c>
      <c r="C1758" s="17" t="s">
        <v>3814</v>
      </c>
      <c r="D1758" s="17" t="s">
        <v>3815</v>
      </c>
      <c r="E1758" s="16">
        <v>7.5</v>
      </c>
      <c r="F1758" s="7">
        <f t="shared" si="3"/>
        <v>92.5</v>
      </c>
      <c r="G1758" s="17" t="s">
        <v>3113</v>
      </c>
    </row>
    <row r="1759">
      <c r="A1759" s="12">
        <v>351.0</v>
      </c>
      <c r="B1759" s="17" t="s">
        <v>3816</v>
      </c>
      <c r="C1759" s="17" t="s">
        <v>3817</v>
      </c>
      <c r="D1759" s="17" t="s">
        <v>3815</v>
      </c>
      <c r="E1759" s="16">
        <v>7.5</v>
      </c>
      <c r="F1759" s="7">
        <f t="shared" si="3"/>
        <v>92.5</v>
      </c>
      <c r="G1759" s="17" t="s">
        <v>3113</v>
      </c>
    </row>
    <row r="1760">
      <c r="A1760" s="12">
        <v>352.0</v>
      </c>
      <c r="B1760" s="17" t="s">
        <v>3818</v>
      </c>
      <c r="C1760" s="17" t="s">
        <v>3819</v>
      </c>
      <c r="D1760" s="17" t="s">
        <v>3820</v>
      </c>
      <c r="E1760" s="16">
        <v>7.5</v>
      </c>
      <c r="F1760" s="7">
        <f t="shared" si="3"/>
        <v>92.5</v>
      </c>
      <c r="G1760" s="17" t="s">
        <v>3113</v>
      </c>
    </row>
    <row r="1761">
      <c r="A1761" s="12">
        <v>353.0</v>
      </c>
      <c r="B1761" s="17" t="s">
        <v>3821</v>
      </c>
      <c r="C1761" s="17" t="s">
        <v>3822</v>
      </c>
      <c r="D1761" s="17" t="s">
        <v>3823</v>
      </c>
      <c r="E1761" s="16">
        <v>7.5</v>
      </c>
      <c r="F1761" s="7">
        <f t="shared" si="3"/>
        <v>92.5</v>
      </c>
      <c r="G1761" s="17" t="s">
        <v>3113</v>
      </c>
    </row>
    <row r="1762">
      <c r="A1762" s="12">
        <v>354.0</v>
      </c>
      <c r="B1762" s="17" t="s">
        <v>3824</v>
      </c>
      <c r="C1762" s="17" t="s">
        <v>3825</v>
      </c>
      <c r="D1762" s="17" t="s">
        <v>3826</v>
      </c>
      <c r="E1762" s="16">
        <v>7.5</v>
      </c>
      <c r="F1762" s="7">
        <f t="shared" si="3"/>
        <v>92.5</v>
      </c>
      <c r="G1762" s="17" t="s">
        <v>3113</v>
      </c>
    </row>
    <row r="1763">
      <c r="A1763" s="12">
        <v>355.0</v>
      </c>
      <c r="B1763" s="17" t="s">
        <v>3827</v>
      </c>
      <c r="C1763" s="17" t="s">
        <v>3828</v>
      </c>
      <c r="D1763" s="17" t="s">
        <v>3829</v>
      </c>
      <c r="E1763" s="16">
        <v>7.5</v>
      </c>
      <c r="F1763" s="7">
        <f t="shared" si="3"/>
        <v>92.5</v>
      </c>
      <c r="G1763" s="17" t="s">
        <v>3113</v>
      </c>
    </row>
    <row r="1764">
      <c r="A1764" s="12">
        <v>356.0</v>
      </c>
      <c r="B1764" s="17" t="s">
        <v>3830</v>
      </c>
      <c r="C1764" s="17" t="s">
        <v>3831</v>
      </c>
      <c r="D1764" s="17" t="s">
        <v>3832</v>
      </c>
      <c r="E1764" s="16">
        <v>7.5</v>
      </c>
      <c r="F1764" s="7">
        <f t="shared" si="3"/>
        <v>92.5</v>
      </c>
      <c r="G1764" s="17" t="s">
        <v>3113</v>
      </c>
    </row>
    <row r="1765">
      <c r="A1765" s="12">
        <v>357.0</v>
      </c>
      <c r="B1765" s="17" t="s">
        <v>3833</v>
      </c>
      <c r="C1765" s="17" t="s">
        <v>3834</v>
      </c>
      <c r="D1765" s="17" t="s">
        <v>3835</v>
      </c>
      <c r="E1765" s="16">
        <v>7.5</v>
      </c>
      <c r="F1765" s="7">
        <f t="shared" si="3"/>
        <v>92.5</v>
      </c>
      <c r="G1765" s="17" t="s">
        <v>3113</v>
      </c>
    </row>
    <row r="1766">
      <c r="A1766" s="12">
        <v>358.0</v>
      </c>
      <c r="B1766" s="17" t="s">
        <v>3836</v>
      </c>
      <c r="C1766" s="17" t="s">
        <v>3837</v>
      </c>
      <c r="D1766" s="17" t="s">
        <v>3838</v>
      </c>
      <c r="E1766" s="16">
        <v>7.5</v>
      </c>
      <c r="F1766" s="7">
        <f t="shared" si="3"/>
        <v>92.5</v>
      </c>
      <c r="G1766" s="17" t="s">
        <v>3113</v>
      </c>
    </row>
    <row r="1767">
      <c r="A1767" s="12">
        <v>359.0</v>
      </c>
      <c r="B1767" s="17" t="s">
        <v>3839</v>
      </c>
      <c r="C1767" s="17" t="s">
        <v>3840</v>
      </c>
      <c r="D1767" s="17" t="s">
        <v>3829</v>
      </c>
      <c r="E1767" s="16">
        <v>7.5</v>
      </c>
      <c r="F1767" s="7">
        <f t="shared" si="3"/>
        <v>92.5</v>
      </c>
      <c r="G1767" s="17" t="s">
        <v>3113</v>
      </c>
    </row>
    <row r="1768">
      <c r="A1768" s="12">
        <v>360.0</v>
      </c>
      <c r="B1768" s="17" t="s">
        <v>3841</v>
      </c>
      <c r="C1768" s="17" t="s">
        <v>3842</v>
      </c>
      <c r="D1768" s="17" t="s">
        <v>3843</v>
      </c>
      <c r="E1768" s="16">
        <v>7.5</v>
      </c>
      <c r="F1768" s="7">
        <f t="shared" si="3"/>
        <v>92.5</v>
      </c>
      <c r="G1768" s="17" t="s">
        <v>3113</v>
      </c>
    </row>
    <row r="1769">
      <c r="A1769" s="12">
        <v>361.0</v>
      </c>
      <c r="B1769" s="17" t="s">
        <v>3844</v>
      </c>
      <c r="C1769" s="17" t="s">
        <v>3845</v>
      </c>
      <c r="D1769" s="17" t="s">
        <v>3846</v>
      </c>
      <c r="E1769" s="16">
        <v>7.5</v>
      </c>
      <c r="F1769" s="7">
        <f t="shared" si="3"/>
        <v>92.5</v>
      </c>
      <c r="G1769" s="17" t="s">
        <v>3113</v>
      </c>
    </row>
    <row r="1770">
      <c r="A1770" s="12">
        <v>362.0</v>
      </c>
      <c r="B1770" s="17" t="s">
        <v>3847</v>
      </c>
      <c r="C1770" s="17" t="s">
        <v>3848</v>
      </c>
      <c r="D1770" s="17" t="s">
        <v>3849</v>
      </c>
      <c r="E1770" s="16">
        <v>7.5</v>
      </c>
      <c r="F1770" s="7">
        <f t="shared" si="3"/>
        <v>92.5</v>
      </c>
      <c r="G1770" s="17" t="s">
        <v>3113</v>
      </c>
    </row>
    <row r="1771">
      <c r="A1771" s="12">
        <v>363.0</v>
      </c>
      <c r="B1771" s="17" t="s">
        <v>3850</v>
      </c>
      <c r="C1771" s="17" t="s">
        <v>3851</v>
      </c>
      <c r="D1771" s="17" t="s">
        <v>3852</v>
      </c>
      <c r="E1771" s="16">
        <v>7.5</v>
      </c>
      <c r="F1771" s="7">
        <f t="shared" si="3"/>
        <v>92.5</v>
      </c>
      <c r="G1771" s="17" t="s">
        <v>3113</v>
      </c>
    </row>
    <row r="1772">
      <c r="A1772" s="12">
        <v>364.0</v>
      </c>
      <c r="B1772" s="17" t="s">
        <v>3853</v>
      </c>
      <c r="C1772" s="17" t="s">
        <v>3854</v>
      </c>
      <c r="D1772" s="17" t="s">
        <v>3855</v>
      </c>
      <c r="E1772" s="16">
        <v>7.5</v>
      </c>
      <c r="F1772" s="7">
        <f t="shared" si="3"/>
        <v>92.5</v>
      </c>
      <c r="G1772" s="17" t="s">
        <v>3113</v>
      </c>
    </row>
    <row r="1773">
      <c r="A1773" s="12">
        <v>365.0</v>
      </c>
      <c r="B1773" s="17" t="s">
        <v>3856</v>
      </c>
      <c r="C1773" s="17" t="s">
        <v>3857</v>
      </c>
      <c r="D1773" s="17" t="s">
        <v>3858</v>
      </c>
      <c r="E1773" s="16">
        <v>7.5</v>
      </c>
      <c r="F1773" s="7">
        <f t="shared" si="3"/>
        <v>92.5</v>
      </c>
      <c r="G1773" s="17" t="s">
        <v>3113</v>
      </c>
    </row>
    <row r="1774">
      <c r="A1774" s="12">
        <v>366.0</v>
      </c>
      <c r="B1774" s="17" t="s">
        <v>3859</v>
      </c>
      <c r="C1774" s="17" t="s">
        <v>3860</v>
      </c>
      <c r="D1774" s="17" t="s">
        <v>3861</v>
      </c>
      <c r="E1774" s="16">
        <v>7.5</v>
      </c>
      <c r="F1774" s="7">
        <f t="shared" si="3"/>
        <v>92.5</v>
      </c>
      <c r="G1774" s="17" t="s">
        <v>3113</v>
      </c>
    </row>
    <row r="1775">
      <c r="A1775" s="12">
        <v>367.0</v>
      </c>
      <c r="B1775" s="17" t="s">
        <v>3862</v>
      </c>
      <c r="C1775" s="17" t="s">
        <v>3863</v>
      </c>
      <c r="D1775" s="17" t="s">
        <v>3864</v>
      </c>
      <c r="E1775" s="16">
        <v>7.5</v>
      </c>
      <c r="F1775" s="7">
        <f t="shared" si="3"/>
        <v>92.5</v>
      </c>
      <c r="G1775" s="17" t="s">
        <v>3113</v>
      </c>
    </row>
    <row r="1776">
      <c r="A1776" s="12">
        <v>368.0</v>
      </c>
      <c r="B1776" s="17" t="s">
        <v>3865</v>
      </c>
      <c r="C1776" s="17" t="s">
        <v>3866</v>
      </c>
      <c r="D1776" s="17" t="s">
        <v>3867</v>
      </c>
      <c r="E1776" s="16">
        <v>7.5</v>
      </c>
      <c r="F1776" s="7">
        <f t="shared" si="3"/>
        <v>92.5</v>
      </c>
      <c r="G1776" s="17" t="s">
        <v>3113</v>
      </c>
    </row>
    <row r="1777">
      <c r="A1777" s="12">
        <v>369.0</v>
      </c>
      <c r="B1777" s="17" t="s">
        <v>3868</v>
      </c>
      <c r="C1777" s="17" t="s">
        <v>3869</v>
      </c>
      <c r="D1777" s="17" t="s">
        <v>3870</v>
      </c>
      <c r="E1777" s="16">
        <v>7.5</v>
      </c>
      <c r="F1777" s="7">
        <f t="shared" si="3"/>
        <v>92.5</v>
      </c>
      <c r="G1777" s="17" t="s">
        <v>3113</v>
      </c>
    </row>
    <row r="1778">
      <c r="A1778" s="12">
        <v>370.0</v>
      </c>
      <c r="B1778" s="17" t="s">
        <v>3871</v>
      </c>
      <c r="C1778" s="17" t="s">
        <v>3872</v>
      </c>
      <c r="D1778" s="17" t="s">
        <v>3873</v>
      </c>
      <c r="E1778" s="16">
        <v>7.5</v>
      </c>
      <c r="F1778" s="7">
        <f t="shared" si="3"/>
        <v>92.5</v>
      </c>
      <c r="G1778" s="17" t="s">
        <v>3113</v>
      </c>
    </row>
    <row r="1779">
      <c r="A1779" s="12">
        <v>371.0</v>
      </c>
      <c r="B1779" s="17" t="s">
        <v>3874</v>
      </c>
      <c r="C1779" s="17" t="s">
        <v>3875</v>
      </c>
      <c r="D1779" s="17" t="s">
        <v>3876</v>
      </c>
      <c r="E1779" s="16">
        <v>7.5</v>
      </c>
      <c r="F1779" s="7">
        <f t="shared" si="3"/>
        <v>92.5</v>
      </c>
      <c r="G1779" s="17" t="s">
        <v>3113</v>
      </c>
    </row>
    <row r="1780">
      <c r="A1780" s="12">
        <v>372.0</v>
      </c>
      <c r="B1780" s="17" t="s">
        <v>3877</v>
      </c>
      <c r="C1780" s="17" t="s">
        <v>3878</v>
      </c>
      <c r="D1780" s="17" t="s">
        <v>3879</v>
      </c>
      <c r="E1780" s="16">
        <v>7.5</v>
      </c>
      <c r="F1780" s="7">
        <f t="shared" si="3"/>
        <v>92.5</v>
      </c>
      <c r="G1780" s="17" t="s">
        <v>3113</v>
      </c>
    </row>
    <row r="1781">
      <c r="A1781" s="12">
        <v>373.0</v>
      </c>
      <c r="B1781" s="17" t="s">
        <v>3880</v>
      </c>
      <c r="C1781" s="17" t="s">
        <v>3881</v>
      </c>
      <c r="D1781" s="17" t="s">
        <v>3882</v>
      </c>
      <c r="E1781" s="16">
        <v>7.5</v>
      </c>
      <c r="F1781" s="7">
        <f t="shared" si="3"/>
        <v>92.5</v>
      </c>
      <c r="G1781" s="17" t="s">
        <v>3113</v>
      </c>
    </row>
    <row r="1782">
      <c r="A1782" s="12">
        <v>374.0</v>
      </c>
      <c r="B1782" s="17" t="s">
        <v>3883</v>
      </c>
      <c r="C1782" s="17" t="s">
        <v>3884</v>
      </c>
      <c r="D1782" s="17" t="s">
        <v>3885</v>
      </c>
      <c r="E1782" s="16">
        <v>7.5</v>
      </c>
      <c r="F1782" s="7">
        <f t="shared" si="3"/>
        <v>92.5</v>
      </c>
      <c r="G1782" s="17" t="s">
        <v>3113</v>
      </c>
    </row>
    <row r="1783">
      <c r="A1783" s="12">
        <v>375.0</v>
      </c>
      <c r="B1783" s="17" t="s">
        <v>3886</v>
      </c>
      <c r="C1783" s="17" t="s">
        <v>3887</v>
      </c>
      <c r="D1783" s="17" t="s">
        <v>3888</v>
      </c>
      <c r="E1783" s="16">
        <v>7.5</v>
      </c>
      <c r="F1783" s="7">
        <f t="shared" si="3"/>
        <v>92.5</v>
      </c>
      <c r="G1783" s="17" t="s">
        <v>3113</v>
      </c>
    </row>
    <row r="1784">
      <c r="A1784" s="12">
        <v>376.0</v>
      </c>
      <c r="B1784" s="17" t="s">
        <v>3889</v>
      </c>
      <c r="C1784" s="17" t="s">
        <v>3890</v>
      </c>
      <c r="D1784" s="17" t="s">
        <v>3891</v>
      </c>
      <c r="E1784" s="16">
        <v>7.5</v>
      </c>
      <c r="F1784" s="7">
        <f t="shared" si="3"/>
        <v>92.5</v>
      </c>
      <c r="G1784" s="17" t="s">
        <v>3113</v>
      </c>
    </row>
    <row r="1785">
      <c r="A1785" s="12">
        <v>377.0</v>
      </c>
      <c r="B1785" s="17" t="s">
        <v>3892</v>
      </c>
      <c r="C1785" s="17" t="s">
        <v>3893</v>
      </c>
      <c r="D1785" s="17" t="s">
        <v>3894</v>
      </c>
      <c r="E1785" s="16">
        <v>7.5</v>
      </c>
      <c r="F1785" s="7">
        <f t="shared" si="3"/>
        <v>92.5</v>
      </c>
      <c r="G1785" s="17" t="s">
        <v>3113</v>
      </c>
    </row>
    <row r="1786">
      <c r="A1786" s="12">
        <v>378.0</v>
      </c>
      <c r="B1786" s="17" t="s">
        <v>3895</v>
      </c>
      <c r="C1786" s="17" t="s">
        <v>3896</v>
      </c>
      <c r="D1786" s="17" t="s">
        <v>3897</v>
      </c>
      <c r="E1786" s="16">
        <v>7.5</v>
      </c>
      <c r="F1786" s="7">
        <f t="shared" si="3"/>
        <v>92.5</v>
      </c>
      <c r="G1786" s="17" t="s">
        <v>3113</v>
      </c>
    </row>
    <row r="1787">
      <c r="A1787" s="12">
        <v>379.0</v>
      </c>
      <c r="B1787" s="17" t="s">
        <v>3898</v>
      </c>
      <c r="C1787" s="17" t="s">
        <v>3899</v>
      </c>
      <c r="D1787" s="17" t="s">
        <v>3900</v>
      </c>
      <c r="E1787" s="16">
        <v>7.5</v>
      </c>
      <c r="F1787" s="7">
        <f t="shared" si="3"/>
        <v>92.5</v>
      </c>
      <c r="G1787" s="17" t="s">
        <v>3113</v>
      </c>
    </row>
    <row r="1788">
      <c r="A1788" s="12">
        <v>380.0</v>
      </c>
      <c r="B1788" s="17" t="s">
        <v>3901</v>
      </c>
      <c r="C1788" s="17" t="s">
        <v>3902</v>
      </c>
      <c r="D1788" s="17" t="s">
        <v>3903</v>
      </c>
      <c r="E1788" s="16">
        <v>7.5</v>
      </c>
      <c r="F1788" s="7">
        <f t="shared" si="3"/>
        <v>92.5</v>
      </c>
      <c r="G1788" s="17" t="s">
        <v>3113</v>
      </c>
    </row>
    <row r="1789">
      <c r="A1789" s="12">
        <v>381.0</v>
      </c>
      <c r="B1789" s="17" t="s">
        <v>3904</v>
      </c>
      <c r="C1789" s="17" t="s">
        <v>3905</v>
      </c>
      <c r="D1789" s="17" t="s">
        <v>3906</v>
      </c>
      <c r="E1789" s="16">
        <v>7.5</v>
      </c>
      <c r="F1789" s="7">
        <f t="shared" si="3"/>
        <v>92.5</v>
      </c>
      <c r="G1789" s="17" t="s">
        <v>3113</v>
      </c>
    </row>
    <row r="1790">
      <c r="A1790" s="12">
        <v>382.0</v>
      </c>
      <c r="B1790" s="17" t="s">
        <v>3907</v>
      </c>
      <c r="C1790" s="17" t="s">
        <v>3908</v>
      </c>
      <c r="D1790" s="17" t="s">
        <v>3909</v>
      </c>
      <c r="E1790" s="16">
        <v>7.5</v>
      </c>
      <c r="F1790" s="7">
        <f t="shared" si="3"/>
        <v>92.5</v>
      </c>
      <c r="G1790" s="17" t="s">
        <v>3113</v>
      </c>
    </row>
    <row r="1791">
      <c r="A1791" s="12">
        <v>383.0</v>
      </c>
      <c r="B1791" s="17" t="s">
        <v>3910</v>
      </c>
      <c r="C1791" s="17" t="s">
        <v>3911</v>
      </c>
      <c r="D1791" s="17" t="s">
        <v>3912</v>
      </c>
      <c r="E1791" s="16">
        <v>7.5</v>
      </c>
      <c r="F1791" s="7">
        <f t="shared" si="3"/>
        <v>92.5</v>
      </c>
      <c r="G1791" s="17" t="s">
        <v>3113</v>
      </c>
    </row>
    <row r="1792">
      <c r="A1792" s="12">
        <v>384.0</v>
      </c>
      <c r="B1792" s="17" t="s">
        <v>3913</v>
      </c>
      <c r="C1792" s="17" t="s">
        <v>3914</v>
      </c>
      <c r="D1792" s="17" t="s">
        <v>3915</v>
      </c>
      <c r="E1792" s="16">
        <v>7.5</v>
      </c>
      <c r="F1792" s="7">
        <f t="shared" si="3"/>
        <v>92.5</v>
      </c>
      <c r="G1792" s="17" t="s">
        <v>3113</v>
      </c>
    </row>
    <row r="1793">
      <c r="A1793" s="12">
        <v>385.0</v>
      </c>
      <c r="B1793" s="17" t="s">
        <v>3916</v>
      </c>
      <c r="C1793" s="17" t="s">
        <v>3917</v>
      </c>
      <c r="D1793" s="17" t="s">
        <v>3918</v>
      </c>
      <c r="E1793" s="16">
        <v>7.5</v>
      </c>
      <c r="F1793" s="7">
        <f t="shared" si="3"/>
        <v>92.5</v>
      </c>
      <c r="G1793" s="17" t="s">
        <v>3113</v>
      </c>
    </row>
    <row r="1794">
      <c r="A1794" s="12">
        <v>386.0</v>
      </c>
      <c r="B1794" s="17" t="s">
        <v>3919</v>
      </c>
      <c r="C1794" s="17" t="s">
        <v>3920</v>
      </c>
      <c r="D1794" s="17" t="s">
        <v>3921</v>
      </c>
      <c r="E1794" s="16">
        <v>7.5</v>
      </c>
      <c r="F1794" s="7">
        <f t="shared" si="3"/>
        <v>92.5</v>
      </c>
      <c r="G1794" s="17" t="s">
        <v>3113</v>
      </c>
    </row>
    <row r="1795">
      <c r="A1795" s="12">
        <v>387.0</v>
      </c>
      <c r="B1795" s="17" t="s">
        <v>3922</v>
      </c>
      <c r="C1795" s="17" t="s">
        <v>3923</v>
      </c>
      <c r="D1795" s="17" t="s">
        <v>3924</v>
      </c>
      <c r="E1795" s="16">
        <v>7.5</v>
      </c>
      <c r="F1795" s="7">
        <f t="shared" si="3"/>
        <v>92.5</v>
      </c>
      <c r="G1795" s="17" t="s">
        <v>3113</v>
      </c>
    </row>
    <row r="1796">
      <c r="A1796" s="12">
        <v>388.0</v>
      </c>
      <c r="B1796" s="17" t="s">
        <v>3925</v>
      </c>
      <c r="C1796" s="17" t="s">
        <v>3926</v>
      </c>
      <c r="D1796" s="17" t="s">
        <v>3927</v>
      </c>
      <c r="E1796" s="16">
        <v>7.5</v>
      </c>
      <c r="F1796" s="7">
        <f t="shared" si="3"/>
        <v>92.5</v>
      </c>
      <c r="G1796" s="17" t="s">
        <v>3113</v>
      </c>
    </row>
    <row r="1797">
      <c r="A1797" s="12">
        <v>389.0</v>
      </c>
      <c r="B1797" s="17" t="s">
        <v>3928</v>
      </c>
      <c r="C1797" s="17" t="s">
        <v>3929</v>
      </c>
      <c r="D1797" s="17" t="s">
        <v>3930</v>
      </c>
      <c r="E1797" s="16">
        <v>7.5</v>
      </c>
      <c r="F1797" s="7">
        <f t="shared" si="3"/>
        <v>92.5</v>
      </c>
      <c r="G1797" s="17" t="s">
        <v>3113</v>
      </c>
    </row>
    <row r="1798">
      <c r="A1798" s="12">
        <v>390.0</v>
      </c>
      <c r="B1798" s="17" t="s">
        <v>3931</v>
      </c>
      <c r="C1798" s="17" t="s">
        <v>3932</v>
      </c>
      <c r="D1798" s="17" t="s">
        <v>3933</v>
      </c>
      <c r="E1798" s="16">
        <v>7.5</v>
      </c>
      <c r="F1798" s="7">
        <f t="shared" si="3"/>
        <v>92.5</v>
      </c>
      <c r="G1798" s="17" t="s">
        <v>3113</v>
      </c>
    </row>
    <row r="1799">
      <c r="A1799" s="12">
        <v>391.0</v>
      </c>
      <c r="B1799" s="17" t="s">
        <v>3934</v>
      </c>
      <c r="C1799" s="17" t="s">
        <v>3935</v>
      </c>
      <c r="D1799" s="17" t="s">
        <v>3936</v>
      </c>
      <c r="E1799" s="16">
        <v>7.5</v>
      </c>
      <c r="F1799" s="7">
        <f t="shared" si="3"/>
        <v>92.5</v>
      </c>
      <c r="G1799" s="17" t="s">
        <v>3113</v>
      </c>
    </row>
    <row r="1800">
      <c r="A1800" s="12">
        <v>392.0</v>
      </c>
      <c r="B1800" s="17" t="s">
        <v>3937</v>
      </c>
      <c r="C1800" s="17" t="s">
        <v>3938</v>
      </c>
      <c r="D1800" s="17" t="s">
        <v>3939</v>
      </c>
      <c r="E1800" s="16">
        <v>7.5</v>
      </c>
      <c r="F1800" s="7">
        <f t="shared" si="3"/>
        <v>92.5</v>
      </c>
      <c r="G1800" s="17" t="s">
        <v>3113</v>
      </c>
    </row>
    <row r="1801">
      <c r="A1801" s="12">
        <v>393.0</v>
      </c>
      <c r="B1801" s="17" t="s">
        <v>3940</v>
      </c>
      <c r="C1801" s="17" t="s">
        <v>3941</v>
      </c>
      <c r="D1801" s="17" t="s">
        <v>3942</v>
      </c>
      <c r="E1801" s="16">
        <v>7.5</v>
      </c>
      <c r="F1801" s="7">
        <f t="shared" si="3"/>
        <v>92.5</v>
      </c>
      <c r="G1801" s="17" t="s">
        <v>3113</v>
      </c>
    </row>
    <row r="1802">
      <c r="A1802" s="12">
        <v>394.0</v>
      </c>
      <c r="B1802" s="17" t="s">
        <v>3943</v>
      </c>
      <c r="C1802" s="17" t="s">
        <v>3944</v>
      </c>
      <c r="D1802" s="17" t="s">
        <v>3945</v>
      </c>
      <c r="E1802" s="16">
        <v>7.5</v>
      </c>
      <c r="F1802" s="7">
        <f t="shared" si="3"/>
        <v>92.5</v>
      </c>
      <c r="G1802" s="17" t="s">
        <v>3113</v>
      </c>
    </row>
    <row r="1803">
      <c r="A1803" s="12">
        <v>395.0</v>
      </c>
      <c r="B1803" s="17" t="s">
        <v>3946</v>
      </c>
      <c r="C1803" s="17" t="s">
        <v>3947</v>
      </c>
      <c r="D1803" s="17" t="s">
        <v>3948</v>
      </c>
      <c r="E1803" s="16">
        <v>7.5</v>
      </c>
      <c r="F1803" s="7">
        <f t="shared" si="3"/>
        <v>92.5</v>
      </c>
      <c r="G1803" s="17" t="s">
        <v>3113</v>
      </c>
    </row>
    <row r="1804">
      <c r="A1804" s="12">
        <v>396.0</v>
      </c>
      <c r="B1804" s="17" t="s">
        <v>3949</v>
      </c>
      <c r="C1804" s="17" t="s">
        <v>3950</v>
      </c>
      <c r="D1804" s="17" t="s">
        <v>3951</v>
      </c>
      <c r="E1804" s="16">
        <v>7.5</v>
      </c>
      <c r="F1804" s="7">
        <f t="shared" si="3"/>
        <v>92.5</v>
      </c>
      <c r="G1804" s="17" t="s">
        <v>3113</v>
      </c>
    </row>
    <row r="1805">
      <c r="A1805" s="12">
        <v>397.0</v>
      </c>
      <c r="B1805" s="17" t="s">
        <v>3952</v>
      </c>
      <c r="C1805" s="17" t="s">
        <v>3953</v>
      </c>
      <c r="D1805" s="17" t="s">
        <v>3954</v>
      </c>
      <c r="E1805" s="16">
        <v>7.5</v>
      </c>
      <c r="F1805" s="7">
        <f t="shared" si="3"/>
        <v>92.5</v>
      </c>
      <c r="G1805" s="17" t="s">
        <v>3113</v>
      </c>
    </row>
    <row r="1806">
      <c r="A1806" s="12">
        <v>398.0</v>
      </c>
      <c r="B1806" s="17" t="s">
        <v>3955</v>
      </c>
      <c r="C1806" s="17" t="s">
        <v>3956</v>
      </c>
      <c r="D1806" s="17" t="s">
        <v>3957</v>
      </c>
      <c r="E1806" s="16">
        <v>7.5</v>
      </c>
      <c r="F1806" s="7">
        <f t="shared" si="3"/>
        <v>92.5</v>
      </c>
      <c r="G1806" s="17" t="s">
        <v>3113</v>
      </c>
    </row>
    <row r="1807">
      <c r="A1807" s="12">
        <v>399.0</v>
      </c>
      <c r="B1807" s="17" t="s">
        <v>3958</v>
      </c>
      <c r="C1807" s="17" t="s">
        <v>3959</v>
      </c>
      <c r="D1807" s="17" t="s">
        <v>3960</v>
      </c>
      <c r="E1807" s="16">
        <v>7.5</v>
      </c>
      <c r="F1807" s="7">
        <f t="shared" si="3"/>
        <v>92.5</v>
      </c>
      <c r="G1807" s="17" t="s">
        <v>3113</v>
      </c>
    </row>
    <row r="1808">
      <c r="A1808" s="12">
        <v>400.0</v>
      </c>
      <c r="B1808" s="17" t="s">
        <v>3961</v>
      </c>
      <c r="C1808" s="17" t="s">
        <v>3962</v>
      </c>
      <c r="D1808" s="17" t="s">
        <v>3963</v>
      </c>
      <c r="E1808" s="16">
        <v>7.5</v>
      </c>
      <c r="F1808" s="7">
        <f t="shared" si="3"/>
        <v>92.5</v>
      </c>
      <c r="G1808" s="17" t="s">
        <v>3113</v>
      </c>
    </row>
    <row r="1809">
      <c r="A1809" s="12">
        <v>401.0</v>
      </c>
      <c r="B1809" s="17" t="s">
        <v>3964</v>
      </c>
      <c r="C1809" s="17" t="s">
        <v>3965</v>
      </c>
      <c r="D1809" s="17" t="s">
        <v>3966</v>
      </c>
      <c r="E1809" s="16">
        <v>7.5</v>
      </c>
      <c r="F1809" s="7">
        <f t="shared" si="3"/>
        <v>92.5</v>
      </c>
      <c r="G1809" s="17" t="s">
        <v>3113</v>
      </c>
    </row>
    <row r="1810">
      <c r="A1810" s="12">
        <v>402.0</v>
      </c>
      <c r="B1810" s="17" t="s">
        <v>3967</v>
      </c>
      <c r="C1810" s="17" t="s">
        <v>3968</v>
      </c>
      <c r="D1810" s="17" t="s">
        <v>3969</v>
      </c>
      <c r="E1810" s="16">
        <v>7.5</v>
      </c>
      <c r="F1810" s="7">
        <f t="shared" si="3"/>
        <v>92.5</v>
      </c>
      <c r="G1810" s="17" t="s">
        <v>3113</v>
      </c>
    </row>
    <row r="1811">
      <c r="A1811" s="12">
        <v>403.0</v>
      </c>
      <c r="B1811" s="17" t="s">
        <v>3970</v>
      </c>
      <c r="C1811" s="17" t="s">
        <v>3971</v>
      </c>
      <c r="D1811" s="17" t="s">
        <v>3972</v>
      </c>
      <c r="E1811" s="16">
        <v>7.5</v>
      </c>
      <c r="F1811" s="7">
        <f t="shared" si="3"/>
        <v>92.5</v>
      </c>
      <c r="G1811" s="17" t="s">
        <v>3113</v>
      </c>
    </row>
    <row r="1812">
      <c r="A1812" s="12">
        <v>404.0</v>
      </c>
      <c r="B1812" s="17" t="s">
        <v>3973</v>
      </c>
      <c r="C1812" s="17" t="s">
        <v>3974</v>
      </c>
      <c r="D1812" s="17" t="s">
        <v>3975</v>
      </c>
      <c r="E1812" s="16">
        <v>7.5</v>
      </c>
      <c r="F1812" s="7">
        <f t="shared" si="3"/>
        <v>92.5</v>
      </c>
      <c r="G1812" s="17" t="s">
        <v>3113</v>
      </c>
    </row>
    <row r="1813">
      <c r="A1813" s="12">
        <v>405.0</v>
      </c>
      <c r="B1813" s="17" t="s">
        <v>3976</v>
      </c>
      <c r="C1813" s="17" t="s">
        <v>3977</v>
      </c>
      <c r="D1813" s="17" t="s">
        <v>3978</v>
      </c>
      <c r="E1813" s="16">
        <v>7.5</v>
      </c>
      <c r="F1813" s="7">
        <f t="shared" si="3"/>
        <v>92.5</v>
      </c>
      <c r="G1813" s="17" t="s">
        <v>3113</v>
      </c>
    </row>
    <row r="1814">
      <c r="A1814" s="12">
        <v>406.0</v>
      </c>
      <c r="B1814" s="17" t="s">
        <v>3979</v>
      </c>
      <c r="C1814" s="17" t="s">
        <v>3980</v>
      </c>
      <c r="D1814" s="17" t="s">
        <v>3981</v>
      </c>
      <c r="E1814" s="16">
        <v>7.5</v>
      </c>
      <c r="F1814" s="7">
        <f t="shared" si="3"/>
        <v>92.5</v>
      </c>
      <c r="G1814" s="17" t="s">
        <v>3113</v>
      </c>
    </row>
    <row r="1815">
      <c r="A1815" s="12">
        <v>407.0</v>
      </c>
      <c r="B1815" s="17" t="s">
        <v>3982</v>
      </c>
      <c r="C1815" s="17" t="s">
        <v>3983</v>
      </c>
      <c r="D1815" s="17" t="s">
        <v>3984</v>
      </c>
      <c r="E1815" s="16">
        <v>7.5</v>
      </c>
      <c r="F1815" s="7">
        <f t="shared" si="3"/>
        <v>92.5</v>
      </c>
      <c r="G1815" s="17" t="s">
        <v>3113</v>
      </c>
    </row>
    <row r="1816">
      <c r="A1816" s="12">
        <v>408.0</v>
      </c>
      <c r="B1816" s="17" t="s">
        <v>3985</v>
      </c>
      <c r="C1816" s="17" t="s">
        <v>3986</v>
      </c>
      <c r="D1816" s="17" t="s">
        <v>3987</v>
      </c>
      <c r="E1816" s="16">
        <v>7.5</v>
      </c>
      <c r="F1816" s="7">
        <f t="shared" si="3"/>
        <v>92.5</v>
      </c>
      <c r="G1816" s="17" t="s">
        <v>3113</v>
      </c>
    </row>
    <row r="1817">
      <c r="A1817" s="12">
        <v>409.0</v>
      </c>
      <c r="B1817" s="17" t="s">
        <v>3988</v>
      </c>
      <c r="C1817" s="17" t="s">
        <v>3989</v>
      </c>
      <c r="D1817" s="17" t="s">
        <v>3990</v>
      </c>
      <c r="E1817" s="16">
        <v>7.5</v>
      </c>
      <c r="F1817" s="7">
        <f t="shared" si="3"/>
        <v>92.5</v>
      </c>
      <c r="G1817" s="17" t="s">
        <v>3113</v>
      </c>
    </row>
    <row r="1818">
      <c r="A1818" s="12">
        <v>410.0</v>
      </c>
      <c r="B1818" s="17" t="s">
        <v>3991</v>
      </c>
      <c r="C1818" s="17" t="s">
        <v>3992</v>
      </c>
      <c r="D1818" s="17" t="s">
        <v>3993</v>
      </c>
      <c r="E1818" s="16">
        <v>7.5</v>
      </c>
      <c r="F1818" s="7">
        <f t="shared" si="3"/>
        <v>92.5</v>
      </c>
      <c r="G1818" s="17" t="s">
        <v>3113</v>
      </c>
    </row>
    <row r="1819">
      <c r="A1819" s="12">
        <v>411.0</v>
      </c>
      <c r="B1819" s="17" t="s">
        <v>3994</v>
      </c>
      <c r="C1819" s="17" t="s">
        <v>3995</v>
      </c>
      <c r="D1819" s="17" t="s">
        <v>3996</v>
      </c>
      <c r="E1819" s="16">
        <v>7.5</v>
      </c>
      <c r="F1819" s="7">
        <f t="shared" si="3"/>
        <v>92.5</v>
      </c>
      <c r="G1819" s="17" t="s">
        <v>3113</v>
      </c>
    </row>
    <row r="1820">
      <c r="A1820" s="12">
        <v>412.0</v>
      </c>
      <c r="B1820" s="17" t="s">
        <v>3997</v>
      </c>
      <c r="C1820" s="17" t="s">
        <v>3998</v>
      </c>
      <c r="D1820" s="17" t="s">
        <v>3999</v>
      </c>
      <c r="E1820" s="16">
        <v>7.5</v>
      </c>
      <c r="F1820" s="7">
        <f t="shared" si="3"/>
        <v>92.5</v>
      </c>
      <c r="G1820" s="17" t="s">
        <v>3113</v>
      </c>
    </row>
    <row r="1821">
      <c r="A1821" s="12">
        <v>413.0</v>
      </c>
      <c r="B1821" s="17" t="s">
        <v>4000</v>
      </c>
      <c r="C1821" s="17" t="s">
        <v>4001</v>
      </c>
      <c r="D1821" s="17" t="s">
        <v>4002</v>
      </c>
      <c r="E1821" s="16">
        <v>7.5</v>
      </c>
      <c r="F1821" s="7">
        <f t="shared" si="3"/>
        <v>92.5</v>
      </c>
      <c r="G1821" s="17" t="s">
        <v>3113</v>
      </c>
    </row>
    <row r="1822">
      <c r="A1822" s="12">
        <v>414.0</v>
      </c>
      <c r="B1822" s="17" t="s">
        <v>4003</v>
      </c>
      <c r="C1822" s="17" t="s">
        <v>4004</v>
      </c>
      <c r="D1822" s="17" t="s">
        <v>4002</v>
      </c>
      <c r="E1822" s="16">
        <v>7.5</v>
      </c>
      <c r="F1822" s="7">
        <f t="shared" si="3"/>
        <v>92.5</v>
      </c>
      <c r="G1822" s="17" t="s">
        <v>3113</v>
      </c>
    </row>
    <row r="1823">
      <c r="A1823" s="12">
        <v>415.0</v>
      </c>
      <c r="B1823" s="17" t="s">
        <v>4005</v>
      </c>
      <c r="C1823" s="17" t="s">
        <v>4006</v>
      </c>
      <c r="D1823" s="17" t="s">
        <v>4007</v>
      </c>
      <c r="E1823" s="16">
        <v>7.5</v>
      </c>
      <c r="F1823" s="7">
        <f t="shared" si="3"/>
        <v>92.5</v>
      </c>
      <c r="G1823" s="17" t="s">
        <v>3113</v>
      </c>
    </row>
    <row r="1824">
      <c r="A1824" s="12">
        <v>416.0</v>
      </c>
      <c r="B1824" s="17" t="s">
        <v>4008</v>
      </c>
      <c r="C1824" s="17" t="s">
        <v>4009</v>
      </c>
      <c r="D1824" s="17" t="s">
        <v>4010</v>
      </c>
      <c r="E1824" s="16">
        <v>7.5</v>
      </c>
      <c r="F1824" s="7">
        <f t="shared" si="3"/>
        <v>92.5</v>
      </c>
      <c r="G1824" s="17" t="s">
        <v>3113</v>
      </c>
    </row>
    <row r="1825">
      <c r="A1825" s="12">
        <v>417.0</v>
      </c>
      <c r="B1825" s="17" t="s">
        <v>4011</v>
      </c>
      <c r="C1825" s="17" t="s">
        <v>4012</v>
      </c>
      <c r="D1825" s="17" t="s">
        <v>4013</v>
      </c>
      <c r="E1825" s="16">
        <v>7.5</v>
      </c>
      <c r="F1825" s="7">
        <f t="shared" si="3"/>
        <v>92.5</v>
      </c>
      <c r="G1825" s="17" t="s">
        <v>3113</v>
      </c>
    </row>
    <row r="1826">
      <c r="A1826" s="12">
        <v>418.0</v>
      </c>
      <c r="B1826" s="17" t="s">
        <v>4014</v>
      </c>
      <c r="C1826" s="17" t="s">
        <v>4015</v>
      </c>
      <c r="D1826" s="17" t="s">
        <v>4016</v>
      </c>
      <c r="E1826" s="16">
        <v>7.5</v>
      </c>
      <c r="F1826" s="7">
        <f t="shared" si="3"/>
        <v>92.5</v>
      </c>
      <c r="G1826" s="17" t="s">
        <v>3113</v>
      </c>
    </row>
    <row r="1827">
      <c r="A1827" s="12">
        <v>419.0</v>
      </c>
      <c r="B1827" s="17" t="s">
        <v>4017</v>
      </c>
      <c r="C1827" s="17" t="s">
        <v>4018</v>
      </c>
      <c r="D1827" s="17" t="s">
        <v>4019</v>
      </c>
      <c r="E1827" s="16">
        <v>7.5</v>
      </c>
      <c r="F1827" s="7">
        <f t="shared" si="3"/>
        <v>92.5</v>
      </c>
      <c r="G1827" s="17" t="s">
        <v>3113</v>
      </c>
    </row>
    <row r="1828">
      <c r="A1828" s="12">
        <v>420.0</v>
      </c>
      <c r="B1828" s="17" t="s">
        <v>4020</v>
      </c>
      <c r="C1828" s="17" t="s">
        <v>4021</v>
      </c>
      <c r="D1828" s="17" t="s">
        <v>4022</v>
      </c>
      <c r="E1828" s="16">
        <v>7.5</v>
      </c>
      <c r="F1828" s="7">
        <f t="shared" si="3"/>
        <v>92.5</v>
      </c>
      <c r="G1828" s="17" t="s">
        <v>3113</v>
      </c>
    </row>
    <row r="1829">
      <c r="A1829" s="12">
        <v>421.0</v>
      </c>
      <c r="B1829" s="17" t="s">
        <v>4023</v>
      </c>
      <c r="C1829" s="17" t="s">
        <v>4024</v>
      </c>
      <c r="D1829" s="17" t="s">
        <v>4025</v>
      </c>
      <c r="E1829" s="16">
        <v>7.5</v>
      </c>
      <c r="F1829" s="7">
        <f t="shared" si="3"/>
        <v>92.5</v>
      </c>
      <c r="G1829" s="17" t="s">
        <v>3113</v>
      </c>
    </row>
    <row r="1830">
      <c r="A1830" s="12">
        <v>422.0</v>
      </c>
      <c r="B1830" s="17" t="s">
        <v>4026</v>
      </c>
      <c r="C1830" s="17" t="s">
        <v>4027</v>
      </c>
      <c r="D1830" s="17" t="s">
        <v>4028</v>
      </c>
      <c r="E1830" s="16">
        <v>7.5</v>
      </c>
      <c r="F1830" s="7">
        <f t="shared" si="3"/>
        <v>92.5</v>
      </c>
      <c r="G1830" s="17" t="s">
        <v>3113</v>
      </c>
    </row>
    <row r="1831">
      <c r="A1831" s="12">
        <v>423.0</v>
      </c>
      <c r="B1831" s="17" t="s">
        <v>4029</v>
      </c>
      <c r="C1831" s="17" t="s">
        <v>4030</v>
      </c>
      <c r="D1831" s="17" t="s">
        <v>4031</v>
      </c>
      <c r="E1831" s="16">
        <v>7.5</v>
      </c>
      <c r="F1831" s="7">
        <f t="shared" si="3"/>
        <v>92.5</v>
      </c>
      <c r="G1831" s="17" t="s">
        <v>3113</v>
      </c>
    </row>
    <row r="1832">
      <c r="A1832" s="12">
        <v>424.0</v>
      </c>
      <c r="B1832" s="17" t="s">
        <v>4032</v>
      </c>
      <c r="C1832" s="17" t="s">
        <v>4033</v>
      </c>
      <c r="D1832" s="17" t="s">
        <v>4034</v>
      </c>
      <c r="E1832" s="16">
        <v>7.5</v>
      </c>
      <c r="F1832" s="7">
        <f t="shared" si="3"/>
        <v>92.5</v>
      </c>
      <c r="G1832" s="17" t="s">
        <v>3113</v>
      </c>
    </row>
    <row r="1833">
      <c r="A1833" s="12">
        <v>425.0</v>
      </c>
      <c r="B1833" s="17" t="s">
        <v>4035</v>
      </c>
      <c r="C1833" s="17" t="s">
        <v>4036</v>
      </c>
      <c r="D1833" s="17" t="s">
        <v>4037</v>
      </c>
      <c r="E1833" s="16">
        <v>7.5</v>
      </c>
      <c r="F1833" s="7">
        <f t="shared" si="3"/>
        <v>92.5</v>
      </c>
      <c r="G1833" s="17" t="s">
        <v>3113</v>
      </c>
    </row>
    <row r="1834">
      <c r="A1834" s="12">
        <v>426.0</v>
      </c>
      <c r="B1834" s="17" t="s">
        <v>4038</v>
      </c>
      <c r="C1834" s="17" t="s">
        <v>4039</v>
      </c>
      <c r="D1834" s="17" t="s">
        <v>4040</v>
      </c>
      <c r="E1834" s="16">
        <v>7.5</v>
      </c>
      <c r="F1834" s="7">
        <f t="shared" si="3"/>
        <v>92.5</v>
      </c>
      <c r="G1834" s="17" t="s">
        <v>3113</v>
      </c>
    </row>
    <row r="1835">
      <c r="A1835" s="12">
        <v>427.0</v>
      </c>
      <c r="B1835" s="17" t="s">
        <v>4041</v>
      </c>
      <c r="C1835" s="17" t="s">
        <v>4042</v>
      </c>
      <c r="D1835" s="17" t="s">
        <v>4043</v>
      </c>
      <c r="E1835" s="16">
        <v>7.5</v>
      </c>
      <c r="F1835" s="7">
        <f t="shared" si="3"/>
        <v>92.5</v>
      </c>
      <c r="G1835" s="17" t="s">
        <v>3113</v>
      </c>
    </row>
    <row r="1836">
      <c r="A1836" s="12">
        <v>428.0</v>
      </c>
      <c r="B1836" s="17" t="s">
        <v>4044</v>
      </c>
      <c r="C1836" s="17" t="s">
        <v>4045</v>
      </c>
      <c r="D1836" s="17" t="s">
        <v>4046</v>
      </c>
      <c r="E1836" s="16">
        <v>7.5</v>
      </c>
      <c r="F1836" s="7">
        <f t="shared" si="3"/>
        <v>92.5</v>
      </c>
      <c r="G1836" s="17" t="s">
        <v>3113</v>
      </c>
    </row>
    <row r="1837">
      <c r="A1837" s="12">
        <v>429.0</v>
      </c>
      <c r="B1837" s="17" t="s">
        <v>4047</v>
      </c>
      <c r="C1837" s="17" t="s">
        <v>4048</v>
      </c>
      <c r="D1837" s="17" t="s">
        <v>4049</v>
      </c>
      <c r="E1837" s="16">
        <v>7.5</v>
      </c>
      <c r="F1837" s="7">
        <f t="shared" si="3"/>
        <v>92.5</v>
      </c>
      <c r="G1837" s="17" t="s">
        <v>3113</v>
      </c>
    </row>
    <row r="1838">
      <c r="A1838" s="12">
        <v>430.0</v>
      </c>
      <c r="B1838" s="17" t="s">
        <v>4050</v>
      </c>
      <c r="C1838" s="17" t="s">
        <v>4051</v>
      </c>
      <c r="D1838" s="17" t="s">
        <v>4052</v>
      </c>
      <c r="E1838" s="16">
        <v>7.5</v>
      </c>
      <c r="F1838" s="7">
        <f t="shared" si="3"/>
        <v>92.5</v>
      </c>
      <c r="G1838" s="17" t="s">
        <v>3113</v>
      </c>
    </row>
    <row r="1839">
      <c r="A1839" s="12">
        <v>431.0</v>
      </c>
      <c r="B1839" s="17" t="s">
        <v>4053</v>
      </c>
      <c r="C1839" s="17" t="s">
        <v>4054</v>
      </c>
      <c r="D1839" s="17" t="s">
        <v>4055</v>
      </c>
      <c r="E1839" s="16">
        <v>7.5</v>
      </c>
      <c r="F1839" s="7">
        <f t="shared" si="3"/>
        <v>92.5</v>
      </c>
      <c r="G1839" s="17" t="s">
        <v>3113</v>
      </c>
    </row>
    <row r="1840">
      <c r="A1840" s="12">
        <v>432.0</v>
      </c>
      <c r="B1840" s="17" t="s">
        <v>4056</v>
      </c>
      <c r="C1840" s="17" t="s">
        <v>4057</v>
      </c>
      <c r="D1840" s="17" t="s">
        <v>4058</v>
      </c>
      <c r="E1840" s="16">
        <v>7.5</v>
      </c>
      <c r="F1840" s="7">
        <f t="shared" si="3"/>
        <v>92.5</v>
      </c>
      <c r="G1840" s="17" t="s">
        <v>3113</v>
      </c>
    </row>
    <row r="1841">
      <c r="A1841" s="12">
        <v>433.0</v>
      </c>
      <c r="B1841" s="17" t="s">
        <v>4059</v>
      </c>
      <c r="C1841" s="17" t="s">
        <v>4060</v>
      </c>
      <c r="D1841" s="17" t="s">
        <v>4061</v>
      </c>
      <c r="E1841" s="16">
        <v>7.5</v>
      </c>
      <c r="F1841" s="7">
        <f t="shared" si="3"/>
        <v>92.5</v>
      </c>
      <c r="G1841" s="17" t="s">
        <v>3113</v>
      </c>
    </row>
    <row r="1842">
      <c r="A1842" s="12">
        <v>434.0</v>
      </c>
      <c r="B1842" s="17" t="s">
        <v>4062</v>
      </c>
      <c r="C1842" s="17" t="s">
        <v>4063</v>
      </c>
      <c r="D1842" s="17" t="s">
        <v>4064</v>
      </c>
      <c r="E1842" s="16">
        <v>7.5</v>
      </c>
      <c r="F1842" s="7">
        <f t="shared" si="3"/>
        <v>92.5</v>
      </c>
      <c r="G1842" s="17" t="s">
        <v>3113</v>
      </c>
    </row>
    <row r="1843">
      <c r="A1843" s="12">
        <v>435.0</v>
      </c>
      <c r="B1843" s="17" t="s">
        <v>4062</v>
      </c>
      <c r="C1843" s="17" t="s">
        <v>4065</v>
      </c>
      <c r="D1843" s="17" t="s">
        <v>4066</v>
      </c>
      <c r="E1843" s="16">
        <v>7.5</v>
      </c>
      <c r="F1843" s="7">
        <f t="shared" si="3"/>
        <v>92.5</v>
      </c>
      <c r="G1843" s="17" t="s">
        <v>3113</v>
      </c>
    </row>
    <row r="1844">
      <c r="A1844" s="12">
        <v>436.0</v>
      </c>
      <c r="B1844" s="17" t="s">
        <v>4067</v>
      </c>
      <c r="C1844" s="17" t="s">
        <v>4068</v>
      </c>
      <c r="D1844" s="17" t="s">
        <v>4069</v>
      </c>
      <c r="E1844" s="16">
        <v>7.5</v>
      </c>
      <c r="F1844" s="7">
        <f t="shared" si="3"/>
        <v>92.5</v>
      </c>
      <c r="G1844" s="17" t="s">
        <v>3113</v>
      </c>
    </row>
    <row r="1845">
      <c r="A1845" s="12">
        <v>437.0</v>
      </c>
      <c r="B1845" s="17" t="s">
        <v>4070</v>
      </c>
      <c r="C1845" s="17" t="s">
        <v>4071</v>
      </c>
      <c r="D1845" s="17" t="s">
        <v>4072</v>
      </c>
      <c r="E1845" s="16">
        <v>7.5</v>
      </c>
      <c r="F1845" s="7">
        <f t="shared" si="3"/>
        <v>92.5</v>
      </c>
      <c r="G1845" s="17" t="s">
        <v>3113</v>
      </c>
    </row>
    <row r="1846">
      <c r="A1846" s="12">
        <v>438.0</v>
      </c>
      <c r="B1846" s="17" t="s">
        <v>4073</v>
      </c>
      <c r="C1846" s="17" t="s">
        <v>4074</v>
      </c>
      <c r="D1846" s="17" t="s">
        <v>4075</v>
      </c>
      <c r="E1846" s="16">
        <v>7.5</v>
      </c>
      <c r="F1846" s="7">
        <f t="shared" si="3"/>
        <v>92.5</v>
      </c>
      <c r="G1846" s="17" t="s">
        <v>3113</v>
      </c>
    </row>
    <row r="1847">
      <c r="A1847" s="12">
        <v>439.0</v>
      </c>
      <c r="B1847" s="17" t="s">
        <v>4076</v>
      </c>
      <c r="C1847" s="17" t="s">
        <v>4077</v>
      </c>
      <c r="D1847" s="17" t="s">
        <v>4078</v>
      </c>
      <c r="E1847" s="16">
        <v>7.5</v>
      </c>
      <c r="F1847" s="7">
        <f t="shared" si="3"/>
        <v>92.5</v>
      </c>
      <c r="G1847" s="17" t="s">
        <v>3113</v>
      </c>
    </row>
    <row r="1848">
      <c r="A1848" s="12">
        <v>440.0</v>
      </c>
      <c r="B1848" s="17" t="s">
        <v>4079</v>
      </c>
      <c r="C1848" s="17" t="s">
        <v>4080</v>
      </c>
      <c r="D1848" s="17" t="s">
        <v>4081</v>
      </c>
      <c r="E1848" s="16">
        <v>7.5</v>
      </c>
      <c r="F1848" s="7">
        <f t="shared" si="3"/>
        <v>92.5</v>
      </c>
      <c r="G1848" s="17" t="s">
        <v>3113</v>
      </c>
    </row>
    <row r="1849">
      <c r="A1849" s="12">
        <v>441.0</v>
      </c>
      <c r="B1849" s="17" t="s">
        <v>4082</v>
      </c>
      <c r="C1849" s="17" t="s">
        <v>4083</v>
      </c>
      <c r="D1849" s="17" t="s">
        <v>4084</v>
      </c>
      <c r="E1849" s="16">
        <v>7.5</v>
      </c>
      <c r="F1849" s="7">
        <f t="shared" si="3"/>
        <v>92.5</v>
      </c>
      <c r="G1849" s="17" t="s">
        <v>3113</v>
      </c>
    </row>
    <row r="1850">
      <c r="A1850" s="12">
        <v>442.0</v>
      </c>
      <c r="B1850" s="17" t="s">
        <v>4085</v>
      </c>
      <c r="C1850" s="17" t="s">
        <v>4086</v>
      </c>
      <c r="D1850" s="17" t="s">
        <v>4087</v>
      </c>
      <c r="E1850" s="16">
        <v>7.5</v>
      </c>
      <c r="F1850" s="7">
        <f t="shared" si="3"/>
        <v>92.5</v>
      </c>
      <c r="G1850" s="17" t="s">
        <v>3113</v>
      </c>
    </row>
    <row r="1851">
      <c r="A1851" s="12">
        <v>443.0</v>
      </c>
      <c r="B1851" s="17" t="s">
        <v>4088</v>
      </c>
      <c r="C1851" s="17" t="s">
        <v>4089</v>
      </c>
      <c r="D1851" s="17" t="s">
        <v>4090</v>
      </c>
      <c r="E1851" s="16">
        <v>7.5</v>
      </c>
      <c r="F1851" s="7">
        <f t="shared" si="3"/>
        <v>92.5</v>
      </c>
      <c r="G1851" s="17" t="s">
        <v>3113</v>
      </c>
    </row>
    <row r="1852">
      <c r="A1852" s="12">
        <v>444.0</v>
      </c>
      <c r="B1852" s="17" t="s">
        <v>4088</v>
      </c>
      <c r="C1852" s="17" t="s">
        <v>4091</v>
      </c>
      <c r="D1852" s="17" t="s">
        <v>4092</v>
      </c>
      <c r="E1852" s="16">
        <v>7.5</v>
      </c>
      <c r="F1852" s="7">
        <f t="shared" si="3"/>
        <v>92.5</v>
      </c>
      <c r="G1852" s="17" t="s">
        <v>3113</v>
      </c>
    </row>
    <row r="1853">
      <c r="A1853" s="12">
        <v>445.0</v>
      </c>
      <c r="B1853" s="17" t="s">
        <v>4093</v>
      </c>
      <c r="C1853" s="17" t="s">
        <v>4094</v>
      </c>
      <c r="D1853" s="17" t="s">
        <v>4095</v>
      </c>
      <c r="E1853" s="16">
        <v>7.5</v>
      </c>
      <c r="F1853" s="7">
        <f t="shared" si="3"/>
        <v>92.5</v>
      </c>
      <c r="G1853" s="17" t="s">
        <v>3113</v>
      </c>
    </row>
    <row r="1854">
      <c r="A1854" s="12">
        <v>446.0</v>
      </c>
      <c r="B1854" s="17" t="s">
        <v>4096</v>
      </c>
      <c r="C1854" s="17" t="s">
        <v>4097</v>
      </c>
      <c r="D1854" s="17" t="s">
        <v>4098</v>
      </c>
      <c r="E1854" s="16">
        <v>7.5</v>
      </c>
      <c r="F1854" s="7">
        <f t="shared" si="3"/>
        <v>92.5</v>
      </c>
      <c r="G1854" s="17" t="s">
        <v>3113</v>
      </c>
    </row>
    <row r="1855">
      <c r="A1855" s="12">
        <v>447.0</v>
      </c>
      <c r="B1855" s="17" t="s">
        <v>4096</v>
      </c>
      <c r="C1855" s="17" t="s">
        <v>4099</v>
      </c>
      <c r="D1855" s="17" t="s">
        <v>4100</v>
      </c>
      <c r="E1855" s="16">
        <v>7.5</v>
      </c>
      <c r="F1855" s="7">
        <f t="shared" si="3"/>
        <v>92.5</v>
      </c>
      <c r="G1855" s="17" t="s">
        <v>3113</v>
      </c>
    </row>
    <row r="1856">
      <c r="A1856" s="12">
        <v>448.0</v>
      </c>
      <c r="B1856" s="17" t="s">
        <v>4101</v>
      </c>
      <c r="C1856" s="17" t="s">
        <v>4102</v>
      </c>
      <c r="D1856" s="17" t="s">
        <v>4103</v>
      </c>
      <c r="E1856" s="16">
        <v>7.5</v>
      </c>
      <c r="F1856" s="7">
        <f t="shared" si="3"/>
        <v>92.5</v>
      </c>
      <c r="G1856" s="17" t="s">
        <v>3113</v>
      </c>
    </row>
    <row r="1857">
      <c r="A1857" s="12">
        <v>449.0</v>
      </c>
      <c r="B1857" s="17" t="s">
        <v>4104</v>
      </c>
      <c r="C1857" s="17" t="s">
        <v>4105</v>
      </c>
      <c r="D1857" s="17" t="s">
        <v>4106</v>
      </c>
      <c r="E1857" s="16">
        <v>7.5</v>
      </c>
      <c r="F1857" s="7">
        <f t="shared" si="3"/>
        <v>92.5</v>
      </c>
      <c r="G1857" s="17" t="s">
        <v>3113</v>
      </c>
    </row>
    <row r="1858">
      <c r="A1858" s="12">
        <v>450.0</v>
      </c>
      <c r="B1858" s="17" t="s">
        <v>4104</v>
      </c>
      <c r="C1858" s="17" t="s">
        <v>4107</v>
      </c>
      <c r="D1858" s="17" t="s">
        <v>4108</v>
      </c>
      <c r="E1858" s="16">
        <v>7.5</v>
      </c>
      <c r="F1858" s="7">
        <f t="shared" si="3"/>
        <v>92.5</v>
      </c>
      <c r="G1858" s="17" t="s">
        <v>3113</v>
      </c>
    </row>
    <row r="1859">
      <c r="A1859" s="12">
        <v>451.0</v>
      </c>
      <c r="B1859" s="17" t="s">
        <v>4109</v>
      </c>
      <c r="C1859" s="17" t="s">
        <v>4110</v>
      </c>
      <c r="D1859" s="17" t="s">
        <v>4111</v>
      </c>
      <c r="E1859" s="16">
        <v>7.5</v>
      </c>
      <c r="F1859" s="7">
        <f t="shared" si="3"/>
        <v>92.5</v>
      </c>
      <c r="G1859" s="17" t="s">
        <v>3113</v>
      </c>
    </row>
    <row r="1860">
      <c r="A1860" s="12">
        <v>452.0</v>
      </c>
      <c r="B1860" s="17" t="s">
        <v>4112</v>
      </c>
      <c r="C1860" s="17" t="s">
        <v>4113</v>
      </c>
      <c r="D1860" s="17" t="s">
        <v>4114</v>
      </c>
      <c r="E1860" s="16">
        <v>7.5</v>
      </c>
      <c r="F1860" s="7">
        <f t="shared" si="3"/>
        <v>92.5</v>
      </c>
      <c r="G1860" s="17" t="s">
        <v>3113</v>
      </c>
    </row>
    <row r="1861">
      <c r="A1861" s="12">
        <v>453.0</v>
      </c>
      <c r="B1861" s="17" t="s">
        <v>4112</v>
      </c>
      <c r="C1861" s="17" t="s">
        <v>4115</v>
      </c>
      <c r="D1861" s="17" t="s">
        <v>4116</v>
      </c>
      <c r="E1861" s="16">
        <v>7.5</v>
      </c>
      <c r="F1861" s="7">
        <f t="shared" si="3"/>
        <v>92.5</v>
      </c>
      <c r="G1861" s="17" t="s">
        <v>3113</v>
      </c>
    </row>
    <row r="1862">
      <c r="A1862" s="12">
        <v>454.0</v>
      </c>
      <c r="B1862" s="17" t="s">
        <v>4117</v>
      </c>
      <c r="C1862" s="17" t="s">
        <v>4118</v>
      </c>
      <c r="D1862" s="17" t="s">
        <v>4119</v>
      </c>
      <c r="E1862" s="16">
        <v>7.5</v>
      </c>
      <c r="F1862" s="7">
        <f t="shared" si="3"/>
        <v>92.5</v>
      </c>
      <c r="G1862" s="17" t="s">
        <v>3113</v>
      </c>
    </row>
    <row r="1863">
      <c r="A1863" s="12">
        <v>455.0</v>
      </c>
      <c r="B1863" s="17" t="s">
        <v>4120</v>
      </c>
      <c r="C1863" s="17" t="s">
        <v>4121</v>
      </c>
      <c r="D1863" s="17" t="s">
        <v>4122</v>
      </c>
      <c r="E1863" s="16">
        <v>7.5</v>
      </c>
      <c r="F1863" s="7">
        <f t="shared" si="3"/>
        <v>92.5</v>
      </c>
      <c r="G1863" s="17" t="s">
        <v>3113</v>
      </c>
    </row>
    <row r="1864">
      <c r="A1864" s="12">
        <v>456.0</v>
      </c>
      <c r="B1864" s="17" t="s">
        <v>4120</v>
      </c>
      <c r="C1864" s="17" t="s">
        <v>4123</v>
      </c>
      <c r="D1864" s="17" t="s">
        <v>4124</v>
      </c>
      <c r="E1864" s="16">
        <v>7.5</v>
      </c>
      <c r="F1864" s="7">
        <f t="shared" si="3"/>
        <v>92.5</v>
      </c>
      <c r="G1864" s="17" t="s">
        <v>3113</v>
      </c>
    </row>
    <row r="1865">
      <c r="A1865" s="12">
        <v>457.0</v>
      </c>
      <c r="B1865" s="17" t="s">
        <v>4125</v>
      </c>
      <c r="C1865" s="17" t="s">
        <v>4126</v>
      </c>
      <c r="D1865" s="17" t="s">
        <v>4127</v>
      </c>
      <c r="E1865" s="16">
        <v>7.5</v>
      </c>
      <c r="F1865" s="7">
        <f t="shared" si="3"/>
        <v>92.5</v>
      </c>
      <c r="G1865" s="17" t="s">
        <v>3113</v>
      </c>
    </row>
    <row r="1866">
      <c r="A1866" s="12">
        <v>458.0</v>
      </c>
      <c r="B1866" s="17" t="s">
        <v>4128</v>
      </c>
      <c r="C1866" s="17" t="s">
        <v>4129</v>
      </c>
      <c r="D1866" s="17" t="s">
        <v>4130</v>
      </c>
      <c r="E1866" s="16">
        <v>7.5</v>
      </c>
      <c r="F1866" s="7">
        <f t="shared" si="3"/>
        <v>92.5</v>
      </c>
      <c r="G1866" s="17" t="s">
        <v>3113</v>
      </c>
    </row>
    <row r="1867">
      <c r="A1867" s="12">
        <v>459.0</v>
      </c>
      <c r="B1867" s="17" t="s">
        <v>4128</v>
      </c>
      <c r="C1867" s="17" t="s">
        <v>4131</v>
      </c>
      <c r="D1867" s="17" t="s">
        <v>4132</v>
      </c>
      <c r="E1867" s="16">
        <v>7.5</v>
      </c>
      <c r="F1867" s="7">
        <f t="shared" si="3"/>
        <v>92.5</v>
      </c>
      <c r="G1867" s="17" t="s">
        <v>3113</v>
      </c>
    </row>
    <row r="1868">
      <c r="A1868" s="12">
        <v>460.0</v>
      </c>
      <c r="B1868" s="17" t="s">
        <v>4133</v>
      </c>
      <c r="C1868" s="17" t="s">
        <v>4134</v>
      </c>
      <c r="D1868" s="17" t="s">
        <v>4135</v>
      </c>
      <c r="E1868" s="16">
        <v>7.5</v>
      </c>
      <c r="F1868" s="7">
        <f t="shared" si="3"/>
        <v>92.5</v>
      </c>
      <c r="G1868" s="17" t="s">
        <v>3113</v>
      </c>
    </row>
    <row r="1869">
      <c r="A1869" s="12">
        <v>461.0</v>
      </c>
      <c r="B1869" s="17" t="s">
        <v>4136</v>
      </c>
      <c r="C1869" s="17" t="s">
        <v>4137</v>
      </c>
      <c r="D1869" s="17" t="s">
        <v>4138</v>
      </c>
      <c r="E1869" s="16">
        <v>7.5</v>
      </c>
      <c r="F1869" s="7">
        <f t="shared" si="3"/>
        <v>92.5</v>
      </c>
      <c r="G1869" s="17" t="s">
        <v>3113</v>
      </c>
    </row>
    <row r="1870">
      <c r="A1870" s="12">
        <v>462.0</v>
      </c>
      <c r="B1870" s="17" t="s">
        <v>4136</v>
      </c>
      <c r="C1870" s="17" t="s">
        <v>4139</v>
      </c>
      <c r="D1870" s="17" t="s">
        <v>4140</v>
      </c>
      <c r="E1870" s="16">
        <v>7.5</v>
      </c>
      <c r="F1870" s="7">
        <f t="shared" si="3"/>
        <v>92.5</v>
      </c>
      <c r="G1870" s="17" t="s">
        <v>3113</v>
      </c>
    </row>
    <row r="1871">
      <c r="A1871" s="12">
        <v>463.0</v>
      </c>
      <c r="B1871" s="17" t="s">
        <v>4141</v>
      </c>
      <c r="C1871" s="17" t="s">
        <v>4142</v>
      </c>
      <c r="D1871" s="17" t="s">
        <v>4143</v>
      </c>
      <c r="E1871" s="16">
        <v>7.5</v>
      </c>
      <c r="F1871" s="7">
        <f t="shared" si="3"/>
        <v>92.5</v>
      </c>
      <c r="G1871" s="17" t="s">
        <v>3113</v>
      </c>
    </row>
    <row r="1872">
      <c r="A1872" s="12">
        <v>464.0</v>
      </c>
      <c r="B1872" s="17" t="s">
        <v>4144</v>
      </c>
      <c r="C1872" s="17" t="s">
        <v>4145</v>
      </c>
      <c r="D1872" s="17" t="s">
        <v>4146</v>
      </c>
      <c r="E1872" s="16">
        <v>7.5</v>
      </c>
      <c r="F1872" s="7">
        <f t="shared" si="3"/>
        <v>92.5</v>
      </c>
      <c r="G1872" s="17" t="s">
        <v>3113</v>
      </c>
    </row>
    <row r="1873">
      <c r="A1873" s="12">
        <v>465.0</v>
      </c>
      <c r="B1873" s="17" t="s">
        <v>4144</v>
      </c>
      <c r="C1873" s="17" t="s">
        <v>4147</v>
      </c>
      <c r="D1873" s="17" t="s">
        <v>4148</v>
      </c>
      <c r="E1873" s="16">
        <v>7.5</v>
      </c>
      <c r="F1873" s="7">
        <f t="shared" si="3"/>
        <v>92.5</v>
      </c>
      <c r="G1873" s="17" t="s">
        <v>3113</v>
      </c>
    </row>
    <row r="1874">
      <c r="A1874" s="12">
        <v>466.0</v>
      </c>
      <c r="B1874" s="17" t="s">
        <v>4149</v>
      </c>
      <c r="C1874" s="17" t="s">
        <v>4150</v>
      </c>
      <c r="D1874" s="17" t="s">
        <v>4151</v>
      </c>
      <c r="E1874" s="16">
        <v>7.5</v>
      </c>
      <c r="F1874" s="7">
        <f t="shared" si="3"/>
        <v>92.5</v>
      </c>
      <c r="G1874" s="17" t="s">
        <v>3113</v>
      </c>
    </row>
    <row r="1875">
      <c r="A1875" s="12">
        <v>467.0</v>
      </c>
      <c r="B1875" s="17" t="s">
        <v>4152</v>
      </c>
      <c r="C1875" s="17" t="s">
        <v>4153</v>
      </c>
      <c r="D1875" s="17" t="s">
        <v>4154</v>
      </c>
      <c r="E1875" s="16">
        <v>7.5</v>
      </c>
      <c r="F1875" s="7">
        <f t="shared" si="3"/>
        <v>92.5</v>
      </c>
      <c r="G1875" s="17" t="s">
        <v>3113</v>
      </c>
    </row>
    <row r="1876">
      <c r="A1876" s="12">
        <v>468.0</v>
      </c>
      <c r="B1876" s="17" t="s">
        <v>4152</v>
      </c>
      <c r="C1876" s="17" t="s">
        <v>4155</v>
      </c>
      <c r="D1876" s="17" t="s">
        <v>4156</v>
      </c>
      <c r="E1876" s="16">
        <v>7.5</v>
      </c>
      <c r="F1876" s="7">
        <f t="shared" si="3"/>
        <v>92.5</v>
      </c>
      <c r="G1876" s="17" t="s">
        <v>3113</v>
      </c>
    </row>
    <row r="1877">
      <c r="A1877" s="12">
        <v>469.0</v>
      </c>
      <c r="B1877" s="17" t="s">
        <v>4157</v>
      </c>
      <c r="C1877" s="17" t="s">
        <v>4158</v>
      </c>
      <c r="D1877" s="17" t="s">
        <v>4159</v>
      </c>
      <c r="E1877" s="16">
        <v>7.5</v>
      </c>
      <c r="F1877" s="7">
        <f t="shared" si="3"/>
        <v>92.5</v>
      </c>
      <c r="G1877" s="17" t="s">
        <v>3113</v>
      </c>
    </row>
    <row r="1878">
      <c r="A1878" s="12">
        <v>470.0</v>
      </c>
      <c r="B1878" s="17" t="s">
        <v>4160</v>
      </c>
      <c r="C1878" s="17" t="s">
        <v>4161</v>
      </c>
      <c r="D1878" s="17" t="s">
        <v>4162</v>
      </c>
      <c r="E1878" s="16">
        <v>7.5</v>
      </c>
      <c r="F1878" s="7">
        <f t="shared" si="3"/>
        <v>92.5</v>
      </c>
      <c r="G1878" s="17" t="s">
        <v>3113</v>
      </c>
    </row>
    <row r="1879">
      <c r="A1879" s="12">
        <v>471.0</v>
      </c>
      <c r="B1879" s="17" t="s">
        <v>4163</v>
      </c>
      <c r="C1879" s="17" t="s">
        <v>4164</v>
      </c>
      <c r="D1879" s="17" t="s">
        <v>4165</v>
      </c>
      <c r="E1879" s="16">
        <v>7.5</v>
      </c>
      <c r="F1879" s="7">
        <f t="shared" si="3"/>
        <v>92.5</v>
      </c>
      <c r="G1879" s="17" t="s">
        <v>3113</v>
      </c>
    </row>
    <row r="1880">
      <c r="A1880" s="12">
        <v>472.0</v>
      </c>
      <c r="B1880" s="17" t="s">
        <v>4163</v>
      </c>
      <c r="C1880" s="17" t="s">
        <v>4166</v>
      </c>
      <c r="D1880" s="17" t="s">
        <v>4167</v>
      </c>
      <c r="E1880" s="16">
        <v>7.5</v>
      </c>
      <c r="F1880" s="7">
        <f t="shared" si="3"/>
        <v>92.5</v>
      </c>
      <c r="G1880" s="17" t="s">
        <v>3113</v>
      </c>
    </row>
    <row r="1881">
      <c r="A1881" s="12">
        <v>473.0</v>
      </c>
      <c r="B1881" s="17" t="s">
        <v>4168</v>
      </c>
      <c r="C1881" s="17" t="s">
        <v>4169</v>
      </c>
      <c r="D1881" s="17" t="s">
        <v>4170</v>
      </c>
      <c r="E1881" s="16">
        <v>7.5</v>
      </c>
      <c r="F1881" s="7">
        <f t="shared" si="3"/>
        <v>92.5</v>
      </c>
      <c r="G1881" s="17" t="s">
        <v>3113</v>
      </c>
    </row>
    <row r="1882">
      <c r="A1882" s="12">
        <v>474.0</v>
      </c>
      <c r="B1882" s="17" t="s">
        <v>4171</v>
      </c>
      <c r="C1882" s="17" t="s">
        <v>4172</v>
      </c>
      <c r="D1882" s="17" t="s">
        <v>4173</v>
      </c>
      <c r="E1882" s="16">
        <v>7.5</v>
      </c>
      <c r="F1882" s="7">
        <f t="shared" si="3"/>
        <v>92.5</v>
      </c>
      <c r="G1882" s="17" t="s">
        <v>3113</v>
      </c>
    </row>
    <row r="1883">
      <c r="A1883" s="12">
        <v>475.0</v>
      </c>
      <c r="B1883" s="17" t="s">
        <v>4171</v>
      </c>
      <c r="C1883" s="17" t="s">
        <v>4174</v>
      </c>
      <c r="D1883" s="17" t="s">
        <v>4175</v>
      </c>
      <c r="E1883" s="16">
        <v>7.5</v>
      </c>
      <c r="F1883" s="7">
        <f t="shared" si="3"/>
        <v>92.5</v>
      </c>
      <c r="G1883" s="17" t="s">
        <v>3113</v>
      </c>
    </row>
    <row r="1884">
      <c r="A1884" s="12">
        <v>476.0</v>
      </c>
      <c r="B1884" s="17" t="s">
        <v>4176</v>
      </c>
      <c r="C1884" s="17" t="s">
        <v>4177</v>
      </c>
      <c r="D1884" s="17" t="s">
        <v>4178</v>
      </c>
      <c r="E1884" s="16">
        <v>7.5</v>
      </c>
      <c r="F1884" s="7">
        <f t="shared" si="3"/>
        <v>92.5</v>
      </c>
      <c r="G1884" s="17" t="s">
        <v>3113</v>
      </c>
    </row>
    <row r="1885">
      <c r="A1885" s="12">
        <v>477.0</v>
      </c>
      <c r="B1885" s="17" t="s">
        <v>4179</v>
      </c>
      <c r="C1885" s="17" t="s">
        <v>4180</v>
      </c>
      <c r="D1885" s="17" t="s">
        <v>4181</v>
      </c>
      <c r="E1885" s="16">
        <v>7.5</v>
      </c>
      <c r="F1885" s="7">
        <f t="shared" si="3"/>
        <v>92.5</v>
      </c>
      <c r="G1885" s="17" t="s">
        <v>3113</v>
      </c>
    </row>
    <row r="1886">
      <c r="A1886" s="12">
        <v>478.0</v>
      </c>
      <c r="B1886" s="17" t="s">
        <v>4179</v>
      </c>
      <c r="C1886" s="17" t="s">
        <v>4182</v>
      </c>
      <c r="D1886" s="17" t="s">
        <v>4183</v>
      </c>
      <c r="E1886" s="16">
        <v>7.5</v>
      </c>
      <c r="F1886" s="7">
        <f t="shared" si="3"/>
        <v>92.5</v>
      </c>
      <c r="G1886" s="17" t="s">
        <v>3113</v>
      </c>
    </row>
    <row r="1887">
      <c r="A1887" s="12">
        <v>479.0</v>
      </c>
      <c r="B1887" s="17" t="s">
        <v>4184</v>
      </c>
      <c r="C1887" s="17" t="s">
        <v>4185</v>
      </c>
      <c r="D1887" s="17" t="s">
        <v>4186</v>
      </c>
      <c r="E1887" s="16">
        <v>7.5</v>
      </c>
      <c r="F1887" s="7">
        <f t="shared" si="3"/>
        <v>92.5</v>
      </c>
      <c r="G1887" s="17" t="s">
        <v>3113</v>
      </c>
    </row>
    <row r="1888">
      <c r="A1888" s="12">
        <v>480.0</v>
      </c>
      <c r="B1888" s="17" t="s">
        <v>4187</v>
      </c>
      <c r="C1888" s="17" t="s">
        <v>4188</v>
      </c>
      <c r="D1888" s="17" t="s">
        <v>4189</v>
      </c>
      <c r="E1888" s="16">
        <v>7.5</v>
      </c>
      <c r="F1888" s="7">
        <f t="shared" si="3"/>
        <v>92.5</v>
      </c>
      <c r="G1888" s="17" t="s">
        <v>3113</v>
      </c>
    </row>
    <row r="1889">
      <c r="A1889" s="12">
        <v>481.0</v>
      </c>
      <c r="B1889" s="17" t="s">
        <v>4190</v>
      </c>
      <c r="C1889" s="17" t="s">
        <v>4191</v>
      </c>
      <c r="D1889" s="17" t="s">
        <v>4192</v>
      </c>
      <c r="E1889" s="16">
        <v>7.5</v>
      </c>
      <c r="F1889" s="7">
        <f t="shared" si="3"/>
        <v>92.5</v>
      </c>
      <c r="G1889" s="17" t="s">
        <v>3113</v>
      </c>
    </row>
    <row r="1890">
      <c r="A1890" s="12">
        <v>482.0</v>
      </c>
      <c r="B1890" s="17" t="s">
        <v>4193</v>
      </c>
      <c r="C1890" s="17" t="s">
        <v>4194</v>
      </c>
      <c r="D1890" s="17" t="s">
        <v>4195</v>
      </c>
      <c r="E1890" s="16">
        <v>7.5</v>
      </c>
      <c r="F1890" s="7">
        <f t="shared" si="3"/>
        <v>92.5</v>
      </c>
      <c r="G1890" s="17" t="s">
        <v>3113</v>
      </c>
    </row>
    <row r="1891">
      <c r="A1891" s="12">
        <v>483.0</v>
      </c>
      <c r="B1891" s="17" t="s">
        <v>4193</v>
      </c>
      <c r="C1891" s="17" t="s">
        <v>4196</v>
      </c>
      <c r="D1891" s="17" t="s">
        <v>4197</v>
      </c>
      <c r="E1891" s="16">
        <v>7.5</v>
      </c>
      <c r="F1891" s="7">
        <f t="shared" si="3"/>
        <v>92.5</v>
      </c>
      <c r="G1891" s="17" t="s">
        <v>3113</v>
      </c>
    </row>
    <row r="1892">
      <c r="A1892" s="12">
        <v>484.0</v>
      </c>
      <c r="B1892" s="17" t="s">
        <v>4198</v>
      </c>
      <c r="C1892" s="17" t="s">
        <v>4199</v>
      </c>
      <c r="D1892" s="17" t="s">
        <v>4200</v>
      </c>
      <c r="E1892" s="16">
        <v>7.5</v>
      </c>
      <c r="F1892" s="7">
        <f t="shared" si="3"/>
        <v>92.5</v>
      </c>
      <c r="G1892" s="17" t="s">
        <v>3113</v>
      </c>
    </row>
    <row r="1893">
      <c r="A1893" s="12">
        <v>485.0</v>
      </c>
      <c r="B1893" s="17" t="s">
        <v>4198</v>
      </c>
      <c r="C1893" s="17" t="s">
        <v>4201</v>
      </c>
      <c r="D1893" s="17" t="s">
        <v>4202</v>
      </c>
      <c r="E1893" s="16">
        <v>7.5</v>
      </c>
      <c r="F1893" s="7">
        <f t="shared" si="3"/>
        <v>92.5</v>
      </c>
      <c r="G1893" s="17" t="s">
        <v>3113</v>
      </c>
    </row>
    <row r="1894">
      <c r="A1894" s="12">
        <v>486.0</v>
      </c>
      <c r="B1894" s="17" t="s">
        <v>4203</v>
      </c>
      <c r="C1894" s="17" t="s">
        <v>4204</v>
      </c>
      <c r="D1894" s="17" t="s">
        <v>4205</v>
      </c>
      <c r="E1894" s="16">
        <v>7.5</v>
      </c>
      <c r="F1894" s="7">
        <f t="shared" si="3"/>
        <v>92.5</v>
      </c>
      <c r="G1894" s="17" t="s">
        <v>3113</v>
      </c>
    </row>
    <row r="1895">
      <c r="A1895" s="12">
        <v>487.0</v>
      </c>
      <c r="B1895" s="17" t="s">
        <v>4206</v>
      </c>
      <c r="C1895" s="17" t="s">
        <v>4207</v>
      </c>
      <c r="D1895" s="17" t="s">
        <v>4208</v>
      </c>
      <c r="E1895" s="16">
        <v>7.5</v>
      </c>
      <c r="F1895" s="7">
        <f t="shared" si="3"/>
        <v>92.5</v>
      </c>
      <c r="G1895" s="17" t="s">
        <v>3113</v>
      </c>
    </row>
    <row r="1896">
      <c r="A1896" s="12">
        <v>488.0</v>
      </c>
      <c r="B1896" s="17" t="s">
        <v>4209</v>
      </c>
      <c r="C1896" s="17" t="s">
        <v>4210</v>
      </c>
      <c r="D1896" s="17" t="s">
        <v>4211</v>
      </c>
      <c r="E1896" s="16">
        <v>7.5</v>
      </c>
      <c r="F1896" s="7">
        <f t="shared" si="3"/>
        <v>92.5</v>
      </c>
      <c r="G1896" s="17" t="s">
        <v>3113</v>
      </c>
    </row>
    <row r="1897">
      <c r="A1897" s="12">
        <v>489.0</v>
      </c>
      <c r="B1897" s="17" t="s">
        <v>4209</v>
      </c>
      <c r="C1897" s="17" t="s">
        <v>4212</v>
      </c>
      <c r="D1897" s="17" t="s">
        <v>4213</v>
      </c>
      <c r="E1897" s="16">
        <v>7.5</v>
      </c>
      <c r="F1897" s="7">
        <f t="shared" si="3"/>
        <v>92.5</v>
      </c>
      <c r="G1897" s="17" t="s">
        <v>3113</v>
      </c>
    </row>
    <row r="1898">
      <c r="A1898" s="12">
        <v>490.0</v>
      </c>
      <c r="B1898" s="17" t="s">
        <v>4214</v>
      </c>
      <c r="C1898" s="17" t="s">
        <v>4215</v>
      </c>
      <c r="D1898" s="17" t="s">
        <v>4216</v>
      </c>
      <c r="E1898" s="16">
        <v>7.5</v>
      </c>
      <c r="F1898" s="7">
        <f t="shared" si="3"/>
        <v>92.5</v>
      </c>
      <c r="G1898" s="17" t="s">
        <v>3113</v>
      </c>
    </row>
    <row r="1899">
      <c r="A1899" s="12">
        <v>491.0</v>
      </c>
      <c r="B1899" s="17" t="s">
        <v>4214</v>
      </c>
      <c r="C1899" s="17" t="s">
        <v>4217</v>
      </c>
      <c r="D1899" s="17" t="s">
        <v>4218</v>
      </c>
      <c r="E1899" s="16">
        <v>7.5</v>
      </c>
      <c r="F1899" s="7">
        <f t="shared" si="3"/>
        <v>92.5</v>
      </c>
      <c r="G1899" s="17" t="s">
        <v>3113</v>
      </c>
    </row>
    <row r="1900">
      <c r="A1900" s="12">
        <v>492.0</v>
      </c>
      <c r="B1900" s="17" t="s">
        <v>4219</v>
      </c>
      <c r="C1900" s="17" t="s">
        <v>4220</v>
      </c>
      <c r="D1900" s="17" t="s">
        <v>4221</v>
      </c>
      <c r="E1900" s="16">
        <v>7.5</v>
      </c>
      <c r="F1900" s="7">
        <f t="shared" si="3"/>
        <v>92.5</v>
      </c>
      <c r="G1900" s="17" t="s">
        <v>3113</v>
      </c>
    </row>
    <row r="1901">
      <c r="A1901" s="12">
        <v>493.0</v>
      </c>
      <c r="B1901" s="17" t="s">
        <v>4222</v>
      </c>
      <c r="C1901" s="17" t="s">
        <v>4223</v>
      </c>
      <c r="D1901" s="17" t="s">
        <v>4224</v>
      </c>
      <c r="E1901" s="16">
        <v>7.5</v>
      </c>
      <c r="F1901" s="7">
        <f t="shared" si="3"/>
        <v>92.5</v>
      </c>
      <c r="G1901" s="17" t="s">
        <v>3113</v>
      </c>
    </row>
    <row r="1902">
      <c r="A1902" s="12">
        <v>494.0</v>
      </c>
      <c r="B1902" s="17" t="s">
        <v>4225</v>
      </c>
      <c r="C1902" s="17" t="s">
        <v>4226</v>
      </c>
      <c r="D1902" s="17" t="s">
        <v>4227</v>
      </c>
      <c r="E1902" s="16">
        <v>7.5</v>
      </c>
      <c r="F1902" s="7">
        <f t="shared" si="3"/>
        <v>92.5</v>
      </c>
      <c r="G1902" s="17" t="s">
        <v>3113</v>
      </c>
    </row>
    <row r="1903">
      <c r="A1903" s="12">
        <v>495.0</v>
      </c>
      <c r="B1903" s="17" t="s">
        <v>4225</v>
      </c>
      <c r="C1903" s="17" t="s">
        <v>4228</v>
      </c>
      <c r="D1903" s="17" t="s">
        <v>4229</v>
      </c>
      <c r="E1903" s="16">
        <v>7.5</v>
      </c>
      <c r="F1903" s="7">
        <f t="shared" si="3"/>
        <v>92.5</v>
      </c>
      <c r="G1903" s="17" t="s">
        <v>3113</v>
      </c>
    </row>
    <row r="1904">
      <c r="A1904" s="12">
        <v>496.0</v>
      </c>
      <c r="B1904" s="17" t="s">
        <v>4230</v>
      </c>
      <c r="C1904" s="17" t="s">
        <v>4231</v>
      </c>
      <c r="D1904" s="17" t="s">
        <v>4232</v>
      </c>
      <c r="E1904" s="16">
        <v>7.5</v>
      </c>
      <c r="F1904" s="7">
        <f t="shared" si="3"/>
        <v>92.5</v>
      </c>
      <c r="G1904" s="17" t="s">
        <v>3113</v>
      </c>
    </row>
    <row r="1905">
      <c r="A1905" s="12">
        <v>497.0</v>
      </c>
      <c r="B1905" s="17" t="s">
        <v>4230</v>
      </c>
      <c r="C1905" s="17" t="s">
        <v>4233</v>
      </c>
      <c r="D1905" s="17" t="s">
        <v>4234</v>
      </c>
      <c r="E1905" s="16">
        <v>7.5</v>
      </c>
      <c r="F1905" s="7">
        <f t="shared" si="3"/>
        <v>92.5</v>
      </c>
      <c r="G1905" s="17" t="s">
        <v>3113</v>
      </c>
    </row>
    <row r="1906">
      <c r="A1906" s="12">
        <v>498.0</v>
      </c>
      <c r="B1906" s="17" t="s">
        <v>4235</v>
      </c>
      <c r="C1906" s="17" t="s">
        <v>4236</v>
      </c>
      <c r="D1906" s="17" t="s">
        <v>4237</v>
      </c>
      <c r="E1906" s="16">
        <v>7.5</v>
      </c>
      <c r="F1906" s="7">
        <f t="shared" si="3"/>
        <v>92.5</v>
      </c>
      <c r="G1906" s="17" t="s">
        <v>3113</v>
      </c>
    </row>
    <row r="1907">
      <c r="A1907" s="12">
        <v>499.0</v>
      </c>
      <c r="B1907" s="17" t="s">
        <v>4238</v>
      </c>
      <c r="C1907" s="17" t="s">
        <v>4239</v>
      </c>
      <c r="D1907" s="17" t="s">
        <v>4240</v>
      </c>
      <c r="E1907" s="16">
        <v>7.5</v>
      </c>
      <c r="F1907" s="7">
        <f t="shared" si="3"/>
        <v>92.5</v>
      </c>
      <c r="G1907" s="17" t="s">
        <v>3113</v>
      </c>
    </row>
    <row r="1908">
      <c r="A1908" s="12">
        <v>500.0</v>
      </c>
      <c r="B1908" s="17" t="s">
        <v>4238</v>
      </c>
      <c r="C1908" s="17" t="s">
        <v>4241</v>
      </c>
      <c r="D1908" s="17" t="s">
        <v>4242</v>
      </c>
      <c r="E1908" s="16">
        <v>7.5</v>
      </c>
      <c r="F1908" s="7">
        <f t="shared" si="3"/>
        <v>92.5</v>
      </c>
      <c r="G1908" s="17" t="s">
        <v>3113</v>
      </c>
    </row>
    <row r="1909">
      <c r="A1909" s="12">
        <v>501.0</v>
      </c>
      <c r="B1909" s="17" t="s">
        <v>4243</v>
      </c>
      <c r="C1909" s="17" t="s">
        <v>4244</v>
      </c>
      <c r="D1909" s="17" t="s">
        <v>4245</v>
      </c>
      <c r="E1909" s="16">
        <v>7.5</v>
      </c>
      <c r="F1909" s="7">
        <f t="shared" si="3"/>
        <v>92.5</v>
      </c>
      <c r="G1909" s="17" t="s">
        <v>3113</v>
      </c>
    </row>
    <row r="1910">
      <c r="A1910" s="12">
        <v>502.0</v>
      </c>
      <c r="B1910" s="17" t="s">
        <v>4246</v>
      </c>
      <c r="C1910" s="17" t="s">
        <v>4247</v>
      </c>
      <c r="D1910" s="17" t="s">
        <v>4248</v>
      </c>
      <c r="E1910" s="16">
        <v>7.5</v>
      </c>
      <c r="F1910" s="7">
        <f t="shared" si="3"/>
        <v>92.5</v>
      </c>
      <c r="G1910" s="17" t="s">
        <v>3113</v>
      </c>
    </row>
    <row r="1911">
      <c r="A1911" s="12">
        <v>503.0</v>
      </c>
      <c r="B1911" s="17" t="s">
        <v>4249</v>
      </c>
      <c r="C1911" s="17" t="s">
        <v>4250</v>
      </c>
      <c r="D1911" s="17" t="s">
        <v>4251</v>
      </c>
      <c r="E1911" s="16">
        <v>7.5</v>
      </c>
      <c r="F1911" s="7">
        <f t="shared" si="3"/>
        <v>92.5</v>
      </c>
      <c r="G1911" s="17" t="s">
        <v>3113</v>
      </c>
    </row>
    <row r="1912">
      <c r="A1912" s="12">
        <v>504.0</v>
      </c>
      <c r="B1912" s="17" t="s">
        <v>4252</v>
      </c>
      <c r="C1912" s="17" t="s">
        <v>4253</v>
      </c>
      <c r="D1912" s="17" t="s">
        <v>4254</v>
      </c>
      <c r="E1912" s="16">
        <v>7.5</v>
      </c>
      <c r="F1912" s="7">
        <f t="shared" si="3"/>
        <v>92.5</v>
      </c>
      <c r="G1912" s="17" t="s">
        <v>3113</v>
      </c>
    </row>
    <row r="1913">
      <c r="A1913" s="12">
        <v>505.0</v>
      </c>
      <c r="B1913" s="17" t="s">
        <v>4255</v>
      </c>
      <c r="C1913" s="17" t="s">
        <v>4256</v>
      </c>
      <c r="D1913" s="17" t="s">
        <v>4257</v>
      </c>
      <c r="E1913" s="16">
        <v>7.5</v>
      </c>
      <c r="F1913" s="7">
        <f t="shared" si="3"/>
        <v>92.5</v>
      </c>
      <c r="G1913" s="17" t="s">
        <v>3113</v>
      </c>
    </row>
    <row r="1914">
      <c r="A1914" s="12">
        <v>506.0</v>
      </c>
      <c r="B1914" s="17" t="s">
        <v>4258</v>
      </c>
      <c r="C1914" s="17" t="s">
        <v>4259</v>
      </c>
      <c r="D1914" s="17" t="s">
        <v>4260</v>
      </c>
      <c r="E1914" s="16">
        <v>7.5</v>
      </c>
      <c r="F1914" s="7">
        <f t="shared" si="3"/>
        <v>92.5</v>
      </c>
      <c r="G1914" s="17" t="s">
        <v>3113</v>
      </c>
    </row>
    <row r="1915">
      <c r="A1915" s="12">
        <v>507.0</v>
      </c>
      <c r="B1915" s="17" t="s">
        <v>4261</v>
      </c>
      <c r="C1915" s="17" t="s">
        <v>4262</v>
      </c>
      <c r="D1915" s="17" t="s">
        <v>4263</v>
      </c>
      <c r="E1915" s="16">
        <v>7.5</v>
      </c>
      <c r="F1915" s="7">
        <f t="shared" si="3"/>
        <v>92.5</v>
      </c>
      <c r="G1915" s="17" t="s">
        <v>3113</v>
      </c>
    </row>
    <row r="1916">
      <c r="A1916" s="12">
        <v>508.0</v>
      </c>
      <c r="B1916" s="17" t="s">
        <v>4264</v>
      </c>
      <c r="C1916" s="17" t="s">
        <v>4265</v>
      </c>
      <c r="D1916" s="17" t="s">
        <v>4266</v>
      </c>
      <c r="E1916" s="16">
        <v>7.5</v>
      </c>
      <c r="F1916" s="7">
        <f t="shared" si="3"/>
        <v>92.5</v>
      </c>
      <c r="G1916" s="17" t="s">
        <v>3113</v>
      </c>
    </row>
    <row r="1917">
      <c r="A1917" s="12">
        <v>509.0</v>
      </c>
      <c r="B1917" s="17" t="s">
        <v>4267</v>
      </c>
      <c r="C1917" s="17" t="s">
        <v>4268</v>
      </c>
      <c r="D1917" s="17" t="s">
        <v>4269</v>
      </c>
      <c r="E1917" s="16">
        <v>7.5</v>
      </c>
      <c r="F1917" s="7">
        <f t="shared" si="3"/>
        <v>92.5</v>
      </c>
      <c r="G1917" s="17" t="s">
        <v>3113</v>
      </c>
    </row>
    <row r="1918">
      <c r="A1918" s="12">
        <v>510.0</v>
      </c>
      <c r="B1918" s="17" t="s">
        <v>4270</v>
      </c>
      <c r="C1918" s="17" t="s">
        <v>4271</v>
      </c>
      <c r="D1918" s="17" t="s">
        <v>4272</v>
      </c>
      <c r="E1918" s="16">
        <v>7.5</v>
      </c>
      <c r="F1918" s="7">
        <f t="shared" si="3"/>
        <v>92.5</v>
      </c>
      <c r="G1918" s="17" t="s">
        <v>3113</v>
      </c>
    </row>
    <row r="1919">
      <c r="A1919" s="12">
        <v>511.0</v>
      </c>
      <c r="B1919" s="17" t="s">
        <v>4273</v>
      </c>
      <c r="C1919" s="17" t="s">
        <v>4274</v>
      </c>
      <c r="D1919" s="17" t="s">
        <v>4275</v>
      </c>
      <c r="E1919" s="16">
        <v>7.5</v>
      </c>
      <c r="F1919" s="7">
        <f t="shared" si="3"/>
        <v>92.5</v>
      </c>
      <c r="G1919" s="17" t="s">
        <v>3113</v>
      </c>
    </row>
    <row r="1920">
      <c r="A1920" s="12">
        <v>512.0</v>
      </c>
      <c r="B1920" s="17" t="s">
        <v>4276</v>
      </c>
      <c r="C1920" s="17" t="s">
        <v>4277</v>
      </c>
      <c r="D1920" s="17" t="s">
        <v>4278</v>
      </c>
      <c r="E1920" s="16">
        <v>7.5</v>
      </c>
      <c r="F1920" s="7">
        <f t="shared" si="3"/>
        <v>92.5</v>
      </c>
      <c r="G1920" s="17" t="s">
        <v>3113</v>
      </c>
    </row>
    <row r="1921">
      <c r="A1921" s="12">
        <v>513.0</v>
      </c>
      <c r="B1921" s="17" t="s">
        <v>4279</v>
      </c>
      <c r="C1921" s="17" t="s">
        <v>4280</v>
      </c>
      <c r="D1921" s="17" t="s">
        <v>4281</v>
      </c>
      <c r="E1921" s="16">
        <v>7.5</v>
      </c>
      <c r="F1921" s="7">
        <f t="shared" si="3"/>
        <v>92.5</v>
      </c>
      <c r="G1921" s="17" t="s">
        <v>3113</v>
      </c>
    </row>
    <row r="1922">
      <c r="A1922" s="12">
        <v>514.0</v>
      </c>
      <c r="B1922" s="17" t="s">
        <v>4282</v>
      </c>
      <c r="C1922" s="17" t="s">
        <v>4283</v>
      </c>
      <c r="D1922" s="17" t="s">
        <v>4284</v>
      </c>
      <c r="E1922" s="16">
        <v>7.5</v>
      </c>
      <c r="F1922" s="7">
        <f t="shared" si="3"/>
        <v>92.5</v>
      </c>
      <c r="G1922" s="17" t="s">
        <v>3113</v>
      </c>
    </row>
    <row r="1923">
      <c r="A1923" s="12">
        <v>515.0</v>
      </c>
      <c r="B1923" s="17" t="s">
        <v>4285</v>
      </c>
      <c r="C1923" s="17" t="s">
        <v>4286</v>
      </c>
      <c r="D1923" s="17" t="s">
        <v>4287</v>
      </c>
      <c r="E1923" s="16">
        <v>7.5</v>
      </c>
      <c r="F1923" s="7">
        <f t="shared" si="3"/>
        <v>92.5</v>
      </c>
      <c r="G1923" s="17" t="s">
        <v>3113</v>
      </c>
    </row>
    <row r="1924">
      <c r="A1924" s="12">
        <v>516.0</v>
      </c>
      <c r="B1924" s="17" t="s">
        <v>4288</v>
      </c>
      <c r="C1924" s="17" t="s">
        <v>4289</v>
      </c>
      <c r="D1924" s="17" t="s">
        <v>4290</v>
      </c>
      <c r="E1924" s="16">
        <v>7.5</v>
      </c>
      <c r="F1924" s="7">
        <f t="shared" si="3"/>
        <v>92.5</v>
      </c>
      <c r="G1924" s="17" t="s">
        <v>3113</v>
      </c>
    </row>
    <row r="1925">
      <c r="A1925" s="12">
        <v>517.0</v>
      </c>
      <c r="B1925" s="17" t="s">
        <v>4291</v>
      </c>
      <c r="C1925" s="17" t="s">
        <v>4292</v>
      </c>
      <c r="D1925" s="17" t="s">
        <v>4293</v>
      </c>
      <c r="E1925" s="16">
        <v>7.5</v>
      </c>
      <c r="F1925" s="7">
        <f t="shared" si="3"/>
        <v>92.5</v>
      </c>
      <c r="G1925" s="17" t="s">
        <v>3113</v>
      </c>
    </row>
    <row r="1926">
      <c r="A1926" s="12">
        <v>518.0</v>
      </c>
      <c r="B1926" s="17" t="s">
        <v>4294</v>
      </c>
      <c r="C1926" s="17" t="s">
        <v>4295</v>
      </c>
      <c r="D1926" s="17" t="s">
        <v>4296</v>
      </c>
      <c r="E1926" s="16">
        <v>7.5</v>
      </c>
      <c r="F1926" s="7">
        <f t="shared" si="3"/>
        <v>92.5</v>
      </c>
      <c r="G1926" s="17" t="s">
        <v>3113</v>
      </c>
    </row>
    <row r="1927">
      <c r="A1927" s="12">
        <v>519.0</v>
      </c>
      <c r="B1927" s="17" t="s">
        <v>4297</v>
      </c>
      <c r="C1927" s="17" t="s">
        <v>4298</v>
      </c>
      <c r="D1927" s="17" t="s">
        <v>4299</v>
      </c>
      <c r="E1927" s="16">
        <v>7.5</v>
      </c>
      <c r="F1927" s="7">
        <f t="shared" si="3"/>
        <v>92.5</v>
      </c>
      <c r="G1927" s="17" t="s">
        <v>3113</v>
      </c>
    </row>
    <row r="1928">
      <c r="A1928" s="12">
        <v>520.0</v>
      </c>
      <c r="B1928" s="17" t="s">
        <v>4297</v>
      </c>
      <c r="C1928" s="17" t="s">
        <v>4300</v>
      </c>
      <c r="D1928" s="17" t="s">
        <v>4301</v>
      </c>
      <c r="E1928" s="16">
        <v>7.5</v>
      </c>
      <c r="F1928" s="7">
        <f t="shared" si="3"/>
        <v>92.5</v>
      </c>
      <c r="G1928" s="17" t="s">
        <v>3113</v>
      </c>
    </row>
    <row r="1929">
      <c r="A1929" s="12">
        <v>521.0</v>
      </c>
      <c r="B1929" s="17" t="s">
        <v>4302</v>
      </c>
      <c r="C1929" s="17" t="s">
        <v>4303</v>
      </c>
      <c r="D1929" s="17" t="s">
        <v>4304</v>
      </c>
      <c r="E1929" s="16">
        <v>7.5</v>
      </c>
      <c r="F1929" s="7">
        <f t="shared" si="3"/>
        <v>92.5</v>
      </c>
      <c r="G1929" s="17" t="s">
        <v>3113</v>
      </c>
    </row>
    <row r="1930">
      <c r="A1930" s="12">
        <v>522.0</v>
      </c>
      <c r="B1930" s="17" t="s">
        <v>4305</v>
      </c>
      <c r="C1930" s="17" t="s">
        <v>4306</v>
      </c>
      <c r="D1930" s="17" t="s">
        <v>4307</v>
      </c>
      <c r="E1930" s="16">
        <v>7.5</v>
      </c>
      <c r="F1930" s="7">
        <f t="shared" si="3"/>
        <v>92.5</v>
      </c>
      <c r="G1930" s="17" t="s">
        <v>3113</v>
      </c>
    </row>
    <row r="1931">
      <c r="A1931" s="12">
        <v>523.0</v>
      </c>
      <c r="B1931" s="17" t="s">
        <v>4308</v>
      </c>
      <c r="C1931" s="17" t="s">
        <v>4309</v>
      </c>
      <c r="D1931" s="17" t="s">
        <v>4310</v>
      </c>
      <c r="E1931" s="16">
        <v>7.5</v>
      </c>
      <c r="F1931" s="7">
        <f t="shared" si="3"/>
        <v>92.5</v>
      </c>
      <c r="G1931" s="17" t="s">
        <v>3113</v>
      </c>
    </row>
    <row r="1932">
      <c r="A1932" s="12">
        <v>524.0</v>
      </c>
      <c r="B1932" s="17" t="s">
        <v>4311</v>
      </c>
      <c r="C1932" s="17" t="s">
        <v>4312</v>
      </c>
      <c r="D1932" s="17" t="s">
        <v>4313</v>
      </c>
      <c r="E1932" s="16">
        <v>7.5</v>
      </c>
      <c r="F1932" s="7">
        <f t="shared" si="3"/>
        <v>92.5</v>
      </c>
      <c r="G1932" s="17" t="s">
        <v>3113</v>
      </c>
    </row>
    <row r="1933">
      <c r="A1933" s="12">
        <v>525.0</v>
      </c>
      <c r="B1933" s="17" t="s">
        <v>4314</v>
      </c>
      <c r="C1933" s="17" t="s">
        <v>4315</v>
      </c>
      <c r="D1933" s="17" t="s">
        <v>4316</v>
      </c>
      <c r="E1933" s="16">
        <v>7.5</v>
      </c>
      <c r="F1933" s="7">
        <f t="shared" si="3"/>
        <v>92.5</v>
      </c>
      <c r="G1933" s="17" t="s">
        <v>3113</v>
      </c>
    </row>
    <row r="1934">
      <c r="A1934" s="12">
        <v>526.0</v>
      </c>
      <c r="B1934" s="17" t="s">
        <v>4317</v>
      </c>
      <c r="C1934" s="17" t="s">
        <v>4318</v>
      </c>
      <c r="D1934" s="17" t="s">
        <v>4319</v>
      </c>
      <c r="E1934" s="16">
        <v>7.5</v>
      </c>
      <c r="F1934" s="7">
        <f t="shared" si="3"/>
        <v>92.5</v>
      </c>
      <c r="G1934" s="17" t="s">
        <v>3113</v>
      </c>
    </row>
    <row r="1935">
      <c r="A1935" s="12">
        <v>527.0</v>
      </c>
      <c r="B1935" s="17" t="s">
        <v>4317</v>
      </c>
      <c r="C1935" s="17" t="s">
        <v>4320</v>
      </c>
      <c r="D1935" s="17" t="s">
        <v>4321</v>
      </c>
      <c r="E1935" s="16">
        <v>7.5</v>
      </c>
      <c r="F1935" s="7">
        <f t="shared" si="3"/>
        <v>92.5</v>
      </c>
      <c r="G1935" s="17" t="s">
        <v>3113</v>
      </c>
    </row>
    <row r="1936">
      <c r="A1936" s="12">
        <v>528.0</v>
      </c>
      <c r="B1936" s="17" t="s">
        <v>4322</v>
      </c>
      <c r="C1936" s="17" t="s">
        <v>4323</v>
      </c>
      <c r="D1936" s="17" t="s">
        <v>4324</v>
      </c>
      <c r="E1936" s="16">
        <v>7.5</v>
      </c>
      <c r="F1936" s="7">
        <f t="shared" si="3"/>
        <v>92.5</v>
      </c>
      <c r="G1936" s="17" t="s">
        <v>3113</v>
      </c>
    </row>
    <row r="1937">
      <c r="A1937" s="12">
        <v>529.0</v>
      </c>
      <c r="B1937" s="17" t="s">
        <v>4322</v>
      </c>
      <c r="C1937" s="17" t="s">
        <v>4325</v>
      </c>
      <c r="D1937" s="17" t="s">
        <v>4326</v>
      </c>
      <c r="E1937" s="16">
        <v>7.5</v>
      </c>
      <c r="F1937" s="7">
        <f t="shared" si="3"/>
        <v>92.5</v>
      </c>
      <c r="G1937" s="17" t="s">
        <v>3113</v>
      </c>
    </row>
    <row r="1938">
      <c r="A1938" s="12">
        <v>530.0</v>
      </c>
      <c r="B1938" s="17" t="s">
        <v>4327</v>
      </c>
      <c r="C1938" s="17" t="s">
        <v>4328</v>
      </c>
      <c r="D1938" s="17" t="s">
        <v>4329</v>
      </c>
      <c r="E1938" s="16">
        <v>7.5</v>
      </c>
      <c r="F1938" s="7">
        <f t="shared" si="3"/>
        <v>92.5</v>
      </c>
      <c r="G1938" s="17" t="s">
        <v>3113</v>
      </c>
    </row>
    <row r="1939">
      <c r="A1939" s="12">
        <v>531.0</v>
      </c>
      <c r="B1939" s="17" t="s">
        <v>4330</v>
      </c>
      <c r="C1939" s="17" t="s">
        <v>4331</v>
      </c>
      <c r="D1939" s="17" t="s">
        <v>4332</v>
      </c>
      <c r="E1939" s="16">
        <v>7.5</v>
      </c>
      <c r="F1939" s="7">
        <f t="shared" si="3"/>
        <v>92.5</v>
      </c>
      <c r="G1939" s="17" t="s">
        <v>3113</v>
      </c>
    </row>
    <row r="1940">
      <c r="A1940" s="12">
        <v>532.0</v>
      </c>
      <c r="B1940" s="17" t="s">
        <v>4330</v>
      </c>
      <c r="C1940" s="17" t="s">
        <v>4333</v>
      </c>
      <c r="D1940" s="17" t="s">
        <v>4334</v>
      </c>
      <c r="E1940" s="16">
        <v>7.5</v>
      </c>
      <c r="F1940" s="7">
        <f t="shared" si="3"/>
        <v>92.5</v>
      </c>
      <c r="G1940" s="17" t="s">
        <v>3113</v>
      </c>
    </row>
    <row r="1941">
      <c r="A1941" s="12">
        <v>533.0</v>
      </c>
      <c r="B1941" s="17" t="s">
        <v>4335</v>
      </c>
      <c r="C1941" s="17" t="s">
        <v>4336</v>
      </c>
      <c r="D1941" s="17" t="s">
        <v>4337</v>
      </c>
      <c r="E1941" s="16">
        <v>7.5</v>
      </c>
      <c r="F1941" s="7">
        <f t="shared" si="3"/>
        <v>92.5</v>
      </c>
      <c r="G1941" s="17" t="s">
        <v>3113</v>
      </c>
    </row>
    <row r="1942">
      <c r="A1942" s="12">
        <v>534.0</v>
      </c>
      <c r="B1942" s="17" t="s">
        <v>4335</v>
      </c>
      <c r="C1942" s="17" t="s">
        <v>4338</v>
      </c>
      <c r="D1942" s="17" t="s">
        <v>4339</v>
      </c>
      <c r="E1942" s="16">
        <v>7.5</v>
      </c>
      <c r="F1942" s="7">
        <f t="shared" si="3"/>
        <v>92.5</v>
      </c>
      <c r="G1942" s="17" t="s">
        <v>3113</v>
      </c>
    </row>
    <row r="1943">
      <c r="A1943" s="12">
        <v>535.0</v>
      </c>
      <c r="B1943" s="17" t="s">
        <v>4340</v>
      </c>
      <c r="C1943" s="17" t="s">
        <v>4341</v>
      </c>
      <c r="D1943" s="17" t="s">
        <v>4342</v>
      </c>
      <c r="E1943" s="16">
        <v>7.5</v>
      </c>
      <c r="F1943" s="7">
        <f t="shared" si="3"/>
        <v>92.5</v>
      </c>
      <c r="G1943" s="17" t="s">
        <v>3113</v>
      </c>
    </row>
    <row r="1944">
      <c r="A1944" s="12">
        <v>536.0</v>
      </c>
      <c r="B1944" s="17" t="s">
        <v>4343</v>
      </c>
      <c r="C1944" s="17" t="s">
        <v>4344</v>
      </c>
      <c r="D1944" s="17" t="s">
        <v>4345</v>
      </c>
      <c r="E1944" s="16">
        <v>7.5</v>
      </c>
      <c r="F1944" s="7">
        <f t="shared" si="3"/>
        <v>92.5</v>
      </c>
      <c r="G1944" s="17" t="s">
        <v>3113</v>
      </c>
    </row>
    <row r="1945">
      <c r="A1945" s="12">
        <v>537.0</v>
      </c>
      <c r="B1945" s="17" t="s">
        <v>4346</v>
      </c>
      <c r="C1945" s="17" t="s">
        <v>4347</v>
      </c>
      <c r="D1945" s="17" t="s">
        <v>4348</v>
      </c>
      <c r="E1945" s="16">
        <v>7.5</v>
      </c>
      <c r="F1945" s="7">
        <f t="shared" si="3"/>
        <v>92.5</v>
      </c>
      <c r="G1945" s="17" t="s">
        <v>3113</v>
      </c>
    </row>
    <row r="1946">
      <c r="A1946" s="12">
        <v>538.0</v>
      </c>
      <c r="B1946" s="17" t="s">
        <v>4346</v>
      </c>
      <c r="C1946" s="17" t="s">
        <v>4349</v>
      </c>
      <c r="D1946" s="17" t="s">
        <v>4350</v>
      </c>
      <c r="E1946" s="16">
        <v>7.5</v>
      </c>
      <c r="F1946" s="7">
        <f t="shared" si="3"/>
        <v>92.5</v>
      </c>
      <c r="G1946" s="17" t="s">
        <v>3113</v>
      </c>
    </row>
    <row r="1947">
      <c r="A1947" s="12">
        <v>539.0</v>
      </c>
      <c r="B1947" s="17" t="s">
        <v>4351</v>
      </c>
      <c r="C1947" s="17" t="s">
        <v>4352</v>
      </c>
      <c r="D1947" s="17" t="s">
        <v>4353</v>
      </c>
      <c r="E1947" s="16">
        <v>7.5</v>
      </c>
      <c r="F1947" s="7">
        <f t="shared" si="3"/>
        <v>92.5</v>
      </c>
      <c r="G1947" s="17" t="s">
        <v>3113</v>
      </c>
    </row>
    <row r="1948">
      <c r="A1948" s="12">
        <v>540.0</v>
      </c>
      <c r="B1948" s="17" t="s">
        <v>4351</v>
      </c>
      <c r="C1948" s="17" t="s">
        <v>4354</v>
      </c>
      <c r="D1948" s="17" t="s">
        <v>4355</v>
      </c>
      <c r="E1948" s="16">
        <v>7.5</v>
      </c>
      <c r="F1948" s="7">
        <f t="shared" si="3"/>
        <v>92.5</v>
      </c>
      <c r="G1948" s="17" t="s">
        <v>3113</v>
      </c>
    </row>
    <row r="1949">
      <c r="A1949" s="12">
        <v>541.0</v>
      </c>
      <c r="B1949" s="17" t="s">
        <v>4356</v>
      </c>
      <c r="C1949" s="17" t="s">
        <v>4357</v>
      </c>
      <c r="D1949" s="17" t="s">
        <v>4358</v>
      </c>
      <c r="E1949" s="16">
        <v>7.5</v>
      </c>
      <c r="F1949" s="7">
        <f t="shared" si="3"/>
        <v>92.5</v>
      </c>
      <c r="G1949" s="17" t="s">
        <v>3113</v>
      </c>
    </row>
    <row r="1950">
      <c r="A1950" s="12">
        <v>542.0</v>
      </c>
      <c r="B1950" s="17" t="s">
        <v>4359</v>
      </c>
      <c r="C1950" s="17" t="s">
        <v>4360</v>
      </c>
      <c r="D1950" s="17" t="s">
        <v>4361</v>
      </c>
      <c r="E1950" s="16">
        <v>7.5</v>
      </c>
      <c r="F1950" s="7">
        <f t="shared" si="3"/>
        <v>92.5</v>
      </c>
      <c r="G1950" s="17" t="s">
        <v>3113</v>
      </c>
    </row>
    <row r="1951">
      <c r="A1951" s="12">
        <v>543.0</v>
      </c>
      <c r="B1951" s="17" t="s">
        <v>4362</v>
      </c>
      <c r="C1951" s="17" t="s">
        <v>4363</v>
      </c>
      <c r="D1951" s="17" t="s">
        <v>4364</v>
      </c>
      <c r="E1951" s="16">
        <v>7.5</v>
      </c>
      <c r="F1951" s="7">
        <f t="shared" si="3"/>
        <v>92.5</v>
      </c>
      <c r="G1951" s="17" t="s">
        <v>3113</v>
      </c>
    </row>
    <row r="1952">
      <c r="A1952" s="12">
        <v>544.0</v>
      </c>
      <c r="B1952" s="17" t="s">
        <v>4365</v>
      </c>
      <c r="C1952" s="17" t="s">
        <v>4366</v>
      </c>
      <c r="D1952" s="17" t="s">
        <v>4367</v>
      </c>
      <c r="E1952" s="16">
        <v>7.5</v>
      </c>
      <c r="F1952" s="7">
        <f t="shared" si="3"/>
        <v>92.5</v>
      </c>
      <c r="G1952" s="17" t="s">
        <v>3113</v>
      </c>
    </row>
    <row r="1953">
      <c r="A1953" s="12">
        <v>545.0</v>
      </c>
      <c r="B1953" s="17" t="s">
        <v>4368</v>
      </c>
      <c r="C1953" s="17" t="s">
        <v>4369</v>
      </c>
      <c r="D1953" s="17" t="s">
        <v>4370</v>
      </c>
      <c r="E1953" s="16">
        <v>7.5</v>
      </c>
      <c r="F1953" s="7">
        <f t="shared" si="3"/>
        <v>92.5</v>
      </c>
      <c r="G1953" s="17" t="s">
        <v>3113</v>
      </c>
    </row>
    <row r="1954">
      <c r="A1954" s="12">
        <v>546.0</v>
      </c>
      <c r="B1954" s="17" t="s">
        <v>4371</v>
      </c>
      <c r="C1954" s="17" t="s">
        <v>4372</v>
      </c>
      <c r="D1954" s="17" t="s">
        <v>4373</v>
      </c>
      <c r="E1954" s="16">
        <v>7.5</v>
      </c>
      <c r="F1954" s="7">
        <f t="shared" si="3"/>
        <v>92.5</v>
      </c>
      <c r="G1954" s="17" t="s">
        <v>3113</v>
      </c>
    </row>
    <row r="1955">
      <c r="A1955" s="12">
        <v>547.0</v>
      </c>
      <c r="B1955" s="17" t="s">
        <v>4371</v>
      </c>
      <c r="C1955" s="17" t="s">
        <v>4374</v>
      </c>
      <c r="D1955" s="17" t="s">
        <v>4375</v>
      </c>
      <c r="E1955" s="16">
        <v>7.5</v>
      </c>
      <c r="F1955" s="7">
        <f t="shared" si="3"/>
        <v>92.5</v>
      </c>
      <c r="G1955" s="17" t="s">
        <v>3113</v>
      </c>
    </row>
    <row r="1956">
      <c r="A1956" s="12">
        <v>548.0</v>
      </c>
      <c r="B1956" s="17" t="s">
        <v>4376</v>
      </c>
      <c r="C1956" s="17" t="s">
        <v>4377</v>
      </c>
      <c r="D1956" s="17" t="s">
        <v>4378</v>
      </c>
      <c r="E1956" s="16">
        <v>7.5</v>
      </c>
      <c r="F1956" s="7">
        <f t="shared" si="3"/>
        <v>92.5</v>
      </c>
      <c r="G1956" s="17" t="s">
        <v>3113</v>
      </c>
    </row>
    <row r="1957">
      <c r="A1957" s="12">
        <v>549.0</v>
      </c>
      <c r="B1957" s="17" t="s">
        <v>4379</v>
      </c>
      <c r="C1957" s="17" t="s">
        <v>4380</v>
      </c>
      <c r="D1957" s="17" t="s">
        <v>4381</v>
      </c>
      <c r="E1957" s="16">
        <v>7.5</v>
      </c>
      <c r="F1957" s="7">
        <f t="shared" si="3"/>
        <v>92.5</v>
      </c>
      <c r="G1957" s="17" t="s">
        <v>3113</v>
      </c>
    </row>
    <row r="1958">
      <c r="A1958" s="12">
        <v>550.0</v>
      </c>
      <c r="B1958" s="17" t="s">
        <v>4382</v>
      </c>
      <c r="C1958" s="17" t="s">
        <v>4383</v>
      </c>
      <c r="D1958" s="17" t="s">
        <v>4384</v>
      </c>
      <c r="E1958" s="16">
        <v>7.5</v>
      </c>
      <c r="F1958" s="7">
        <f t="shared" si="3"/>
        <v>92.5</v>
      </c>
      <c r="G1958" s="17" t="s">
        <v>3113</v>
      </c>
    </row>
    <row r="1959">
      <c r="A1959" s="12">
        <v>551.0</v>
      </c>
      <c r="B1959" s="17" t="s">
        <v>4385</v>
      </c>
      <c r="C1959" s="17" t="s">
        <v>4386</v>
      </c>
      <c r="D1959" s="17" t="s">
        <v>4387</v>
      </c>
      <c r="E1959" s="16">
        <v>7.5</v>
      </c>
      <c r="F1959" s="7">
        <f t="shared" si="3"/>
        <v>92.5</v>
      </c>
      <c r="G1959" s="17" t="s">
        <v>3113</v>
      </c>
    </row>
    <row r="1960">
      <c r="A1960" s="12">
        <v>552.0</v>
      </c>
      <c r="B1960" s="17" t="s">
        <v>4388</v>
      </c>
      <c r="C1960" s="17" t="s">
        <v>4389</v>
      </c>
      <c r="D1960" s="17" t="s">
        <v>4390</v>
      </c>
      <c r="E1960" s="16">
        <v>7.5</v>
      </c>
      <c r="F1960" s="7">
        <f t="shared" si="3"/>
        <v>92.5</v>
      </c>
      <c r="G1960" s="17" t="s">
        <v>3113</v>
      </c>
    </row>
    <row r="1961">
      <c r="A1961" s="12">
        <v>553.0</v>
      </c>
      <c r="B1961" s="17" t="s">
        <v>4391</v>
      </c>
      <c r="C1961" s="17" t="s">
        <v>4392</v>
      </c>
      <c r="D1961" s="17" t="s">
        <v>4393</v>
      </c>
      <c r="E1961" s="16">
        <v>7.5</v>
      </c>
      <c r="F1961" s="7">
        <f t="shared" si="3"/>
        <v>92.5</v>
      </c>
      <c r="G1961" s="17" t="s">
        <v>3113</v>
      </c>
    </row>
    <row r="1962">
      <c r="A1962" s="12">
        <v>554.0</v>
      </c>
      <c r="B1962" s="17" t="s">
        <v>4394</v>
      </c>
      <c r="C1962" s="17" t="s">
        <v>4395</v>
      </c>
      <c r="D1962" s="17" t="s">
        <v>4396</v>
      </c>
      <c r="E1962" s="16">
        <v>7.5</v>
      </c>
      <c r="F1962" s="7">
        <f t="shared" si="3"/>
        <v>92.5</v>
      </c>
      <c r="G1962" s="17" t="s">
        <v>3113</v>
      </c>
    </row>
    <row r="1963">
      <c r="A1963" s="12">
        <v>555.0</v>
      </c>
      <c r="B1963" s="17" t="s">
        <v>4397</v>
      </c>
      <c r="C1963" s="17" t="s">
        <v>4398</v>
      </c>
      <c r="D1963" s="17" t="s">
        <v>4399</v>
      </c>
      <c r="E1963" s="16">
        <v>7.5</v>
      </c>
      <c r="F1963" s="7">
        <f t="shared" si="3"/>
        <v>92.5</v>
      </c>
      <c r="G1963" s="17" t="s">
        <v>3113</v>
      </c>
    </row>
    <row r="1964">
      <c r="A1964" s="12">
        <v>556.0</v>
      </c>
      <c r="B1964" s="17" t="s">
        <v>4400</v>
      </c>
      <c r="C1964" s="17" t="s">
        <v>4401</v>
      </c>
      <c r="D1964" s="17" t="s">
        <v>4402</v>
      </c>
      <c r="E1964" s="16">
        <v>7.5</v>
      </c>
      <c r="F1964" s="7">
        <f t="shared" si="3"/>
        <v>92.5</v>
      </c>
      <c r="G1964" s="17" t="s">
        <v>3113</v>
      </c>
    </row>
    <row r="1965">
      <c r="A1965" s="12">
        <v>557.0</v>
      </c>
      <c r="B1965" s="17" t="s">
        <v>4403</v>
      </c>
      <c r="C1965" s="17" t="s">
        <v>4404</v>
      </c>
      <c r="D1965" s="17" t="s">
        <v>4405</v>
      </c>
      <c r="E1965" s="16">
        <v>7.5</v>
      </c>
      <c r="F1965" s="7">
        <f t="shared" si="3"/>
        <v>92.5</v>
      </c>
      <c r="G1965" s="17" t="s">
        <v>3113</v>
      </c>
    </row>
    <row r="1966">
      <c r="A1966" s="12">
        <v>558.0</v>
      </c>
      <c r="B1966" s="17" t="s">
        <v>4403</v>
      </c>
      <c r="C1966" s="17" t="s">
        <v>4406</v>
      </c>
      <c r="D1966" s="17" t="s">
        <v>4407</v>
      </c>
      <c r="E1966" s="16">
        <v>7.5</v>
      </c>
      <c r="F1966" s="7">
        <f t="shared" si="3"/>
        <v>92.5</v>
      </c>
      <c r="G1966" s="17" t="s">
        <v>3113</v>
      </c>
    </row>
    <row r="1967">
      <c r="A1967" s="12">
        <v>559.0</v>
      </c>
      <c r="B1967" s="17" t="s">
        <v>4408</v>
      </c>
      <c r="C1967" s="17" t="s">
        <v>4409</v>
      </c>
      <c r="D1967" s="17" t="s">
        <v>4410</v>
      </c>
      <c r="E1967" s="16">
        <v>7.5</v>
      </c>
      <c r="F1967" s="7">
        <f t="shared" si="3"/>
        <v>92.5</v>
      </c>
      <c r="G1967" s="17" t="s">
        <v>3113</v>
      </c>
    </row>
    <row r="1968">
      <c r="A1968" s="12">
        <v>560.0</v>
      </c>
      <c r="B1968" s="17" t="s">
        <v>4411</v>
      </c>
      <c r="C1968" s="17" t="s">
        <v>4412</v>
      </c>
      <c r="D1968" s="17" t="s">
        <v>4413</v>
      </c>
      <c r="E1968" s="16">
        <v>7.5</v>
      </c>
      <c r="F1968" s="7">
        <f t="shared" si="3"/>
        <v>92.5</v>
      </c>
      <c r="G1968" s="17" t="s">
        <v>3113</v>
      </c>
    </row>
    <row r="1969">
      <c r="A1969" s="12">
        <v>561.0</v>
      </c>
      <c r="B1969" s="17" t="s">
        <v>4414</v>
      </c>
      <c r="C1969" s="17" t="s">
        <v>4415</v>
      </c>
      <c r="D1969" s="17" t="s">
        <v>4416</v>
      </c>
      <c r="E1969" s="16">
        <v>7.5</v>
      </c>
      <c r="F1969" s="7">
        <f t="shared" si="3"/>
        <v>92.5</v>
      </c>
      <c r="G1969" s="17" t="s">
        <v>3113</v>
      </c>
    </row>
    <row r="1970">
      <c r="A1970" s="12">
        <v>562.0</v>
      </c>
      <c r="B1970" s="17" t="s">
        <v>4417</v>
      </c>
      <c r="C1970" s="17" t="s">
        <v>4418</v>
      </c>
      <c r="D1970" s="17" t="s">
        <v>4419</v>
      </c>
      <c r="E1970" s="16">
        <v>7.5</v>
      </c>
      <c r="F1970" s="7">
        <f t="shared" si="3"/>
        <v>92.5</v>
      </c>
      <c r="G1970" s="17" t="s">
        <v>3113</v>
      </c>
    </row>
    <row r="1971">
      <c r="A1971" s="12">
        <v>563.0</v>
      </c>
      <c r="B1971" s="17" t="s">
        <v>4420</v>
      </c>
      <c r="C1971" s="17" t="s">
        <v>4421</v>
      </c>
      <c r="D1971" s="17" t="s">
        <v>4422</v>
      </c>
      <c r="E1971" s="16">
        <v>7.5</v>
      </c>
      <c r="F1971" s="7">
        <f t="shared" si="3"/>
        <v>92.5</v>
      </c>
      <c r="G1971" s="17" t="s">
        <v>3113</v>
      </c>
    </row>
    <row r="1972">
      <c r="A1972" s="12">
        <v>564.0</v>
      </c>
      <c r="B1972" s="17" t="s">
        <v>4420</v>
      </c>
      <c r="C1972" s="17" t="s">
        <v>4423</v>
      </c>
      <c r="D1972" s="17" t="s">
        <v>4424</v>
      </c>
      <c r="E1972" s="16">
        <v>7.5</v>
      </c>
      <c r="F1972" s="7">
        <f t="shared" si="3"/>
        <v>92.5</v>
      </c>
      <c r="G1972" s="17" t="s">
        <v>3113</v>
      </c>
    </row>
    <row r="1973">
      <c r="A1973" s="12">
        <v>565.0</v>
      </c>
      <c r="B1973" s="17" t="s">
        <v>4425</v>
      </c>
      <c r="C1973" s="17" t="s">
        <v>4426</v>
      </c>
      <c r="D1973" s="17" t="s">
        <v>4427</v>
      </c>
      <c r="E1973" s="16">
        <v>7.5</v>
      </c>
      <c r="F1973" s="7">
        <f t="shared" si="3"/>
        <v>92.5</v>
      </c>
      <c r="G1973" s="17" t="s">
        <v>3113</v>
      </c>
    </row>
    <row r="1974">
      <c r="A1974" s="12">
        <v>566.0</v>
      </c>
      <c r="B1974" s="17" t="s">
        <v>4428</v>
      </c>
      <c r="C1974" s="17" t="s">
        <v>4429</v>
      </c>
      <c r="D1974" s="17" t="s">
        <v>4430</v>
      </c>
      <c r="E1974" s="16">
        <v>7.5</v>
      </c>
      <c r="F1974" s="7">
        <f t="shared" si="3"/>
        <v>92.5</v>
      </c>
      <c r="G1974" s="17" t="s">
        <v>3113</v>
      </c>
    </row>
    <row r="1975">
      <c r="A1975" s="12">
        <v>567.0</v>
      </c>
      <c r="B1975" s="17" t="s">
        <v>4431</v>
      </c>
      <c r="C1975" s="17" t="s">
        <v>4432</v>
      </c>
      <c r="D1975" s="17" t="s">
        <v>4433</v>
      </c>
      <c r="E1975" s="16">
        <v>7.5</v>
      </c>
      <c r="F1975" s="7">
        <f t="shared" si="3"/>
        <v>92.5</v>
      </c>
      <c r="G1975" s="17" t="s">
        <v>3113</v>
      </c>
    </row>
    <row r="1976">
      <c r="A1976" s="12">
        <v>568.0</v>
      </c>
      <c r="B1976" s="17" t="s">
        <v>4434</v>
      </c>
      <c r="C1976" s="17" t="s">
        <v>4435</v>
      </c>
      <c r="D1976" s="17" t="s">
        <v>4436</v>
      </c>
      <c r="E1976" s="16">
        <v>7.5</v>
      </c>
      <c r="F1976" s="7">
        <f t="shared" si="3"/>
        <v>92.5</v>
      </c>
      <c r="G1976" s="17" t="s">
        <v>3113</v>
      </c>
    </row>
    <row r="1977">
      <c r="A1977" s="12">
        <v>569.0</v>
      </c>
      <c r="B1977" s="17" t="s">
        <v>4437</v>
      </c>
      <c r="C1977" s="17" t="s">
        <v>4438</v>
      </c>
      <c r="D1977" s="17" t="s">
        <v>4439</v>
      </c>
      <c r="E1977" s="16">
        <v>7.5</v>
      </c>
      <c r="F1977" s="7">
        <f t="shared" si="3"/>
        <v>92.5</v>
      </c>
      <c r="G1977" s="17" t="s">
        <v>3113</v>
      </c>
    </row>
    <row r="1978">
      <c r="A1978" s="12">
        <v>570.0</v>
      </c>
      <c r="B1978" s="17" t="s">
        <v>4440</v>
      </c>
      <c r="C1978" s="17" t="s">
        <v>4441</v>
      </c>
      <c r="D1978" s="17" t="s">
        <v>4442</v>
      </c>
      <c r="E1978" s="16">
        <v>7.5</v>
      </c>
      <c r="F1978" s="7">
        <f t="shared" si="3"/>
        <v>92.5</v>
      </c>
      <c r="G1978" s="17" t="s">
        <v>3113</v>
      </c>
    </row>
    <row r="1979">
      <c r="A1979" s="12">
        <v>571.0</v>
      </c>
      <c r="B1979" s="17" t="s">
        <v>4440</v>
      </c>
      <c r="C1979" s="17" t="s">
        <v>4443</v>
      </c>
      <c r="D1979" s="17" t="s">
        <v>4444</v>
      </c>
      <c r="E1979" s="16">
        <v>7.5</v>
      </c>
      <c r="F1979" s="7">
        <f t="shared" si="3"/>
        <v>92.5</v>
      </c>
      <c r="G1979" s="17" t="s">
        <v>3113</v>
      </c>
    </row>
    <row r="1980">
      <c r="A1980" s="12">
        <v>572.0</v>
      </c>
      <c r="B1980" s="17" t="s">
        <v>4445</v>
      </c>
      <c r="C1980" s="17" t="s">
        <v>4446</v>
      </c>
      <c r="D1980" s="17" t="s">
        <v>4447</v>
      </c>
      <c r="E1980" s="16">
        <v>7.5</v>
      </c>
      <c r="F1980" s="7">
        <f t="shared" si="3"/>
        <v>92.5</v>
      </c>
      <c r="G1980" s="17" t="s">
        <v>3113</v>
      </c>
    </row>
    <row r="1981">
      <c r="A1981" s="12">
        <v>573.0</v>
      </c>
      <c r="B1981" s="17" t="s">
        <v>4448</v>
      </c>
      <c r="C1981" s="17" t="s">
        <v>4449</v>
      </c>
      <c r="D1981" s="17" t="s">
        <v>4450</v>
      </c>
      <c r="E1981" s="16">
        <v>7.5</v>
      </c>
      <c r="F1981" s="7">
        <f t="shared" si="3"/>
        <v>92.5</v>
      </c>
      <c r="G1981" s="17" t="s">
        <v>3113</v>
      </c>
    </row>
    <row r="1982">
      <c r="A1982" s="12">
        <v>574.0</v>
      </c>
      <c r="B1982" s="17" t="s">
        <v>4451</v>
      </c>
      <c r="C1982" s="17" t="s">
        <v>4452</v>
      </c>
      <c r="D1982" s="17" t="s">
        <v>4453</v>
      </c>
      <c r="E1982" s="16">
        <v>7.5</v>
      </c>
      <c r="F1982" s="7">
        <f t="shared" si="3"/>
        <v>92.5</v>
      </c>
      <c r="G1982" s="17" t="s">
        <v>3113</v>
      </c>
    </row>
    <row r="1983">
      <c r="A1983" s="12">
        <v>575.0</v>
      </c>
      <c r="B1983" s="17" t="s">
        <v>4454</v>
      </c>
      <c r="C1983" s="17" t="s">
        <v>4455</v>
      </c>
      <c r="D1983" s="17" t="s">
        <v>4456</v>
      </c>
      <c r="E1983" s="16">
        <v>7.5</v>
      </c>
      <c r="F1983" s="7">
        <f t="shared" si="3"/>
        <v>92.5</v>
      </c>
      <c r="G1983" s="17" t="s">
        <v>3113</v>
      </c>
    </row>
    <row r="1984">
      <c r="A1984" s="12">
        <v>576.0</v>
      </c>
      <c r="B1984" s="17" t="s">
        <v>4454</v>
      </c>
      <c r="C1984" s="17" t="s">
        <v>4457</v>
      </c>
      <c r="D1984" s="17" t="s">
        <v>4458</v>
      </c>
      <c r="E1984" s="16">
        <v>7.5</v>
      </c>
      <c r="F1984" s="7">
        <f t="shared" si="3"/>
        <v>92.5</v>
      </c>
      <c r="G1984" s="17" t="s">
        <v>3113</v>
      </c>
    </row>
    <row r="1985">
      <c r="A1985" s="12">
        <v>577.0</v>
      </c>
      <c r="B1985" s="17" t="s">
        <v>4459</v>
      </c>
      <c r="C1985" s="17" t="s">
        <v>4460</v>
      </c>
      <c r="D1985" s="17" t="s">
        <v>4461</v>
      </c>
      <c r="E1985" s="16">
        <v>7.5</v>
      </c>
      <c r="F1985" s="7">
        <f t="shared" si="3"/>
        <v>92.5</v>
      </c>
      <c r="G1985" s="17" t="s">
        <v>3113</v>
      </c>
    </row>
    <row r="1986">
      <c r="A1986" s="12">
        <v>578.0</v>
      </c>
      <c r="B1986" s="17" t="s">
        <v>4462</v>
      </c>
      <c r="C1986" s="17" t="s">
        <v>4463</v>
      </c>
      <c r="D1986" s="17" t="s">
        <v>4464</v>
      </c>
      <c r="E1986" s="16">
        <v>7.5</v>
      </c>
      <c r="F1986" s="7">
        <f t="shared" si="3"/>
        <v>92.5</v>
      </c>
      <c r="G1986" s="17" t="s">
        <v>3113</v>
      </c>
    </row>
    <row r="1987">
      <c r="A1987" s="12">
        <v>579.0</v>
      </c>
      <c r="B1987" s="17" t="s">
        <v>4465</v>
      </c>
      <c r="C1987" s="17" t="s">
        <v>4466</v>
      </c>
      <c r="D1987" s="17" t="s">
        <v>4467</v>
      </c>
      <c r="E1987" s="16">
        <v>7.5</v>
      </c>
      <c r="F1987" s="7">
        <f t="shared" si="3"/>
        <v>92.5</v>
      </c>
      <c r="G1987" s="17" t="s">
        <v>3113</v>
      </c>
    </row>
    <row r="1988">
      <c r="A1988" s="12">
        <v>580.0</v>
      </c>
      <c r="B1988" s="17" t="s">
        <v>4465</v>
      </c>
      <c r="C1988" s="17" t="s">
        <v>4468</v>
      </c>
      <c r="D1988" s="17" t="s">
        <v>4469</v>
      </c>
      <c r="E1988" s="16">
        <v>7.5</v>
      </c>
      <c r="F1988" s="7">
        <f t="shared" si="3"/>
        <v>92.5</v>
      </c>
      <c r="G1988" s="17" t="s">
        <v>3113</v>
      </c>
    </row>
    <row r="1989">
      <c r="A1989" s="12">
        <v>581.0</v>
      </c>
      <c r="B1989" s="17" t="s">
        <v>4470</v>
      </c>
      <c r="C1989" s="17" t="s">
        <v>4471</v>
      </c>
      <c r="D1989" s="17" t="s">
        <v>4472</v>
      </c>
      <c r="E1989" s="16">
        <v>7.5</v>
      </c>
      <c r="F1989" s="7">
        <f t="shared" si="3"/>
        <v>92.5</v>
      </c>
      <c r="G1989" s="17" t="s">
        <v>3113</v>
      </c>
    </row>
    <row r="1990">
      <c r="A1990" s="12">
        <v>582.0</v>
      </c>
      <c r="B1990" s="17" t="s">
        <v>4473</v>
      </c>
      <c r="C1990" s="17" t="s">
        <v>4474</v>
      </c>
      <c r="D1990" s="17" t="s">
        <v>4475</v>
      </c>
      <c r="E1990" s="16">
        <v>7.5</v>
      </c>
      <c r="F1990" s="7">
        <f t="shared" si="3"/>
        <v>92.5</v>
      </c>
      <c r="G1990" s="17" t="s">
        <v>3113</v>
      </c>
    </row>
    <row r="1991">
      <c r="A1991" s="12">
        <v>583.0</v>
      </c>
      <c r="B1991" s="17" t="s">
        <v>4473</v>
      </c>
      <c r="C1991" s="17" t="s">
        <v>4476</v>
      </c>
      <c r="D1991" s="17" t="s">
        <v>4477</v>
      </c>
      <c r="E1991" s="16">
        <v>7.5</v>
      </c>
      <c r="F1991" s="7">
        <f t="shared" si="3"/>
        <v>92.5</v>
      </c>
      <c r="G1991" s="17" t="s">
        <v>3113</v>
      </c>
    </row>
    <row r="1992">
      <c r="A1992" s="12">
        <v>584.0</v>
      </c>
      <c r="B1992" s="17" t="s">
        <v>4478</v>
      </c>
      <c r="C1992" s="17" t="s">
        <v>4479</v>
      </c>
      <c r="D1992" s="17" t="s">
        <v>4480</v>
      </c>
      <c r="E1992" s="16">
        <v>7.5</v>
      </c>
      <c r="F1992" s="7">
        <f t="shared" si="3"/>
        <v>92.5</v>
      </c>
      <c r="G1992" s="17" t="s">
        <v>3113</v>
      </c>
    </row>
    <row r="1993">
      <c r="A1993" s="12">
        <v>585.0</v>
      </c>
      <c r="B1993" s="17" t="s">
        <v>4481</v>
      </c>
      <c r="C1993" s="17" t="s">
        <v>4482</v>
      </c>
      <c r="D1993" s="17" t="s">
        <v>4483</v>
      </c>
      <c r="E1993" s="16">
        <v>7.5</v>
      </c>
      <c r="F1993" s="7">
        <f t="shared" si="3"/>
        <v>92.5</v>
      </c>
      <c r="G1993" s="17" t="s">
        <v>3113</v>
      </c>
    </row>
    <row r="1994">
      <c r="A1994" s="12">
        <v>586.0</v>
      </c>
      <c r="B1994" s="17" t="s">
        <v>4484</v>
      </c>
      <c r="C1994" s="17" t="s">
        <v>4485</v>
      </c>
      <c r="D1994" s="17" t="s">
        <v>4486</v>
      </c>
      <c r="E1994" s="16">
        <v>7.5</v>
      </c>
      <c r="F1994" s="7">
        <f t="shared" si="3"/>
        <v>92.5</v>
      </c>
      <c r="G1994" s="17" t="s">
        <v>3113</v>
      </c>
    </row>
    <row r="1995">
      <c r="A1995" s="12">
        <v>587.0</v>
      </c>
      <c r="B1995" s="17" t="s">
        <v>4487</v>
      </c>
      <c r="C1995" s="17" t="s">
        <v>4488</v>
      </c>
      <c r="D1995" s="17" t="s">
        <v>4489</v>
      </c>
      <c r="E1995" s="16">
        <v>7.5</v>
      </c>
      <c r="F1995" s="7">
        <f t="shared" si="3"/>
        <v>92.5</v>
      </c>
      <c r="G1995" s="17" t="s">
        <v>3113</v>
      </c>
    </row>
    <row r="1996">
      <c r="A1996" s="12">
        <v>588.0</v>
      </c>
      <c r="B1996" s="17" t="s">
        <v>4490</v>
      </c>
      <c r="C1996" s="17" t="s">
        <v>4491</v>
      </c>
      <c r="D1996" s="17" t="s">
        <v>4492</v>
      </c>
      <c r="E1996" s="16">
        <v>7.5</v>
      </c>
      <c r="F1996" s="7">
        <f t="shared" si="3"/>
        <v>92.5</v>
      </c>
      <c r="G1996" s="17" t="s">
        <v>3113</v>
      </c>
    </row>
    <row r="1997">
      <c r="A1997" s="12">
        <v>589.0</v>
      </c>
      <c r="B1997" s="17" t="s">
        <v>4493</v>
      </c>
      <c r="C1997" s="17" t="s">
        <v>4494</v>
      </c>
      <c r="D1997" s="17" t="s">
        <v>4495</v>
      </c>
      <c r="E1997" s="16">
        <v>7.5</v>
      </c>
      <c r="F1997" s="7">
        <f t="shared" si="3"/>
        <v>92.5</v>
      </c>
      <c r="G1997" s="17" t="s">
        <v>3113</v>
      </c>
    </row>
    <row r="1998">
      <c r="A1998" s="12">
        <v>590.0</v>
      </c>
      <c r="B1998" s="17" t="s">
        <v>4496</v>
      </c>
      <c r="C1998" s="17" t="s">
        <v>4497</v>
      </c>
      <c r="D1998" s="17" t="s">
        <v>4498</v>
      </c>
      <c r="E1998" s="16">
        <v>7.5</v>
      </c>
      <c r="F1998" s="7">
        <f t="shared" si="3"/>
        <v>92.5</v>
      </c>
      <c r="G1998" s="17" t="s">
        <v>3113</v>
      </c>
    </row>
    <row r="1999">
      <c r="A1999" s="12">
        <v>591.0</v>
      </c>
      <c r="B1999" s="17" t="s">
        <v>4499</v>
      </c>
      <c r="C1999" s="17" t="s">
        <v>4500</v>
      </c>
      <c r="D1999" s="17" t="s">
        <v>4501</v>
      </c>
      <c r="E1999" s="16">
        <v>7.5</v>
      </c>
      <c r="F1999" s="7">
        <f t="shared" si="3"/>
        <v>92.5</v>
      </c>
      <c r="G1999" s="17" t="s">
        <v>3113</v>
      </c>
    </row>
    <row r="2000">
      <c r="A2000" s="12">
        <v>592.0</v>
      </c>
      <c r="B2000" s="17" t="s">
        <v>4502</v>
      </c>
      <c r="C2000" s="17" t="s">
        <v>4503</v>
      </c>
      <c r="D2000" s="17" t="s">
        <v>4504</v>
      </c>
      <c r="E2000" s="16">
        <v>7.5</v>
      </c>
      <c r="F2000" s="7">
        <f t="shared" si="3"/>
        <v>92.5</v>
      </c>
      <c r="G2000" s="17" t="s">
        <v>3113</v>
      </c>
    </row>
    <row r="2001">
      <c r="A2001" s="12">
        <v>593.0</v>
      </c>
      <c r="B2001" s="17" t="s">
        <v>4505</v>
      </c>
      <c r="C2001" s="17" t="s">
        <v>4506</v>
      </c>
      <c r="D2001" s="17" t="s">
        <v>4507</v>
      </c>
      <c r="E2001" s="16">
        <v>7.5</v>
      </c>
      <c r="F2001" s="7">
        <f t="shared" si="3"/>
        <v>92.5</v>
      </c>
      <c r="G2001" s="17" t="s">
        <v>3113</v>
      </c>
    </row>
    <row r="2002">
      <c r="A2002" s="12">
        <v>594.0</v>
      </c>
      <c r="B2002" s="17" t="s">
        <v>4508</v>
      </c>
      <c r="C2002" s="17" t="s">
        <v>4509</v>
      </c>
      <c r="D2002" s="17" t="s">
        <v>4510</v>
      </c>
      <c r="E2002" s="16">
        <v>7.5</v>
      </c>
      <c r="F2002" s="7">
        <f t="shared" si="3"/>
        <v>92.5</v>
      </c>
      <c r="G2002" s="17" t="s">
        <v>3113</v>
      </c>
    </row>
    <row r="2003">
      <c r="A2003" s="12">
        <v>595.0</v>
      </c>
      <c r="B2003" s="17" t="s">
        <v>4511</v>
      </c>
      <c r="C2003" s="17" t="s">
        <v>4512</v>
      </c>
      <c r="D2003" s="17" t="s">
        <v>4513</v>
      </c>
      <c r="E2003" s="16">
        <v>7.5</v>
      </c>
      <c r="F2003" s="7">
        <f t="shared" si="3"/>
        <v>92.5</v>
      </c>
      <c r="G2003" s="17" t="s">
        <v>3113</v>
      </c>
    </row>
    <row r="2004">
      <c r="A2004" s="12">
        <v>596.0</v>
      </c>
      <c r="B2004" s="17" t="s">
        <v>4514</v>
      </c>
      <c r="C2004" s="17" t="s">
        <v>4515</v>
      </c>
      <c r="D2004" s="17" t="s">
        <v>4516</v>
      </c>
      <c r="E2004" s="16">
        <v>7.5</v>
      </c>
      <c r="F2004" s="7">
        <f t="shared" si="3"/>
        <v>92.5</v>
      </c>
      <c r="G2004" s="17" t="s">
        <v>3113</v>
      </c>
    </row>
    <row r="2005">
      <c r="A2005" s="12">
        <v>597.0</v>
      </c>
      <c r="B2005" s="17" t="s">
        <v>4517</v>
      </c>
      <c r="C2005" s="17" t="s">
        <v>4518</v>
      </c>
      <c r="D2005" s="17" t="s">
        <v>4519</v>
      </c>
      <c r="E2005" s="16">
        <v>7.5</v>
      </c>
      <c r="F2005" s="7">
        <f t="shared" si="3"/>
        <v>92.5</v>
      </c>
      <c r="G2005" s="17" t="s">
        <v>3113</v>
      </c>
    </row>
    <row r="2006">
      <c r="A2006" s="12">
        <v>598.0</v>
      </c>
      <c r="B2006" s="17" t="s">
        <v>4520</v>
      </c>
      <c r="C2006" s="17" t="s">
        <v>4521</v>
      </c>
      <c r="D2006" s="17" t="s">
        <v>4522</v>
      </c>
      <c r="E2006" s="16">
        <v>7.5</v>
      </c>
      <c r="F2006" s="7">
        <f t="shared" si="3"/>
        <v>92.5</v>
      </c>
      <c r="G2006" s="17" t="s">
        <v>3113</v>
      </c>
    </row>
    <row r="2007">
      <c r="A2007" s="12">
        <v>599.0</v>
      </c>
      <c r="B2007" s="17" t="s">
        <v>4523</v>
      </c>
      <c r="C2007" s="17" t="s">
        <v>4524</v>
      </c>
      <c r="D2007" s="17" t="s">
        <v>4525</v>
      </c>
      <c r="E2007" s="16">
        <v>7.5</v>
      </c>
      <c r="F2007" s="7">
        <f t="shared" si="3"/>
        <v>92.5</v>
      </c>
      <c r="G2007" s="17" t="s">
        <v>3113</v>
      </c>
    </row>
    <row r="2008">
      <c r="A2008" s="12">
        <v>600.0</v>
      </c>
      <c r="B2008" s="17" t="s">
        <v>4526</v>
      </c>
      <c r="C2008" s="17" t="s">
        <v>4527</v>
      </c>
      <c r="D2008" s="17" t="s">
        <v>4528</v>
      </c>
      <c r="E2008" s="16">
        <v>7.5</v>
      </c>
      <c r="F2008" s="7">
        <f t="shared" si="3"/>
        <v>92.5</v>
      </c>
      <c r="G2008" s="17" t="s">
        <v>3113</v>
      </c>
    </row>
    <row r="2009">
      <c r="A2009" s="12">
        <v>601.0</v>
      </c>
      <c r="B2009" s="17" t="s">
        <v>4529</v>
      </c>
      <c r="C2009" s="17" t="s">
        <v>4530</v>
      </c>
      <c r="D2009" s="17" t="s">
        <v>4531</v>
      </c>
      <c r="E2009" s="16">
        <v>7.5</v>
      </c>
      <c r="F2009" s="7">
        <f t="shared" si="3"/>
        <v>92.5</v>
      </c>
      <c r="G2009" s="17" t="s">
        <v>3113</v>
      </c>
    </row>
    <row r="2010">
      <c r="A2010" s="12">
        <v>602.0</v>
      </c>
      <c r="B2010" s="17" t="s">
        <v>4532</v>
      </c>
      <c r="C2010" s="17" t="s">
        <v>4533</v>
      </c>
      <c r="D2010" s="17" t="s">
        <v>4534</v>
      </c>
      <c r="E2010" s="16">
        <v>7.5</v>
      </c>
      <c r="F2010" s="7">
        <f t="shared" si="3"/>
        <v>92.5</v>
      </c>
      <c r="G2010" s="17" t="s">
        <v>3113</v>
      </c>
    </row>
    <row r="2011">
      <c r="A2011" s="12">
        <v>603.0</v>
      </c>
      <c r="B2011" s="17" t="s">
        <v>4535</v>
      </c>
      <c r="C2011" s="17" t="s">
        <v>4536</v>
      </c>
      <c r="D2011" s="17" t="s">
        <v>4537</v>
      </c>
      <c r="E2011" s="16">
        <v>7.5</v>
      </c>
      <c r="F2011" s="7">
        <f t="shared" si="3"/>
        <v>92.5</v>
      </c>
      <c r="G2011" s="17" t="s">
        <v>3113</v>
      </c>
    </row>
    <row r="2012">
      <c r="A2012" s="12">
        <v>604.0</v>
      </c>
      <c r="B2012" s="17" t="s">
        <v>4538</v>
      </c>
      <c r="C2012" s="17" t="s">
        <v>4539</v>
      </c>
      <c r="D2012" s="17" t="s">
        <v>4540</v>
      </c>
      <c r="E2012" s="16">
        <v>7.5</v>
      </c>
      <c r="F2012" s="7">
        <f t="shared" si="3"/>
        <v>92.5</v>
      </c>
      <c r="G2012" s="17" t="s">
        <v>3113</v>
      </c>
    </row>
    <row r="2013">
      <c r="A2013" s="12">
        <v>605.0</v>
      </c>
      <c r="B2013" s="17" t="s">
        <v>4541</v>
      </c>
      <c r="C2013" s="17" t="s">
        <v>4542</v>
      </c>
      <c r="D2013" s="17" t="s">
        <v>4543</v>
      </c>
      <c r="E2013" s="16">
        <v>7.5</v>
      </c>
      <c r="F2013" s="7">
        <f t="shared" si="3"/>
        <v>92.5</v>
      </c>
      <c r="G2013" s="17" t="s">
        <v>3113</v>
      </c>
    </row>
    <row r="2014">
      <c r="A2014" s="12">
        <v>606.0</v>
      </c>
      <c r="B2014" s="17" t="s">
        <v>4544</v>
      </c>
      <c r="C2014" s="17" t="s">
        <v>4545</v>
      </c>
      <c r="D2014" s="17" t="s">
        <v>4546</v>
      </c>
      <c r="E2014" s="16">
        <v>7.5</v>
      </c>
      <c r="F2014" s="7">
        <f t="shared" si="3"/>
        <v>92.5</v>
      </c>
      <c r="G2014" s="17" t="s">
        <v>3113</v>
      </c>
    </row>
    <row r="2015">
      <c r="A2015" s="12">
        <v>607.0</v>
      </c>
      <c r="B2015" s="17" t="s">
        <v>4547</v>
      </c>
      <c r="C2015" s="17" t="s">
        <v>4548</v>
      </c>
      <c r="D2015" s="17" t="s">
        <v>4549</v>
      </c>
      <c r="E2015" s="16">
        <v>7.5</v>
      </c>
      <c r="F2015" s="7">
        <f t="shared" si="3"/>
        <v>92.5</v>
      </c>
      <c r="G2015" s="17" t="s">
        <v>3113</v>
      </c>
    </row>
    <row r="2016">
      <c r="A2016" s="12">
        <v>608.0</v>
      </c>
      <c r="B2016" s="17" t="s">
        <v>4550</v>
      </c>
      <c r="C2016" s="17" t="s">
        <v>4551</v>
      </c>
      <c r="D2016" s="17" t="s">
        <v>4552</v>
      </c>
      <c r="E2016" s="16">
        <v>7.5</v>
      </c>
      <c r="F2016" s="7">
        <f t="shared" si="3"/>
        <v>92.5</v>
      </c>
      <c r="G2016" s="17" t="s">
        <v>3113</v>
      </c>
    </row>
    <row r="2017">
      <c r="A2017" s="12">
        <v>609.0</v>
      </c>
      <c r="B2017" s="17" t="s">
        <v>4553</v>
      </c>
      <c r="C2017" s="17" t="s">
        <v>4554</v>
      </c>
      <c r="D2017" s="17" t="s">
        <v>4555</v>
      </c>
      <c r="E2017" s="16">
        <v>7.5</v>
      </c>
      <c r="F2017" s="7">
        <f t="shared" si="3"/>
        <v>92.5</v>
      </c>
      <c r="G2017" s="17" t="s">
        <v>3113</v>
      </c>
    </row>
    <row r="2018">
      <c r="A2018" s="12">
        <v>610.0</v>
      </c>
      <c r="B2018" s="17" t="s">
        <v>4556</v>
      </c>
      <c r="C2018" s="17" t="s">
        <v>4557</v>
      </c>
      <c r="D2018" s="17" t="s">
        <v>4558</v>
      </c>
      <c r="E2018" s="16">
        <v>7.5</v>
      </c>
      <c r="F2018" s="7">
        <f t="shared" si="3"/>
        <v>92.5</v>
      </c>
      <c r="G2018" s="17" t="s">
        <v>3113</v>
      </c>
    </row>
    <row r="2019">
      <c r="A2019" s="12">
        <v>611.0</v>
      </c>
      <c r="B2019" s="17" t="s">
        <v>4559</v>
      </c>
      <c r="C2019" s="17" t="s">
        <v>4560</v>
      </c>
      <c r="D2019" s="17" t="s">
        <v>4561</v>
      </c>
      <c r="E2019" s="16">
        <v>7.5</v>
      </c>
      <c r="F2019" s="7">
        <f t="shared" si="3"/>
        <v>92.5</v>
      </c>
      <c r="G2019" s="17" t="s">
        <v>3113</v>
      </c>
    </row>
    <row r="2020">
      <c r="A2020" s="12">
        <v>612.0</v>
      </c>
      <c r="B2020" s="17" t="s">
        <v>4562</v>
      </c>
      <c r="C2020" s="17" t="s">
        <v>4563</v>
      </c>
      <c r="D2020" s="17" t="s">
        <v>4564</v>
      </c>
      <c r="E2020" s="16">
        <v>7.5</v>
      </c>
      <c r="F2020" s="7">
        <f t="shared" si="3"/>
        <v>92.5</v>
      </c>
      <c r="G2020" s="17" t="s">
        <v>3113</v>
      </c>
    </row>
    <row r="2021">
      <c r="A2021" s="12">
        <v>613.0</v>
      </c>
      <c r="B2021" s="17" t="s">
        <v>4565</v>
      </c>
      <c r="C2021" s="17" t="s">
        <v>4566</v>
      </c>
      <c r="D2021" s="17" t="s">
        <v>4567</v>
      </c>
      <c r="E2021" s="16">
        <v>7.5</v>
      </c>
      <c r="F2021" s="7">
        <f t="shared" si="3"/>
        <v>92.5</v>
      </c>
      <c r="G2021" s="17" t="s">
        <v>3113</v>
      </c>
    </row>
    <row r="2022">
      <c r="A2022" s="12">
        <v>614.0</v>
      </c>
      <c r="B2022" s="17" t="s">
        <v>4568</v>
      </c>
      <c r="C2022" s="17" t="s">
        <v>4569</v>
      </c>
      <c r="D2022" s="17" t="s">
        <v>4570</v>
      </c>
      <c r="E2022" s="16">
        <v>7.5</v>
      </c>
      <c r="F2022" s="7">
        <f t="shared" si="3"/>
        <v>92.5</v>
      </c>
      <c r="G2022" s="17" t="s">
        <v>3113</v>
      </c>
    </row>
    <row r="2023">
      <c r="A2023" s="12">
        <v>615.0</v>
      </c>
      <c r="B2023" s="17" t="s">
        <v>4571</v>
      </c>
      <c r="C2023" s="17" t="s">
        <v>4572</v>
      </c>
      <c r="D2023" s="17" t="s">
        <v>4573</v>
      </c>
      <c r="E2023" s="16">
        <v>7.5</v>
      </c>
      <c r="F2023" s="7">
        <f t="shared" si="3"/>
        <v>92.5</v>
      </c>
      <c r="G2023" s="17" t="s">
        <v>3113</v>
      </c>
    </row>
    <row r="2024">
      <c r="A2024" s="12">
        <v>616.0</v>
      </c>
      <c r="B2024" s="17" t="s">
        <v>4574</v>
      </c>
      <c r="C2024" s="17" t="s">
        <v>4575</v>
      </c>
      <c r="D2024" s="17" t="s">
        <v>4576</v>
      </c>
      <c r="E2024" s="16">
        <v>7.5</v>
      </c>
      <c r="F2024" s="7">
        <f t="shared" si="3"/>
        <v>92.5</v>
      </c>
      <c r="G2024" s="17" t="s">
        <v>3113</v>
      </c>
    </row>
    <row r="2025">
      <c r="A2025" s="12">
        <v>617.0</v>
      </c>
      <c r="B2025" s="17" t="s">
        <v>4574</v>
      </c>
      <c r="C2025" s="17" t="s">
        <v>4577</v>
      </c>
      <c r="D2025" s="17" t="s">
        <v>4578</v>
      </c>
      <c r="E2025" s="16">
        <v>7.5</v>
      </c>
      <c r="F2025" s="7">
        <f t="shared" si="3"/>
        <v>92.5</v>
      </c>
      <c r="G2025" s="17" t="s">
        <v>3113</v>
      </c>
    </row>
    <row r="2026">
      <c r="A2026" s="12">
        <v>618.0</v>
      </c>
      <c r="B2026" s="17" t="s">
        <v>4574</v>
      </c>
      <c r="C2026" s="17" t="s">
        <v>4579</v>
      </c>
      <c r="D2026" s="17" t="s">
        <v>4578</v>
      </c>
      <c r="E2026" s="16">
        <v>7.5</v>
      </c>
      <c r="F2026" s="7">
        <f t="shared" si="3"/>
        <v>92.5</v>
      </c>
      <c r="G2026" s="17" t="s">
        <v>3113</v>
      </c>
    </row>
    <row r="2027">
      <c r="A2027" s="12">
        <v>619.0</v>
      </c>
      <c r="B2027" s="17" t="s">
        <v>4580</v>
      </c>
      <c r="C2027" s="17" t="s">
        <v>4581</v>
      </c>
      <c r="D2027" s="17" t="s">
        <v>4582</v>
      </c>
      <c r="E2027" s="16">
        <v>7.5</v>
      </c>
      <c r="F2027" s="7">
        <f t="shared" si="3"/>
        <v>92.5</v>
      </c>
      <c r="G2027" s="17" t="s">
        <v>3113</v>
      </c>
    </row>
    <row r="2028">
      <c r="A2028" s="12">
        <v>620.0</v>
      </c>
      <c r="B2028" s="17" t="s">
        <v>4580</v>
      </c>
      <c r="C2028" s="17" t="s">
        <v>4583</v>
      </c>
      <c r="D2028" s="17" t="s">
        <v>4584</v>
      </c>
      <c r="E2028" s="16">
        <v>7.5</v>
      </c>
      <c r="F2028" s="7">
        <f t="shared" si="3"/>
        <v>92.5</v>
      </c>
      <c r="G2028" s="17" t="s">
        <v>3113</v>
      </c>
    </row>
    <row r="2029">
      <c r="A2029" s="12">
        <v>621.0</v>
      </c>
      <c r="B2029" s="17" t="s">
        <v>4580</v>
      </c>
      <c r="C2029" s="17" t="s">
        <v>4585</v>
      </c>
      <c r="D2029" s="17" t="s">
        <v>4582</v>
      </c>
      <c r="E2029" s="16">
        <v>7.5</v>
      </c>
      <c r="F2029" s="7">
        <f t="shared" si="3"/>
        <v>92.5</v>
      </c>
      <c r="G2029" s="17" t="s">
        <v>3113</v>
      </c>
    </row>
    <row r="2030">
      <c r="A2030" s="12">
        <v>622.0</v>
      </c>
      <c r="B2030" s="17" t="s">
        <v>4586</v>
      </c>
      <c r="C2030" s="17" t="s">
        <v>4587</v>
      </c>
      <c r="D2030" s="17" t="s">
        <v>4588</v>
      </c>
      <c r="E2030" s="16">
        <v>7.5</v>
      </c>
      <c r="F2030" s="7">
        <f t="shared" si="3"/>
        <v>92.5</v>
      </c>
      <c r="G2030" s="17" t="s">
        <v>3113</v>
      </c>
    </row>
    <row r="2031">
      <c r="A2031" s="12">
        <v>623.0</v>
      </c>
      <c r="B2031" s="17" t="s">
        <v>4586</v>
      </c>
      <c r="C2031" s="17" t="s">
        <v>4589</v>
      </c>
      <c r="D2031" s="17" t="s">
        <v>4590</v>
      </c>
      <c r="E2031" s="16">
        <v>7.5</v>
      </c>
      <c r="F2031" s="7">
        <f t="shared" si="3"/>
        <v>92.5</v>
      </c>
      <c r="G2031" s="17" t="s">
        <v>3113</v>
      </c>
    </row>
    <row r="2032">
      <c r="A2032" s="12">
        <v>624.0</v>
      </c>
      <c r="B2032" s="17" t="s">
        <v>4586</v>
      </c>
      <c r="C2032" s="17" t="s">
        <v>4591</v>
      </c>
      <c r="D2032" s="17" t="s">
        <v>4590</v>
      </c>
      <c r="E2032" s="16">
        <v>7.5</v>
      </c>
      <c r="F2032" s="7">
        <f t="shared" si="3"/>
        <v>92.5</v>
      </c>
      <c r="G2032" s="17" t="s">
        <v>3113</v>
      </c>
    </row>
    <row r="2033">
      <c r="A2033" s="12">
        <v>625.0</v>
      </c>
      <c r="B2033" s="17" t="s">
        <v>4592</v>
      </c>
      <c r="C2033" s="17" t="s">
        <v>4593</v>
      </c>
      <c r="D2033" s="17" t="s">
        <v>4594</v>
      </c>
      <c r="E2033" s="16">
        <v>7.5</v>
      </c>
      <c r="F2033" s="7">
        <f t="shared" si="3"/>
        <v>92.5</v>
      </c>
      <c r="G2033" s="17" t="s">
        <v>3113</v>
      </c>
    </row>
    <row r="2034">
      <c r="A2034" s="12">
        <v>626.0</v>
      </c>
      <c r="B2034" s="17" t="s">
        <v>4592</v>
      </c>
      <c r="C2034" s="17" t="s">
        <v>4595</v>
      </c>
      <c r="D2034" s="17" t="s">
        <v>4596</v>
      </c>
      <c r="E2034" s="16">
        <v>7.5</v>
      </c>
      <c r="F2034" s="7">
        <f t="shared" si="3"/>
        <v>92.5</v>
      </c>
      <c r="G2034" s="17" t="s">
        <v>3113</v>
      </c>
    </row>
    <row r="2035">
      <c r="A2035" s="12">
        <v>627.0</v>
      </c>
      <c r="B2035" s="17" t="s">
        <v>4592</v>
      </c>
      <c r="C2035" s="17" t="s">
        <v>4597</v>
      </c>
      <c r="D2035" s="17" t="s">
        <v>4596</v>
      </c>
      <c r="E2035" s="16">
        <v>7.5</v>
      </c>
      <c r="F2035" s="7">
        <f t="shared" si="3"/>
        <v>92.5</v>
      </c>
      <c r="G2035" s="17" t="s">
        <v>3113</v>
      </c>
    </row>
    <row r="2036">
      <c r="A2036" s="12">
        <v>628.0</v>
      </c>
      <c r="B2036" s="17" t="s">
        <v>4598</v>
      </c>
      <c r="C2036" s="17" t="s">
        <v>4599</v>
      </c>
      <c r="D2036" s="17" t="s">
        <v>4600</v>
      </c>
      <c r="E2036" s="16">
        <v>7.5</v>
      </c>
      <c r="F2036" s="7">
        <f t="shared" si="3"/>
        <v>92.5</v>
      </c>
      <c r="G2036" s="17" t="s">
        <v>3113</v>
      </c>
    </row>
    <row r="2037">
      <c r="A2037" s="12">
        <v>629.0</v>
      </c>
      <c r="B2037" s="17" t="s">
        <v>4598</v>
      </c>
      <c r="C2037" s="17" t="s">
        <v>4601</v>
      </c>
      <c r="D2037" s="17" t="s">
        <v>4602</v>
      </c>
      <c r="E2037" s="16">
        <v>7.5</v>
      </c>
      <c r="F2037" s="7">
        <f t="shared" si="3"/>
        <v>92.5</v>
      </c>
      <c r="G2037" s="17" t="s">
        <v>3113</v>
      </c>
    </row>
    <row r="2038">
      <c r="A2038" s="12">
        <v>630.0</v>
      </c>
      <c r="B2038" s="17" t="s">
        <v>4598</v>
      </c>
      <c r="C2038" s="17" t="s">
        <v>4603</v>
      </c>
      <c r="D2038" s="17" t="s">
        <v>4602</v>
      </c>
      <c r="E2038" s="16">
        <v>7.5</v>
      </c>
      <c r="F2038" s="7">
        <f t="shared" si="3"/>
        <v>92.5</v>
      </c>
      <c r="G2038" s="17" t="s">
        <v>3113</v>
      </c>
    </row>
    <row r="2039">
      <c r="A2039" s="12">
        <v>631.0</v>
      </c>
      <c r="B2039" s="17" t="s">
        <v>4604</v>
      </c>
      <c r="C2039" s="17" t="s">
        <v>4605</v>
      </c>
      <c r="D2039" s="17" t="s">
        <v>4606</v>
      </c>
      <c r="E2039" s="16">
        <v>7.5</v>
      </c>
      <c r="F2039" s="7">
        <f t="shared" si="3"/>
        <v>92.5</v>
      </c>
      <c r="G2039" s="17" t="s">
        <v>3113</v>
      </c>
    </row>
    <row r="2040">
      <c r="A2040" s="12">
        <v>632.0</v>
      </c>
      <c r="B2040" s="17" t="s">
        <v>4607</v>
      </c>
      <c r="C2040" s="17" t="s">
        <v>4608</v>
      </c>
      <c r="D2040" s="17" t="s">
        <v>4609</v>
      </c>
      <c r="E2040" s="16">
        <v>7.5</v>
      </c>
      <c r="F2040" s="7">
        <f t="shared" si="3"/>
        <v>92.5</v>
      </c>
      <c r="G2040" s="17" t="s">
        <v>3113</v>
      </c>
    </row>
    <row r="2041">
      <c r="A2041" s="12">
        <v>633.0</v>
      </c>
      <c r="B2041" s="17" t="s">
        <v>4607</v>
      </c>
      <c r="C2041" s="17" t="s">
        <v>4610</v>
      </c>
      <c r="D2041" s="17" t="s">
        <v>4611</v>
      </c>
      <c r="E2041" s="16">
        <v>7.5</v>
      </c>
      <c r="F2041" s="7">
        <f t="shared" si="3"/>
        <v>92.5</v>
      </c>
      <c r="G2041" s="17" t="s">
        <v>3113</v>
      </c>
    </row>
    <row r="2042">
      <c r="A2042" s="12">
        <v>634.0</v>
      </c>
      <c r="B2042" s="17" t="s">
        <v>4607</v>
      </c>
      <c r="C2042" s="17" t="s">
        <v>4612</v>
      </c>
      <c r="D2042" s="17" t="s">
        <v>4611</v>
      </c>
      <c r="E2042" s="16">
        <v>7.5</v>
      </c>
      <c r="F2042" s="7">
        <f t="shared" si="3"/>
        <v>92.5</v>
      </c>
      <c r="G2042" s="17" t="s">
        <v>3113</v>
      </c>
    </row>
    <row r="2043">
      <c r="A2043" s="12">
        <v>635.0</v>
      </c>
      <c r="B2043" s="17" t="s">
        <v>4613</v>
      </c>
      <c r="C2043" s="17" t="s">
        <v>4614</v>
      </c>
      <c r="D2043" s="17" t="s">
        <v>4615</v>
      </c>
      <c r="E2043" s="16">
        <v>7.5</v>
      </c>
      <c r="F2043" s="7">
        <f t="shared" si="3"/>
        <v>92.5</v>
      </c>
      <c r="G2043" s="17" t="s">
        <v>3113</v>
      </c>
    </row>
    <row r="2044">
      <c r="A2044" s="12">
        <v>636.0</v>
      </c>
      <c r="B2044" s="17" t="s">
        <v>4613</v>
      </c>
      <c r="C2044" s="17" t="s">
        <v>4616</v>
      </c>
      <c r="D2044" s="17" t="s">
        <v>4617</v>
      </c>
      <c r="E2044" s="16">
        <v>7.5</v>
      </c>
      <c r="F2044" s="7">
        <f t="shared" si="3"/>
        <v>92.5</v>
      </c>
      <c r="G2044" s="17" t="s">
        <v>3113</v>
      </c>
    </row>
    <row r="2045">
      <c r="A2045" s="12">
        <v>637.0</v>
      </c>
      <c r="B2045" s="17" t="s">
        <v>4613</v>
      </c>
      <c r="C2045" s="17" t="s">
        <v>4618</v>
      </c>
      <c r="D2045" s="17" t="s">
        <v>4617</v>
      </c>
      <c r="E2045" s="16">
        <v>7.5</v>
      </c>
      <c r="F2045" s="7">
        <f t="shared" si="3"/>
        <v>92.5</v>
      </c>
      <c r="G2045" s="17" t="s">
        <v>3113</v>
      </c>
    </row>
    <row r="2046">
      <c r="A2046" s="12">
        <v>638.0</v>
      </c>
      <c r="B2046" s="17" t="s">
        <v>4619</v>
      </c>
      <c r="C2046" s="17" t="s">
        <v>4620</v>
      </c>
      <c r="D2046" s="17" t="s">
        <v>4621</v>
      </c>
      <c r="E2046" s="16">
        <v>7.5</v>
      </c>
      <c r="F2046" s="7">
        <f t="shared" si="3"/>
        <v>92.5</v>
      </c>
      <c r="G2046" s="17" t="s">
        <v>3113</v>
      </c>
    </row>
    <row r="2047">
      <c r="A2047" s="12">
        <v>639.0</v>
      </c>
      <c r="B2047" s="17" t="s">
        <v>4619</v>
      </c>
      <c r="C2047" s="17" t="s">
        <v>4622</v>
      </c>
      <c r="D2047" s="17" t="s">
        <v>4623</v>
      </c>
      <c r="E2047" s="16">
        <v>7.5</v>
      </c>
      <c r="F2047" s="7">
        <f t="shared" si="3"/>
        <v>92.5</v>
      </c>
      <c r="G2047" s="17" t="s">
        <v>3113</v>
      </c>
    </row>
    <row r="2048">
      <c r="A2048" s="12">
        <v>640.0</v>
      </c>
      <c r="B2048" s="17" t="s">
        <v>4619</v>
      </c>
      <c r="C2048" s="17" t="s">
        <v>4624</v>
      </c>
      <c r="D2048" s="17" t="s">
        <v>4623</v>
      </c>
      <c r="E2048" s="16">
        <v>7.5</v>
      </c>
      <c r="F2048" s="7">
        <f t="shared" si="3"/>
        <v>92.5</v>
      </c>
      <c r="G2048" s="17" t="s">
        <v>3113</v>
      </c>
    </row>
    <row r="2049">
      <c r="A2049" s="12">
        <v>641.0</v>
      </c>
      <c r="B2049" s="17" t="s">
        <v>4625</v>
      </c>
      <c r="C2049" s="17" t="s">
        <v>4626</v>
      </c>
      <c r="D2049" s="17" t="s">
        <v>4627</v>
      </c>
      <c r="E2049" s="16">
        <v>7.5</v>
      </c>
      <c r="F2049" s="7">
        <f t="shared" si="3"/>
        <v>92.5</v>
      </c>
      <c r="G2049" s="17" t="s">
        <v>3113</v>
      </c>
    </row>
    <row r="2050">
      <c r="A2050" s="12">
        <v>642.0</v>
      </c>
      <c r="B2050" s="17" t="s">
        <v>4625</v>
      </c>
      <c r="C2050" s="17" t="s">
        <v>4628</v>
      </c>
      <c r="D2050" s="17" t="s">
        <v>4629</v>
      </c>
      <c r="E2050" s="16">
        <v>7.5</v>
      </c>
      <c r="F2050" s="7">
        <f t="shared" si="3"/>
        <v>92.5</v>
      </c>
      <c r="G2050" s="17" t="s">
        <v>3113</v>
      </c>
    </row>
    <row r="2051">
      <c r="A2051" s="12">
        <v>643.0</v>
      </c>
      <c r="B2051" s="17" t="s">
        <v>4625</v>
      </c>
      <c r="C2051" s="17" t="s">
        <v>4630</v>
      </c>
      <c r="D2051" s="17" t="s">
        <v>4629</v>
      </c>
      <c r="E2051" s="16">
        <v>7.5</v>
      </c>
      <c r="F2051" s="7">
        <f t="shared" si="3"/>
        <v>92.5</v>
      </c>
      <c r="G2051" s="17" t="s">
        <v>3113</v>
      </c>
    </row>
    <row r="2052">
      <c r="A2052" s="12">
        <v>644.0</v>
      </c>
      <c r="B2052" s="17" t="s">
        <v>4631</v>
      </c>
      <c r="C2052" s="17" t="s">
        <v>4632</v>
      </c>
      <c r="D2052" s="17" t="s">
        <v>4633</v>
      </c>
      <c r="E2052" s="16">
        <v>7.5</v>
      </c>
      <c r="F2052" s="7">
        <f t="shared" si="3"/>
        <v>92.5</v>
      </c>
      <c r="G2052" s="17" t="s">
        <v>3113</v>
      </c>
    </row>
    <row r="2053">
      <c r="A2053" s="12">
        <v>645.0</v>
      </c>
      <c r="B2053" s="17" t="s">
        <v>4631</v>
      </c>
      <c r="C2053" s="17" t="s">
        <v>4634</v>
      </c>
      <c r="D2053" s="17" t="s">
        <v>4633</v>
      </c>
      <c r="E2053" s="16">
        <v>7.5</v>
      </c>
      <c r="F2053" s="7">
        <f t="shared" si="3"/>
        <v>92.5</v>
      </c>
      <c r="G2053" s="17" t="s">
        <v>3113</v>
      </c>
    </row>
    <row r="2054">
      <c r="A2054" s="12">
        <v>646.0</v>
      </c>
      <c r="B2054" s="17" t="s">
        <v>4635</v>
      </c>
      <c r="C2054" s="17" t="s">
        <v>4636</v>
      </c>
      <c r="D2054" s="17" t="s">
        <v>4637</v>
      </c>
      <c r="E2054" s="16">
        <v>7.5</v>
      </c>
      <c r="F2054" s="7">
        <f t="shared" si="3"/>
        <v>92.5</v>
      </c>
      <c r="G2054" s="17" t="s">
        <v>3113</v>
      </c>
    </row>
    <row r="2055">
      <c r="A2055" s="12">
        <v>647.0</v>
      </c>
      <c r="B2055" s="17" t="s">
        <v>4638</v>
      </c>
      <c r="C2055" s="17" t="s">
        <v>4639</v>
      </c>
      <c r="D2055" s="17" t="s">
        <v>4640</v>
      </c>
      <c r="E2055" s="16">
        <v>7.5</v>
      </c>
      <c r="F2055" s="7">
        <f t="shared" si="3"/>
        <v>92.5</v>
      </c>
      <c r="G2055" s="17" t="s">
        <v>3113</v>
      </c>
    </row>
    <row r="2056">
      <c r="A2056" s="12">
        <v>648.0</v>
      </c>
      <c r="B2056" s="17" t="s">
        <v>4638</v>
      </c>
      <c r="C2056" s="17" t="s">
        <v>4641</v>
      </c>
      <c r="D2056" s="17" t="s">
        <v>4640</v>
      </c>
      <c r="E2056" s="16">
        <v>7.5</v>
      </c>
      <c r="F2056" s="7">
        <f t="shared" si="3"/>
        <v>92.5</v>
      </c>
      <c r="G2056" s="17" t="s">
        <v>3113</v>
      </c>
    </row>
    <row r="2057">
      <c r="A2057" s="12">
        <v>649.0</v>
      </c>
      <c r="B2057" s="17" t="s">
        <v>4642</v>
      </c>
      <c r="C2057" s="17" t="s">
        <v>4643</v>
      </c>
      <c r="D2057" s="17" t="s">
        <v>4644</v>
      </c>
      <c r="E2057" s="16">
        <v>7.5</v>
      </c>
      <c r="F2057" s="7">
        <f t="shared" si="3"/>
        <v>92.5</v>
      </c>
      <c r="G2057" s="17" t="s">
        <v>3113</v>
      </c>
    </row>
    <row r="2058">
      <c r="A2058" s="12">
        <v>650.0</v>
      </c>
      <c r="B2058" s="17" t="s">
        <v>4642</v>
      </c>
      <c r="C2058" s="17" t="s">
        <v>4645</v>
      </c>
      <c r="D2058" s="17" t="s">
        <v>4646</v>
      </c>
      <c r="E2058" s="16">
        <v>7.5</v>
      </c>
      <c r="F2058" s="7">
        <f t="shared" si="3"/>
        <v>92.5</v>
      </c>
      <c r="G2058" s="17" t="s">
        <v>3113</v>
      </c>
    </row>
    <row r="2059">
      <c r="A2059" s="12">
        <v>651.0</v>
      </c>
      <c r="B2059" s="17" t="s">
        <v>4642</v>
      </c>
      <c r="C2059" s="17" t="s">
        <v>4647</v>
      </c>
      <c r="D2059" s="17" t="s">
        <v>4646</v>
      </c>
      <c r="E2059" s="16">
        <v>7.5</v>
      </c>
      <c r="F2059" s="7">
        <f t="shared" si="3"/>
        <v>92.5</v>
      </c>
      <c r="G2059" s="17" t="s">
        <v>3113</v>
      </c>
    </row>
    <row r="2060">
      <c r="A2060" s="12">
        <v>652.0</v>
      </c>
      <c r="B2060" s="17" t="s">
        <v>4648</v>
      </c>
      <c r="C2060" s="17" t="s">
        <v>4649</v>
      </c>
      <c r="D2060" s="17" t="s">
        <v>4650</v>
      </c>
      <c r="E2060" s="16">
        <v>7.5</v>
      </c>
      <c r="F2060" s="7">
        <f t="shared" si="3"/>
        <v>92.5</v>
      </c>
      <c r="G2060" s="17" t="s">
        <v>3113</v>
      </c>
    </row>
    <row r="2061">
      <c r="A2061" s="12">
        <v>653.0</v>
      </c>
      <c r="B2061" s="17" t="s">
        <v>4651</v>
      </c>
      <c r="C2061" s="17" t="s">
        <v>4652</v>
      </c>
      <c r="D2061" s="17" t="s">
        <v>4653</v>
      </c>
      <c r="E2061" s="16">
        <v>7.5</v>
      </c>
      <c r="F2061" s="7">
        <f t="shared" si="3"/>
        <v>92.5</v>
      </c>
      <c r="G2061" s="17" t="s">
        <v>3113</v>
      </c>
    </row>
    <row r="2062">
      <c r="A2062" s="12">
        <v>654.0</v>
      </c>
      <c r="B2062" s="17" t="s">
        <v>4654</v>
      </c>
      <c r="C2062" s="17" t="s">
        <v>4655</v>
      </c>
      <c r="D2062" s="17" t="s">
        <v>4656</v>
      </c>
      <c r="E2062" s="16">
        <v>7.5</v>
      </c>
      <c r="F2062" s="7">
        <f t="shared" si="3"/>
        <v>92.5</v>
      </c>
      <c r="G2062" s="17" t="s">
        <v>3113</v>
      </c>
    </row>
    <row r="2063">
      <c r="A2063" s="12">
        <v>655.0</v>
      </c>
      <c r="B2063" s="17" t="s">
        <v>4657</v>
      </c>
      <c r="C2063" s="17" t="s">
        <v>4658</v>
      </c>
      <c r="D2063" s="17" t="s">
        <v>4659</v>
      </c>
      <c r="E2063" s="16">
        <v>7.5</v>
      </c>
      <c r="F2063" s="7">
        <f t="shared" si="3"/>
        <v>92.5</v>
      </c>
      <c r="G2063" s="17" t="s">
        <v>3113</v>
      </c>
    </row>
    <row r="2064">
      <c r="A2064" s="12">
        <v>656.0</v>
      </c>
      <c r="B2064" s="17" t="s">
        <v>4660</v>
      </c>
      <c r="C2064" s="17" t="s">
        <v>4661</v>
      </c>
      <c r="D2064" s="17" t="s">
        <v>4662</v>
      </c>
      <c r="E2064" s="16">
        <v>7.5</v>
      </c>
      <c r="F2064" s="7">
        <f t="shared" si="3"/>
        <v>92.5</v>
      </c>
      <c r="G2064" s="17" t="s">
        <v>3113</v>
      </c>
    </row>
    <row r="2065">
      <c r="A2065" s="12">
        <v>657.0</v>
      </c>
      <c r="B2065" s="17" t="s">
        <v>4663</v>
      </c>
      <c r="C2065" s="17" t="s">
        <v>4664</v>
      </c>
      <c r="D2065" s="17" t="s">
        <v>4665</v>
      </c>
      <c r="E2065" s="16">
        <v>7.5</v>
      </c>
      <c r="F2065" s="7">
        <f t="shared" si="3"/>
        <v>92.5</v>
      </c>
      <c r="G2065" s="17" t="s">
        <v>3113</v>
      </c>
    </row>
    <row r="2066">
      <c r="A2066" s="12">
        <v>658.0</v>
      </c>
      <c r="B2066" s="17" t="s">
        <v>4666</v>
      </c>
      <c r="C2066" s="17" t="s">
        <v>4667</v>
      </c>
      <c r="D2066" s="17" t="s">
        <v>4668</v>
      </c>
      <c r="E2066" s="16">
        <v>7.5</v>
      </c>
      <c r="F2066" s="7">
        <f t="shared" si="3"/>
        <v>92.5</v>
      </c>
      <c r="G2066" s="17" t="s">
        <v>3113</v>
      </c>
    </row>
    <row r="2067">
      <c r="A2067" s="12">
        <v>659.0</v>
      </c>
      <c r="B2067" s="17" t="s">
        <v>4669</v>
      </c>
      <c r="C2067" s="17" t="s">
        <v>4670</v>
      </c>
      <c r="D2067" s="17" t="s">
        <v>4671</v>
      </c>
      <c r="E2067" s="16">
        <v>7.5</v>
      </c>
      <c r="F2067" s="7">
        <f t="shared" si="3"/>
        <v>92.5</v>
      </c>
      <c r="G2067" s="17" t="s">
        <v>3113</v>
      </c>
    </row>
    <row r="2068">
      <c r="A2068" s="12">
        <v>660.0</v>
      </c>
      <c r="B2068" s="17" t="s">
        <v>4672</v>
      </c>
      <c r="C2068" s="17" t="s">
        <v>4673</v>
      </c>
      <c r="D2068" s="17" t="s">
        <v>4674</v>
      </c>
      <c r="E2068" s="16">
        <v>7.5</v>
      </c>
      <c r="F2068" s="7">
        <f t="shared" si="3"/>
        <v>92.5</v>
      </c>
      <c r="G2068" s="17" t="s">
        <v>3113</v>
      </c>
    </row>
    <row r="2069">
      <c r="A2069" s="12">
        <v>661.0</v>
      </c>
      <c r="B2069" s="17" t="s">
        <v>4675</v>
      </c>
      <c r="C2069" s="17" t="s">
        <v>4676</v>
      </c>
      <c r="D2069" s="17" t="s">
        <v>4677</v>
      </c>
      <c r="E2069" s="16">
        <v>7.5</v>
      </c>
      <c r="F2069" s="7">
        <f t="shared" si="3"/>
        <v>92.5</v>
      </c>
      <c r="G2069" s="17" t="s">
        <v>3113</v>
      </c>
    </row>
    <row r="2070">
      <c r="A2070" s="12">
        <v>662.0</v>
      </c>
      <c r="B2070" s="17" t="s">
        <v>4678</v>
      </c>
      <c r="C2070" s="17" t="s">
        <v>4679</v>
      </c>
      <c r="D2070" s="17" t="s">
        <v>4680</v>
      </c>
      <c r="E2070" s="16">
        <v>7.5</v>
      </c>
      <c r="F2070" s="7">
        <f t="shared" si="3"/>
        <v>92.5</v>
      </c>
      <c r="G2070" s="17" t="s">
        <v>3113</v>
      </c>
    </row>
    <row r="2071">
      <c r="A2071" s="12">
        <v>663.0</v>
      </c>
      <c r="B2071" s="17" t="s">
        <v>4681</v>
      </c>
      <c r="C2071" s="17" t="s">
        <v>4682</v>
      </c>
      <c r="D2071" s="17" t="s">
        <v>4683</v>
      </c>
      <c r="E2071" s="16">
        <v>7.5</v>
      </c>
      <c r="F2071" s="7">
        <f t="shared" si="3"/>
        <v>92.5</v>
      </c>
      <c r="G2071" s="17" t="s">
        <v>3113</v>
      </c>
    </row>
    <row r="2072">
      <c r="A2072" s="12">
        <v>664.0</v>
      </c>
      <c r="B2072" s="17" t="s">
        <v>4684</v>
      </c>
      <c r="C2072" s="17" t="s">
        <v>4685</v>
      </c>
      <c r="D2072" s="17" t="s">
        <v>4686</v>
      </c>
      <c r="E2072" s="16">
        <v>7.5</v>
      </c>
      <c r="F2072" s="7">
        <f t="shared" si="3"/>
        <v>92.5</v>
      </c>
      <c r="G2072" s="17" t="s">
        <v>3113</v>
      </c>
    </row>
    <row r="2073">
      <c r="A2073" s="12">
        <v>665.0</v>
      </c>
      <c r="B2073" s="17" t="s">
        <v>4687</v>
      </c>
      <c r="C2073" s="17" t="s">
        <v>4688</v>
      </c>
      <c r="D2073" s="17" t="s">
        <v>4689</v>
      </c>
      <c r="E2073" s="16">
        <v>7.5</v>
      </c>
      <c r="F2073" s="7">
        <f t="shared" si="3"/>
        <v>92.5</v>
      </c>
      <c r="G2073" s="17" t="s">
        <v>3113</v>
      </c>
    </row>
    <row r="2074">
      <c r="A2074" s="12">
        <v>666.0</v>
      </c>
      <c r="B2074" s="17" t="s">
        <v>4690</v>
      </c>
      <c r="C2074" s="17" t="s">
        <v>4691</v>
      </c>
      <c r="D2074" s="17" t="s">
        <v>4692</v>
      </c>
      <c r="E2074" s="16">
        <v>7.5</v>
      </c>
      <c r="F2074" s="7">
        <f t="shared" si="3"/>
        <v>92.5</v>
      </c>
      <c r="G2074" s="17" t="s">
        <v>3113</v>
      </c>
    </row>
    <row r="2075">
      <c r="A2075" s="12">
        <v>667.0</v>
      </c>
      <c r="B2075" s="17" t="s">
        <v>4693</v>
      </c>
      <c r="C2075" s="17" t="s">
        <v>4694</v>
      </c>
      <c r="D2075" s="17" t="s">
        <v>4695</v>
      </c>
      <c r="E2075" s="16">
        <v>7.5</v>
      </c>
      <c r="F2075" s="7">
        <f t="shared" si="3"/>
        <v>92.5</v>
      </c>
      <c r="G2075" s="17" t="s">
        <v>3113</v>
      </c>
    </row>
    <row r="2076">
      <c r="A2076" s="12">
        <v>668.0</v>
      </c>
      <c r="B2076" s="17" t="s">
        <v>4696</v>
      </c>
      <c r="C2076" s="17" t="s">
        <v>4697</v>
      </c>
      <c r="D2076" s="17" t="s">
        <v>4698</v>
      </c>
      <c r="E2076" s="16">
        <v>7.5</v>
      </c>
      <c r="F2076" s="7">
        <f t="shared" si="3"/>
        <v>92.5</v>
      </c>
      <c r="G2076" s="17" t="s">
        <v>3113</v>
      </c>
    </row>
    <row r="2077">
      <c r="A2077" s="12">
        <v>669.0</v>
      </c>
      <c r="B2077" s="17" t="s">
        <v>4699</v>
      </c>
      <c r="C2077" s="17" t="s">
        <v>4700</v>
      </c>
      <c r="D2077" s="17" t="s">
        <v>4701</v>
      </c>
      <c r="E2077" s="16">
        <v>7.5</v>
      </c>
      <c r="F2077" s="7">
        <f t="shared" si="3"/>
        <v>92.5</v>
      </c>
      <c r="G2077" s="17" t="s">
        <v>3113</v>
      </c>
    </row>
    <row r="2078">
      <c r="A2078" s="12">
        <v>670.0</v>
      </c>
      <c r="B2078" s="17" t="s">
        <v>4702</v>
      </c>
      <c r="C2078" s="17" t="s">
        <v>4703</v>
      </c>
      <c r="D2078" s="17" t="s">
        <v>4704</v>
      </c>
      <c r="E2078" s="16">
        <v>7.5</v>
      </c>
      <c r="F2078" s="7">
        <f t="shared" si="3"/>
        <v>92.5</v>
      </c>
      <c r="G2078" s="17" t="s">
        <v>3113</v>
      </c>
    </row>
    <row r="2079">
      <c r="A2079" s="12">
        <v>671.0</v>
      </c>
      <c r="B2079" s="17" t="s">
        <v>4705</v>
      </c>
      <c r="C2079" s="17" t="s">
        <v>4706</v>
      </c>
      <c r="D2079" s="17" t="s">
        <v>4707</v>
      </c>
      <c r="E2079" s="16">
        <v>7.5</v>
      </c>
      <c r="F2079" s="7">
        <f t="shared" si="3"/>
        <v>92.5</v>
      </c>
      <c r="G2079" s="17" t="s">
        <v>3113</v>
      </c>
    </row>
    <row r="2080">
      <c r="A2080" s="12">
        <v>672.0</v>
      </c>
      <c r="B2080" s="17" t="s">
        <v>4708</v>
      </c>
      <c r="C2080" s="17" t="s">
        <v>4709</v>
      </c>
      <c r="D2080" s="17" t="s">
        <v>4710</v>
      </c>
      <c r="E2080" s="16">
        <v>7.5</v>
      </c>
      <c r="F2080" s="7">
        <f t="shared" si="3"/>
        <v>92.5</v>
      </c>
      <c r="G2080" s="17" t="s">
        <v>3113</v>
      </c>
    </row>
    <row r="2081">
      <c r="A2081" s="12">
        <v>673.0</v>
      </c>
      <c r="B2081" s="17" t="s">
        <v>4711</v>
      </c>
      <c r="C2081" s="17" t="s">
        <v>4712</v>
      </c>
      <c r="D2081" s="17" t="s">
        <v>4713</v>
      </c>
      <c r="E2081" s="16">
        <v>7.5</v>
      </c>
      <c r="F2081" s="7">
        <f t="shared" si="3"/>
        <v>92.5</v>
      </c>
      <c r="G2081" s="17" t="s">
        <v>3113</v>
      </c>
    </row>
    <row r="2082">
      <c r="A2082" s="12">
        <v>674.0</v>
      </c>
      <c r="B2082" s="17" t="s">
        <v>4714</v>
      </c>
      <c r="C2082" s="17" t="s">
        <v>4715</v>
      </c>
      <c r="D2082" s="17" t="s">
        <v>4716</v>
      </c>
      <c r="E2082" s="16">
        <v>7.5</v>
      </c>
      <c r="F2082" s="7">
        <f t="shared" si="3"/>
        <v>92.5</v>
      </c>
      <c r="G2082" s="17" t="s">
        <v>3113</v>
      </c>
    </row>
    <row r="2083">
      <c r="A2083" s="12">
        <v>675.0</v>
      </c>
      <c r="B2083" s="17" t="s">
        <v>4717</v>
      </c>
      <c r="C2083" s="17" t="s">
        <v>4718</v>
      </c>
      <c r="D2083" s="17" t="s">
        <v>4719</v>
      </c>
      <c r="E2083" s="16">
        <v>7.5</v>
      </c>
      <c r="F2083" s="7">
        <f t="shared" si="3"/>
        <v>92.5</v>
      </c>
      <c r="G2083" s="17" t="s">
        <v>3113</v>
      </c>
    </row>
    <row r="2084">
      <c r="A2084" s="12">
        <v>676.0</v>
      </c>
      <c r="B2084" s="17" t="s">
        <v>4720</v>
      </c>
      <c r="C2084" s="17" t="s">
        <v>4721</v>
      </c>
      <c r="D2084" s="17" t="s">
        <v>4722</v>
      </c>
      <c r="E2084" s="16">
        <v>7.5</v>
      </c>
      <c r="F2084" s="7">
        <f t="shared" si="3"/>
        <v>92.5</v>
      </c>
      <c r="G2084" s="17" t="s">
        <v>3113</v>
      </c>
    </row>
    <row r="2085">
      <c r="A2085" s="12">
        <v>677.0</v>
      </c>
      <c r="B2085" s="17" t="s">
        <v>4723</v>
      </c>
      <c r="C2085" s="17" t="s">
        <v>4724</v>
      </c>
      <c r="D2085" s="17" t="s">
        <v>4725</v>
      </c>
      <c r="E2085" s="16">
        <v>7.5</v>
      </c>
      <c r="F2085" s="7">
        <f t="shared" si="3"/>
        <v>92.5</v>
      </c>
      <c r="G2085" s="17" t="s">
        <v>3113</v>
      </c>
    </row>
    <row r="2086">
      <c r="A2086" s="12">
        <v>678.0</v>
      </c>
      <c r="B2086" s="17" t="s">
        <v>4726</v>
      </c>
      <c r="C2086" s="17" t="s">
        <v>4727</v>
      </c>
      <c r="D2086" s="17" t="s">
        <v>4728</v>
      </c>
      <c r="E2086" s="16">
        <v>7.5</v>
      </c>
      <c r="F2086" s="7">
        <f t="shared" si="3"/>
        <v>92.5</v>
      </c>
      <c r="G2086" s="17" t="s">
        <v>3113</v>
      </c>
    </row>
    <row r="2087">
      <c r="A2087" s="12">
        <v>679.0</v>
      </c>
      <c r="B2087" s="17" t="s">
        <v>4729</v>
      </c>
      <c r="C2087" s="17" t="s">
        <v>4730</v>
      </c>
      <c r="D2087" s="17" t="s">
        <v>4731</v>
      </c>
      <c r="E2087" s="16">
        <v>7.5</v>
      </c>
      <c r="F2087" s="7">
        <f t="shared" si="3"/>
        <v>92.5</v>
      </c>
      <c r="G2087" s="17" t="s">
        <v>3113</v>
      </c>
    </row>
    <row r="2088">
      <c r="A2088" s="12">
        <v>680.0</v>
      </c>
      <c r="B2088" s="17" t="s">
        <v>4732</v>
      </c>
      <c r="C2088" s="17" t="s">
        <v>4733</v>
      </c>
      <c r="D2088" s="17" t="s">
        <v>4734</v>
      </c>
      <c r="E2088" s="16">
        <v>7.5</v>
      </c>
      <c r="F2088" s="7">
        <f t="shared" si="3"/>
        <v>92.5</v>
      </c>
      <c r="G2088" s="17" t="s">
        <v>3113</v>
      </c>
    </row>
    <row r="2089">
      <c r="A2089" s="12">
        <v>681.0</v>
      </c>
      <c r="B2089" s="17" t="s">
        <v>4735</v>
      </c>
      <c r="C2089" s="17" t="s">
        <v>4736</v>
      </c>
      <c r="D2089" s="17" t="s">
        <v>4737</v>
      </c>
      <c r="E2089" s="16">
        <v>7.5</v>
      </c>
      <c r="F2089" s="7">
        <f t="shared" si="3"/>
        <v>92.5</v>
      </c>
      <c r="G2089" s="17" t="s">
        <v>3113</v>
      </c>
    </row>
    <row r="2090">
      <c r="A2090" s="12">
        <v>682.0</v>
      </c>
      <c r="B2090" s="17" t="s">
        <v>4738</v>
      </c>
      <c r="C2090" s="17" t="s">
        <v>4739</v>
      </c>
      <c r="D2090" s="17" t="s">
        <v>4740</v>
      </c>
      <c r="E2090" s="16">
        <v>7.5</v>
      </c>
      <c r="F2090" s="7">
        <f t="shared" si="3"/>
        <v>92.5</v>
      </c>
      <c r="G2090" s="17" t="s">
        <v>3113</v>
      </c>
    </row>
    <row r="2091">
      <c r="A2091" s="12">
        <v>683.0</v>
      </c>
      <c r="B2091" s="17" t="s">
        <v>4741</v>
      </c>
      <c r="C2091" s="17" t="s">
        <v>4742</v>
      </c>
      <c r="D2091" s="17" t="s">
        <v>4743</v>
      </c>
      <c r="E2091" s="16">
        <v>7.5</v>
      </c>
      <c r="F2091" s="7">
        <f t="shared" si="3"/>
        <v>92.5</v>
      </c>
      <c r="G2091" s="17" t="s">
        <v>3113</v>
      </c>
    </row>
    <row r="2092">
      <c r="A2092" s="12">
        <v>684.0</v>
      </c>
      <c r="B2092" s="17" t="s">
        <v>4744</v>
      </c>
      <c r="C2092" s="17" t="s">
        <v>4745</v>
      </c>
      <c r="D2092" s="17" t="s">
        <v>4746</v>
      </c>
      <c r="E2092" s="16">
        <v>7.5</v>
      </c>
      <c r="F2092" s="7">
        <f t="shared" si="3"/>
        <v>92.5</v>
      </c>
      <c r="G2092" s="17" t="s">
        <v>3113</v>
      </c>
    </row>
    <row r="2093">
      <c r="A2093" s="12">
        <v>685.0</v>
      </c>
      <c r="B2093" s="17" t="s">
        <v>4747</v>
      </c>
      <c r="C2093" s="17" t="s">
        <v>4748</v>
      </c>
      <c r="D2093" s="17" t="s">
        <v>4749</v>
      </c>
      <c r="E2093" s="16">
        <v>7.5</v>
      </c>
      <c r="F2093" s="7">
        <f t="shared" si="3"/>
        <v>92.5</v>
      </c>
      <c r="G2093" s="17" t="s">
        <v>3113</v>
      </c>
    </row>
    <row r="2094">
      <c r="A2094" s="12">
        <v>686.0</v>
      </c>
      <c r="B2094" s="17" t="s">
        <v>4750</v>
      </c>
      <c r="C2094" s="17" t="s">
        <v>4751</v>
      </c>
      <c r="D2094" s="17" t="s">
        <v>4752</v>
      </c>
      <c r="E2094" s="16">
        <v>7.5</v>
      </c>
      <c r="F2094" s="7">
        <f t="shared" si="3"/>
        <v>92.5</v>
      </c>
      <c r="G2094" s="17" t="s">
        <v>3113</v>
      </c>
    </row>
    <row r="2095">
      <c r="A2095" s="12">
        <v>687.0</v>
      </c>
      <c r="B2095" s="17" t="s">
        <v>4753</v>
      </c>
      <c r="C2095" s="17" t="s">
        <v>4754</v>
      </c>
      <c r="D2095" s="17" t="s">
        <v>4755</v>
      </c>
      <c r="E2095" s="16">
        <v>7.5</v>
      </c>
      <c r="F2095" s="7">
        <f t="shared" si="3"/>
        <v>92.5</v>
      </c>
      <c r="G2095" s="17" t="s">
        <v>3113</v>
      </c>
    </row>
    <row r="2096">
      <c r="A2096" s="12">
        <v>688.0</v>
      </c>
      <c r="B2096" s="17" t="s">
        <v>4756</v>
      </c>
      <c r="C2096" s="17" t="s">
        <v>4757</v>
      </c>
      <c r="D2096" s="17" t="s">
        <v>4758</v>
      </c>
      <c r="E2096" s="16">
        <v>7.5</v>
      </c>
      <c r="F2096" s="7">
        <f t="shared" si="3"/>
        <v>92.5</v>
      </c>
      <c r="G2096" s="17" t="s">
        <v>3113</v>
      </c>
    </row>
    <row r="2097">
      <c r="A2097" s="12">
        <v>689.0</v>
      </c>
      <c r="B2097" s="17" t="s">
        <v>4759</v>
      </c>
      <c r="C2097" s="17" t="s">
        <v>4760</v>
      </c>
      <c r="D2097" s="17" t="s">
        <v>4761</v>
      </c>
      <c r="E2097" s="16">
        <v>7.5</v>
      </c>
      <c r="F2097" s="7">
        <f t="shared" si="3"/>
        <v>92.5</v>
      </c>
      <c r="G2097" s="17" t="s">
        <v>3113</v>
      </c>
    </row>
    <row r="2098">
      <c r="A2098" s="12">
        <v>690.0</v>
      </c>
      <c r="B2098" s="17" t="s">
        <v>4762</v>
      </c>
      <c r="C2098" s="17" t="s">
        <v>4763</v>
      </c>
      <c r="D2098" s="17" t="s">
        <v>4764</v>
      </c>
      <c r="E2098" s="16">
        <v>7.5</v>
      </c>
      <c r="F2098" s="7">
        <f t="shared" si="3"/>
        <v>92.5</v>
      </c>
      <c r="G2098" s="17" t="s">
        <v>3113</v>
      </c>
    </row>
    <row r="2099">
      <c r="A2099" s="12">
        <v>691.0</v>
      </c>
      <c r="B2099" s="17" t="s">
        <v>4765</v>
      </c>
      <c r="C2099" s="17" t="s">
        <v>4766</v>
      </c>
      <c r="D2099" s="17" t="s">
        <v>4767</v>
      </c>
      <c r="E2099" s="16">
        <v>7.5</v>
      </c>
      <c r="F2099" s="7">
        <f t="shared" si="3"/>
        <v>92.5</v>
      </c>
      <c r="G2099" s="17" t="s">
        <v>3113</v>
      </c>
    </row>
    <row r="2100">
      <c r="A2100" s="12">
        <v>692.0</v>
      </c>
      <c r="B2100" s="17" t="s">
        <v>4768</v>
      </c>
      <c r="C2100" s="17" t="s">
        <v>4769</v>
      </c>
      <c r="D2100" s="17" t="s">
        <v>4770</v>
      </c>
      <c r="E2100" s="16">
        <v>7.5</v>
      </c>
      <c r="F2100" s="7">
        <f t="shared" si="3"/>
        <v>92.5</v>
      </c>
      <c r="G2100" s="17" t="s">
        <v>3113</v>
      </c>
    </row>
    <row r="2101">
      <c r="A2101" s="12">
        <v>693.0</v>
      </c>
      <c r="B2101" s="17" t="s">
        <v>4771</v>
      </c>
      <c r="C2101" s="17" t="s">
        <v>4772</v>
      </c>
      <c r="D2101" s="17" t="s">
        <v>4773</v>
      </c>
      <c r="E2101" s="16">
        <v>7.5</v>
      </c>
      <c r="F2101" s="7">
        <f t="shared" si="3"/>
        <v>92.5</v>
      </c>
      <c r="G2101" s="17" t="s">
        <v>3113</v>
      </c>
    </row>
    <row r="2102">
      <c r="A2102" s="12">
        <v>694.0</v>
      </c>
      <c r="B2102" s="17" t="s">
        <v>4774</v>
      </c>
      <c r="C2102" s="17" t="s">
        <v>4775</v>
      </c>
      <c r="D2102" s="17" t="s">
        <v>4776</v>
      </c>
      <c r="E2102" s="16">
        <v>7.5</v>
      </c>
      <c r="F2102" s="7">
        <f t="shared" si="3"/>
        <v>92.5</v>
      </c>
      <c r="G2102" s="17" t="s">
        <v>3113</v>
      </c>
    </row>
    <row r="2103">
      <c r="A2103" s="12">
        <v>695.0</v>
      </c>
      <c r="B2103" s="17" t="s">
        <v>4777</v>
      </c>
      <c r="C2103" s="17" t="s">
        <v>4778</v>
      </c>
      <c r="D2103" s="17" t="s">
        <v>4779</v>
      </c>
      <c r="E2103" s="16">
        <v>7.5</v>
      </c>
      <c r="F2103" s="7">
        <f t="shared" si="3"/>
        <v>92.5</v>
      </c>
      <c r="G2103" s="17" t="s">
        <v>3113</v>
      </c>
    </row>
    <row r="2104">
      <c r="A2104" s="12">
        <v>696.0</v>
      </c>
      <c r="B2104" s="17" t="s">
        <v>4780</v>
      </c>
      <c r="C2104" s="17" t="s">
        <v>4781</v>
      </c>
      <c r="D2104" s="17" t="s">
        <v>4782</v>
      </c>
      <c r="E2104" s="16">
        <v>7.5</v>
      </c>
      <c r="F2104" s="7">
        <f t="shared" si="3"/>
        <v>92.5</v>
      </c>
      <c r="G2104" s="17" t="s">
        <v>3113</v>
      </c>
    </row>
    <row r="2105">
      <c r="A2105" s="12">
        <v>697.0</v>
      </c>
      <c r="B2105" s="17" t="s">
        <v>4783</v>
      </c>
      <c r="C2105" s="17" t="s">
        <v>4784</v>
      </c>
      <c r="D2105" s="17" t="s">
        <v>4785</v>
      </c>
      <c r="E2105" s="16">
        <v>7.5</v>
      </c>
      <c r="F2105" s="7">
        <f t="shared" si="3"/>
        <v>92.5</v>
      </c>
      <c r="G2105" s="17" t="s">
        <v>3113</v>
      </c>
    </row>
    <row r="2106">
      <c r="A2106" s="12">
        <v>698.0</v>
      </c>
      <c r="B2106" s="17" t="s">
        <v>4786</v>
      </c>
      <c r="C2106" s="17" t="s">
        <v>4787</v>
      </c>
      <c r="D2106" s="17" t="s">
        <v>4788</v>
      </c>
      <c r="E2106" s="16">
        <v>7.5</v>
      </c>
      <c r="F2106" s="7">
        <f t="shared" si="3"/>
        <v>92.5</v>
      </c>
      <c r="G2106" s="17" t="s">
        <v>3113</v>
      </c>
    </row>
    <row r="2107">
      <c r="A2107" s="12">
        <v>699.0</v>
      </c>
      <c r="B2107" s="17" t="s">
        <v>4789</v>
      </c>
      <c r="C2107" s="17" t="s">
        <v>4790</v>
      </c>
      <c r="D2107" s="17" t="s">
        <v>4791</v>
      </c>
      <c r="E2107" s="16">
        <v>7.5</v>
      </c>
      <c r="F2107" s="7">
        <f t="shared" si="3"/>
        <v>92.5</v>
      </c>
      <c r="G2107" s="17" t="s">
        <v>3113</v>
      </c>
    </row>
    <row r="2108">
      <c r="A2108" s="12">
        <v>700.0</v>
      </c>
      <c r="B2108" s="17" t="s">
        <v>4792</v>
      </c>
      <c r="C2108" s="17" t="s">
        <v>4793</v>
      </c>
      <c r="D2108" s="17" t="s">
        <v>4794</v>
      </c>
      <c r="E2108" s="16">
        <v>7.5</v>
      </c>
      <c r="F2108" s="7">
        <f t="shared" si="3"/>
        <v>92.5</v>
      </c>
      <c r="G2108" s="17" t="s">
        <v>3113</v>
      </c>
    </row>
    <row r="2109">
      <c r="A2109" s="12">
        <v>701.0</v>
      </c>
      <c r="B2109" s="17" t="s">
        <v>4795</v>
      </c>
      <c r="C2109" s="17" t="s">
        <v>4796</v>
      </c>
      <c r="D2109" s="17" t="s">
        <v>4797</v>
      </c>
      <c r="E2109" s="16">
        <v>7.5</v>
      </c>
      <c r="F2109" s="7">
        <f t="shared" si="3"/>
        <v>92.5</v>
      </c>
      <c r="G2109" s="17" t="s">
        <v>3113</v>
      </c>
    </row>
    <row r="2110">
      <c r="A2110" s="12">
        <v>702.0</v>
      </c>
      <c r="B2110" s="17" t="s">
        <v>4798</v>
      </c>
      <c r="C2110" s="17" t="s">
        <v>4799</v>
      </c>
      <c r="D2110" s="17" t="s">
        <v>4800</v>
      </c>
      <c r="E2110" s="16">
        <v>7.5</v>
      </c>
      <c r="F2110" s="7">
        <f t="shared" si="3"/>
        <v>92.5</v>
      </c>
      <c r="G2110" s="17" t="s">
        <v>3113</v>
      </c>
    </row>
    <row r="2111">
      <c r="A2111" s="12">
        <v>703.0</v>
      </c>
      <c r="B2111" s="17" t="s">
        <v>4801</v>
      </c>
      <c r="C2111" s="17" t="s">
        <v>4802</v>
      </c>
      <c r="D2111" s="17" t="s">
        <v>4803</v>
      </c>
      <c r="E2111" s="16">
        <v>7.5</v>
      </c>
      <c r="F2111" s="7">
        <f t="shared" si="3"/>
        <v>92.5</v>
      </c>
      <c r="G2111" s="17" t="s">
        <v>3113</v>
      </c>
    </row>
    <row r="2112">
      <c r="A2112" s="12">
        <v>704.0</v>
      </c>
      <c r="B2112" s="17" t="s">
        <v>4804</v>
      </c>
      <c r="C2112" s="17" t="s">
        <v>4805</v>
      </c>
      <c r="D2112" s="17" t="s">
        <v>4806</v>
      </c>
      <c r="E2112" s="16">
        <v>7.5</v>
      </c>
      <c r="F2112" s="7">
        <f t="shared" si="3"/>
        <v>92.5</v>
      </c>
      <c r="G2112" s="17" t="s">
        <v>3113</v>
      </c>
    </row>
    <row r="2113">
      <c r="A2113" s="12">
        <v>705.0</v>
      </c>
      <c r="B2113" s="17" t="s">
        <v>4807</v>
      </c>
      <c r="C2113" s="17" t="s">
        <v>4808</v>
      </c>
      <c r="D2113" s="17" t="s">
        <v>4809</v>
      </c>
      <c r="E2113" s="16">
        <v>7.5</v>
      </c>
      <c r="F2113" s="7">
        <f t="shared" si="3"/>
        <v>92.5</v>
      </c>
      <c r="G2113" s="17" t="s">
        <v>3113</v>
      </c>
    </row>
    <row r="2114">
      <c r="A2114" s="12">
        <v>706.0</v>
      </c>
      <c r="B2114" s="17" t="s">
        <v>4810</v>
      </c>
      <c r="C2114" s="17" t="s">
        <v>4811</v>
      </c>
      <c r="D2114" s="17" t="s">
        <v>4812</v>
      </c>
      <c r="E2114" s="16">
        <v>7.5</v>
      </c>
      <c r="F2114" s="7">
        <f t="shared" si="3"/>
        <v>92.5</v>
      </c>
      <c r="G2114" s="17" t="s">
        <v>3113</v>
      </c>
    </row>
    <row r="2115">
      <c r="A2115" s="12">
        <v>707.0</v>
      </c>
      <c r="B2115" s="17" t="s">
        <v>4813</v>
      </c>
      <c r="C2115" s="17" t="s">
        <v>4814</v>
      </c>
      <c r="D2115" s="17" t="s">
        <v>4815</v>
      </c>
      <c r="E2115" s="16">
        <v>7.5</v>
      </c>
      <c r="F2115" s="7">
        <f t="shared" si="3"/>
        <v>92.5</v>
      </c>
      <c r="G2115" s="17" t="s">
        <v>3113</v>
      </c>
    </row>
    <row r="2116">
      <c r="A2116" s="12">
        <v>708.0</v>
      </c>
      <c r="B2116" s="17" t="s">
        <v>4816</v>
      </c>
      <c r="C2116" s="17" t="s">
        <v>4817</v>
      </c>
      <c r="D2116" s="17" t="s">
        <v>4818</v>
      </c>
      <c r="E2116" s="16">
        <v>7.5</v>
      </c>
      <c r="F2116" s="7">
        <f t="shared" si="3"/>
        <v>92.5</v>
      </c>
      <c r="G2116" s="17" t="s">
        <v>3113</v>
      </c>
    </row>
    <row r="2117">
      <c r="A2117" s="12">
        <v>709.0</v>
      </c>
      <c r="B2117" s="17" t="s">
        <v>4819</v>
      </c>
      <c r="C2117" s="17" t="s">
        <v>4820</v>
      </c>
      <c r="D2117" s="17" t="s">
        <v>4821</v>
      </c>
      <c r="E2117" s="16">
        <v>7.5</v>
      </c>
      <c r="F2117" s="7">
        <f t="shared" si="3"/>
        <v>92.5</v>
      </c>
      <c r="G2117" s="17" t="s">
        <v>3113</v>
      </c>
    </row>
    <row r="2118">
      <c r="A2118" s="12">
        <v>710.0</v>
      </c>
      <c r="B2118" s="17" t="s">
        <v>4822</v>
      </c>
      <c r="C2118" s="17" t="s">
        <v>4823</v>
      </c>
      <c r="D2118" s="17" t="s">
        <v>4824</v>
      </c>
      <c r="E2118" s="16">
        <v>7.5</v>
      </c>
      <c r="F2118" s="7">
        <f t="shared" si="3"/>
        <v>92.5</v>
      </c>
      <c r="G2118" s="17" t="s">
        <v>3113</v>
      </c>
    </row>
    <row r="2119">
      <c r="A2119" s="12">
        <v>711.0</v>
      </c>
      <c r="B2119" s="17" t="s">
        <v>4825</v>
      </c>
      <c r="C2119" s="17" t="s">
        <v>4826</v>
      </c>
      <c r="D2119" s="17" t="s">
        <v>4827</v>
      </c>
      <c r="E2119" s="16">
        <v>7.5</v>
      </c>
      <c r="F2119" s="7">
        <f t="shared" si="3"/>
        <v>92.5</v>
      </c>
      <c r="G2119" s="17" t="s">
        <v>3113</v>
      </c>
    </row>
    <row r="2120">
      <c r="A2120" s="12">
        <v>712.0</v>
      </c>
      <c r="B2120" s="17" t="s">
        <v>4828</v>
      </c>
      <c r="C2120" s="17" t="s">
        <v>4829</v>
      </c>
      <c r="D2120" s="17" t="s">
        <v>4830</v>
      </c>
      <c r="E2120" s="16">
        <v>7.5</v>
      </c>
      <c r="F2120" s="7">
        <f t="shared" si="3"/>
        <v>92.5</v>
      </c>
      <c r="G2120" s="17" t="s">
        <v>3113</v>
      </c>
    </row>
    <row r="2121">
      <c r="A2121" s="12">
        <v>713.0</v>
      </c>
      <c r="B2121" s="17" t="s">
        <v>4831</v>
      </c>
      <c r="C2121" s="17" t="s">
        <v>4832</v>
      </c>
      <c r="D2121" s="17" t="s">
        <v>4833</v>
      </c>
      <c r="E2121" s="16">
        <v>7.5</v>
      </c>
      <c r="F2121" s="7">
        <f t="shared" si="3"/>
        <v>92.5</v>
      </c>
      <c r="G2121" s="17" t="s">
        <v>3113</v>
      </c>
    </row>
    <row r="2122">
      <c r="A2122" s="12">
        <v>714.0</v>
      </c>
      <c r="B2122" s="17" t="s">
        <v>4834</v>
      </c>
      <c r="C2122" s="17" t="s">
        <v>4835</v>
      </c>
      <c r="D2122" s="17" t="s">
        <v>4836</v>
      </c>
      <c r="E2122" s="16">
        <v>7.5</v>
      </c>
      <c r="F2122" s="7">
        <f t="shared" si="3"/>
        <v>92.5</v>
      </c>
      <c r="G2122" s="17" t="s">
        <v>3113</v>
      </c>
    </row>
    <row r="2123">
      <c r="A2123" s="12">
        <v>715.0</v>
      </c>
      <c r="B2123" s="17" t="s">
        <v>4837</v>
      </c>
      <c r="C2123" s="17" t="s">
        <v>4838</v>
      </c>
      <c r="D2123" s="17" t="s">
        <v>4839</v>
      </c>
      <c r="E2123" s="16">
        <v>7.5</v>
      </c>
      <c r="F2123" s="7">
        <f t="shared" si="3"/>
        <v>92.5</v>
      </c>
      <c r="G2123" s="17" t="s">
        <v>3113</v>
      </c>
    </row>
    <row r="2124">
      <c r="A2124" s="12">
        <v>716.0</v>
      </c>
      <c r="B2124" s="17" t="s">
        <v>4837</v>
      </c>
      <c r="C2124" s="17" t="s">
        <v>4840</v>
      </c>
      <c r="D2124" s="17" t="s">
        <v>4841</v>
      </c>
      <c r="E2124" s="16">
        <v>7.5</v>
      </c>
      <c r="F2124" s="7">
        <f t="shared" si="3"/>
        <v>92.5</v>
      </c>
      <c r="G2124" s="17" t="s">
        <v>3113</v>
      </c>
    </row>
    <row r="2125">
      <c r="A2125" s="12">
        <v>717.0</v>
      </c>
      <c r="B2125" s="17" t="s">
        <v>4837</v>
      </c>
      <c r="C2125" s="17" t="s">
        <v>4842</v>
      </c>
      <c r="D2125" s="17" t="s">
        <v>4843</v>
      </c>
      <c r="E2125" s="16">
        <v>7.5</v>
      </c>
      <c r="F2125" s="7">
        <f t="shared" si="3"/>
        <v>92.5</v>
      </c>
      <c r="G2125" s="17" t="s">
        <v>3113</v>
      </c>
    </row>
    <row r="2126">
      <c r="A2126" s="12">
        <v>718.0</v>
      </c>
      <c r="B2126" s="17" t="s">
        <v>4844</v>
      </c>
      <c r="C2126" s="17" t="s">
        <v>4845</v>
      </c>
      <c r="D2126" s="17" t="s">
        <v>4846</v>
      </c>
      <c r="E2126" s="16">
        <v>7.5</v>
      </c>
      <c r="F2126" s="7">
        <f t="shared" si="3"/>
        <v>92.5</v>
      </c>
      <c r="G2126" s="17" t="s">
        <v>3113</v>
      </c>
    </row>
    <row r="2127">
      <c r="A2127" s="12">
        <v>719.0</v>
      </c>
      <c r="B2127" s="17" t="s">
        <v>4847</v>
      </c>
      <c r="C2127" s="17" t="s">
        <v>4848</v>
      </c>
      <c r="D2127" s="17" t="s">
        <v>4849</v>
      </c>
      <c r="E2127" s="16">
        <v>7.5</v>
      </c>
      <c r="F2127" s="7">
        <f t="shared" si="3"/>
        <v>92.5</v>
      </c>
      <c r="G2127" s="17" t="s">
        <v>3113</v>
      </c>
    </row>
    <row r="2128">
      <c r="A2128" s="12">
        <v>720.0</v>
      </c>
      <c r="B2128" s="17" t="s">
        <v>4850</v>
      </c>
      <c r="C2128" s="17" t="s">
        <v>4851</v>
      </c>
      <c r="D2128" s="17" t="s">
        <v>4852</v>
      </c>
      <c r="E2128" s="16">
        <v>7.5</v>
      </c>
      <c r="F2128" s="7">
        <f t="shared" si="3"/>
        <v>92.5</v>
      </c>
      <c r="G2128" s="17" t="s">
        <v>3113</v>
      </c>
    </row>
    <row r="2129">
      <c r="A2129" s="12">
        <v>721.0</v>
      </c>
      <c r="B2129" s="17" t="s">
        <v>4853</v>
      </c>
      <c r="C2129" s="17" t="s">
        <v>4854</v>
      </c>
      <c r="D2129" s="17" t="s">
        <v>4855</v>
      </c>
      <c r="E2129" s="16">
        <v>7.5</v>
      </c>
      <c r="F2129" s="7">
        <f t="shared" si="3"/>
        <v>92.5</v>
      </c>
      <c r="G2129" s="17" t="s">
        <v>3113</v>
      </c>
    </row>
    <row r="2130">
      <c r="A2130" s="12">
        <v>722.0</v>
      </c>
      <c r="B2130" s="17" t="s">
        <v>4856</v>
      </c>
      <c r="C2130" s="17" t="s">
        <v>4857</v>
      </c>
      <c r="D2130" s="17" t="s">
        <v>4858</v>
      </c>
      <c r="E2130" s="16">
        <v>7.5</v>
      </c>
      <c r="F2130" s="7">
        <f t="shared" si="3"/>
        <v>92.5</v>
      </c>
      <c r="G2130" s="17" t="s">
        <v>3113</v>
      </c>
    </row>
    <row r="2131">
      <c r="A2131" s="12">
        <v>723.0</v>
      </c>
      <c r="B2131" s="17" t="s">
        <v>4859</v>
      </c>
      <c r="C2131" s="17" t="s">
        <v>4860</v>
      </c>
      <c r="D2131" s="17" t="s">
        <v>4861</v>
      </c>
      <c r="E2131" s="16">
        <v>7.5</v>
      </c>
      <c r="F2131" s="7">
        <f t="shared" si="3"/>
        <v>92.5</v>
      </c>
      <c r="G2131" s="17" t="s">
        <v>3113</v>
      </c>
    </row>
    <row r="2132">
      <c r="A2132" s="12">
        <v>724.0</v>
      </c>
      <c r="B2132" s="17" t="s">
        <v>4862</v>
      </c>
      <c r="C2132" s="17" t="s">
        <v>4863</v>
      </c>
      <c r="D2132" s="17" t="s">
        <v>4864</v>
      </c>
      <c r="E2132" s="16">
        <v>7.5</v>
      </c>
      <c r="F2132" s="7">
        <f t="shared" si="3"/>
        <v>92.5</v>
      </c>
      <c r="G2132" s="17" t="s">
        <v>3113</v>
      </c>
    </row>
    <row r="2133">
      <c r="A2133" s="12">
        <v>725.0</v>
      </c>
      <c r="B2133" s="17" t="s">
        <v>4865</v>
      </c>
      <c r="C2133" s="17" t="s">
        <v>4866</v>
      </c>
      <c r="D2133" s="17" t="s">
        <v>4867</v>
      </c>
      <c r="E2133" s="16">
        <v>7.5</v>
      </c>
      <c r="F2133" s="7">
        <f t="shared" si="3"/>
        <v>92.5</v>
      </c>
      <c r="G2133" s="17" t="s">
        <v>3113</v>
      </c>
    </row>
    <row r="2134">
      <c r="A2134" s="12">
        <v>726.0</v>
      </c>
      <c r="B2134" s="17" t="s">
        <v>4868</v>
      </c>
      <c r="C2134" s="17" t="s">
        <v>4869</v>
      </c>
      <c r="D2134" s="17" t="s">
        <v>4870</v>
      </c>
      <c r="E2134" s="16">
        <v>7.5</v>
      </c>
      <c r="F2134" s="7">
        <f t="shared" si="3"/>
        <v>92.5</v>
      </c>
      <c r="G2134" s="17" t="s">
        <v>3113</v>
      </c>
    </row>
    <row r="2135">
      <c r="A2135" s="12">
        <v>727.0</v>
      </c>
      <c r="B2135" s="17" t="s">
        <v>4871</v>
      </c>
      <c r="C2135" s="17" t="s">
        <v>4872</v>
      </c>
      <c r="D2135" s="17" t="s">
        <v>4873</v>
      </c>
      <c r="E2135" s="16">
        <v>7.5</v>
      </c>
      <c r="F2135" s="7">
        <f t="shared" si="3"/>
        <v>92.5</v>
      </c>
      <c r="G2135" s="17" t="s">
        <v>3113</v>
      </c>
    </row>
    <row r="2136">
      <c r="A2136" s="12">
        <v>728.0</v>
      </c>
      <c r="B2136" s="17" t="s">
        <v>4874</v>
      </c>
      <c r="C2136" s="17" t="s">
        <v>4875</v>
      </c>
      <c r="D2136" s="17" t="s">
        <v>4876</v>
      </c>
      <c r="E2136" s="16">
        <v>7.5</v>
      </c>
      <c r="F2136" s="7">
        <f t="shared" si="3"/>
        <v>92.5</v>
      </c>
      <c r="G2136" s="17" t="s">
        <v>3113</v>
      </c>
    </row>
    <row r="2137">
      <c r="A2137" s="12">
        <v>729.0</v>
      </c>
      <c r="B2137" s="17" t="s">
        <v>4877</v>
      </c>
      <c r="C2137" s="17" t="s">
        <v>4878</v>
      </c>
      <c r="D2137" s="17" t="s">
        <v>4879</v>
      </c>
      <c r="E2137" s="16">
        <v>7.5</v>
      </c>
      <c r="F2137" s="7">
        <f t="shared" si="3"/>
        <v>92.5</v>
      </c>
      <c r="G2137" s="17" t="s">
        <v>3113</v>
      </c>
    </row>
    <row r="2138">
      <c r="A2138" s="12">
        <v>730.0</v>
      </c>
      <c r="B2138" s="17" t="s">
        <v>4880</v>
      </c>
      <c r="C2138" s="17" t="s">
        <v>4881</v>
      </c>
      <c r="D2138" s="17" t="s">
        <v>4882</v>
      </c>
      <c r="E2138" s="16">
        <v>7.5</v>
      </c>
      <c r="F2138" s="7">
        <f t="shared" si="3"/>
        <v>92.5</v>
      </c>
      <c r="G2138" s="17" t="s">
        <v>3113</v>
      </c>
    </row>
    <row r="2139">
      <c r="A2139" s="12">
        <v>731.0</v>
      </c>
      <c r="B2139" s="17" t="s">
        <v>4883</v>
      </c>
      <c r="C2139" s="17" t="s">
        <v>4884</v>
      </c>
      <c r="D2139" s="17" t="s">
        <v>4885</v>
      </c>
      <c r="E2139" s="16">
        <v>7.5</v>
      </c>
      <c r="F2139" s="7">
        <f t="shared" si="3"/>
        <v>92.5</v>
      </c>
      <c r="G2139" s="17" t="s">
        <v>3113</v>
      </c>
    </row>
    <row r="2140">
      <c r="A2140" s="12">
        <v>732.0</v>
      </c>
      <c r="B2140" s="17" t="s">
        <v>4886</v>
      </c>
      <c r="C2140" s="17" t="s">
        <v>4887</v>
      </c>
      <c r="D2140" s="17" t="s">
        <v>4888</v>
      </c>
      <c r="E2140" s="16">
        <v>7.5</v>
      </c>
      <c r="F2140" s="7">
        <f t="shared" si="3"/>
        <v>92.5</v>
      </c>
      <c r="G2140" s="17" t="s">
        <v>3113</v>
      </c>
    </row>
    <row r="2141">
      <c r="A2141" s="12">
        <v>733.0</v>
      </c>
      <c r="B2141" s="17" t="s">
        <v>4889</v>
      </c>
      <c r="C2141" s="17" t="s">
        <v>4890</v>
      </c>
      <c r="D2141" s="17" t="s">
        <v>4891</v>
      </c>
      <c r="E2141" s="16">
        <v>7.5</v>
      </c>
      <c r="F2141" s="7">
        <f t="shared" si="3"/>
        <v>92.5</v>
      </c>
      <c r="G2141" s="17" t="s">
        <v>3113</v>
      </c>
    </row>
    <row r="2142">
      <c r="A2142" s="12">
        <v>734.0</v>
      </c>
      <c r="B2142" s="17" t="s">
        <v>4892</v>
      </c>
      <c r="C2142" s="17" t="s">
        <v>4893</v>
      </c>
      <c r="D2142" s="17" t="s">
        <v>4894</v>
      </c>
      <c r="E2142" s="16">
        <v>7.5</v>
      </c>
      <c r="F2142" s="7">
        <f t="shared" si="3"/>
        <v>92.5</v>
      </c>
      <c r="G2142" s="17" t="s">
        <v>3113</v>
      </c>
    </row>
    <row r="2143">
      <c r="A2143" s="12">
        <v>735.0</v>
      </c>
      <c r="B2143" s="17" t="s">
        <v>4895</v>
      </c>
      <c r="C2143" s="17" t="s">
        <v>4896</v>
      </c>
      <c r="D2143" s="17" t="s">
        <v>4897</v>
      </c>
      <c r="E2143" s="16">
        <v>7.5</v>
      </c>
      <c r="F2143" s="7">
        <f t="shared" si="3"/>
        <v>92.5</v>
      </c>
      <c r="G2143" s="17" t="s">
        <v>3113</v>
      </c>
    </row>
    <row r="2144">
      <c r="A2144" s="12">
        <v>736.0</v>
      </c>
      <c r="B2144" s="17" t="s">
        <v>4898</v>
      </c>
      <c r="C2144" s="17" t="s">
        <v>4899</v>
      </c>
      <c r="D2144" s="17" t="s">
        <v>4900</v>
      </c>
      <c r="E2144" s="16">
        <v>7.5</v>
      </c>
      <c r="F2144" s="7">
        <f t="shared" si="3"/>
        <v>92.5</v>
      </c>
      <c r="G2144" s="17" t="s">
        <v>3113</v>
      </c>
    </row>
    <row r="2145">
      <c r="A2145" s="12">
        <v>737.0</v>
      </c>
      <c r="B2145" s="17" t="s">
        <v>4901</v>
      </c>
      <c r="C2145" s="17" t="s">
        <v>4902</v>
      </c>
      <c r="D2145" s="17" t="s">
        <v>4903</v>
      </c>
      <c r="E2145" s="16">
        <v>7.5</v>
      </c>
      <c r="F2145" s="7">
        <f t="shared" si="3"/>
        <v>92.5</v>
      </c>
      <c r="G2145" s="17" t="s">
        <v>3113</v>
      </c>
    </row>
    <row r="2146">
      <c r="A2146" s="12">
        <v>738.0</v>
      </c>
      <c r="B2146" s="17" t="s">
        <v>4904</v>
      </c>
      <c r="C2146" s="17" t="s">
        <v>4905</v>
      </c>
      <c r="D2146" s="17" t="s">
        <v>4906</v>
      </c>
      <c r="E2146" s="16">
        <v>7.5</v>
      </c>
      <c r="F2146" s="7">
        <f t="shared" si="3"/>
        <v>92.5</v>
      </c>
      <c r="G2146" s="17" t="s">
        <v>3113</v>
      </c>
    </row>
    <row r="2147">
      <c r="A2147" s="12">
        <v>739.0</v>
      </c>
      <c r="B2147" s="17" t="s">
        <v>4907</v>
      </c>
      <c r="C2147" s="17" t="s">
        <v>4908</v>
      </c>
      <c r="D2147" s="17" t="s">
        <v>4909</v>
      </c>
      <c r="E2147" s="16">
        <v>7.5</v>
      </c>
      <c r="F2147" s="7">
        <f t="shared" si="3"/>
        <v>92.5</v>
      </c>
      <c r="G2147" s="17" t="s">
        <v>3113</v>
      </c>
    </row>
    <row r="2148">
      <c r="A2148" s="12">
        <v>740.0</v>
      </c>
      <c r="B2148" s="17" t="s">
        <v>4910</v>
      </c>
      <c r="C2148" s="17" t="s">
        <v>4911</v>
      </c>
      <c r="D2148" s="17" t="s">
        <v>4912</v>
      </c>
      <c r="E2148" s="16">
        <v>7.5</v>
      </c>
      <c r="F2148" s="7">
        <f t="shared" si="3"/>
        <v>92.5</v>
      </c>
      <c r="G2148" s="17" t="s">
        <v>3113</v>
      </c>
    </row>
    <row r="2149">
      <c r="A2149" s="12">
        <v>741.0</v>
      </c>
      <c r="B2149" s="17" t="s">
        <v>4913</v>
      </c>
      <c r="C2149" s="17" t="s">
        <v>4914</v>
      </c>
      <c r="D2149" s="17" t="s">
        <v>4915</v>
      </c>
      <c r="E2149" s="16">
        <v>7.5</v>
      </c>
      <c r="F2149" s="7">
        <f t="shared" si="3"/>
        <v>92.5</v>
      </c>
      <c r="G2149" s="17" t="s">
        <v>3113</v>
      </c>
    </row>
    <row r="2150">
      <c r="A2150" s="12">
        <v>742.0</v>
      </c>
      <c r="B2150" s="17" t="s">
        <v>4916</v>
      </c>
      <c r="C2150" s="17" t="s">
        <v>4917</v>
      </c>
      <c r="D2150" s="17" t="s">
        <v>4918</v>
      </c>
      <c r="E2150" s="16">
        <v>7.5</v>
      </c>
      <c r="F2150" s="7">
        <f t="shared" si="3"/>
        <v>92.5</v>
      </c>
      <c r="G2150" s="17" t="s">
        <v>3113</v>
      </c>
    </row>
    <row r="2151">
      <c r="A2151" s="12">
        <v>743.0</v>
      </c>
      <c r="B2151" s="17" t="s">
        <v>4919</v>
      </c>
      <c r="C2151" s="17" t="s">
        <v>4920</v>
      </c>
      <c r="D2151" s="17" t="s">
        <v>4921</v>
      </c>
      <c r="E2151" s="16">
        <v>7.5</v>
      </c>
      <c r="F2151" s="7">
        <f t="shared" si="3"/>
        <v>92.5</v>
      </c>
      <c r="G2151" s="17" t="s">
        <v>3113</v>
      </c>
    </row>
    <row r="2152">
      <c r="A2152" s="12">
        <v>744.0</v>
      </c>
      <c r="B2152" s="17" t="s">
        <v>4922</v>
      </c>
      <c r="C2152" s="17" t="s">
        <v>4923</v>
      </c>
      <c r="D2152" s="17" t="s">
        <v>4924</v>
      </c>
      <c r="E2152" s="16">
        <v>7.5</v>
      </c>
      <c r="F2152" s="7">
        <f t="shared" si="3"/>
        <v>92.5</v>
      </c>
      <c r="G2152" s="17" t="s">
        <v>3113</v>
      </c>
    </row>
    <row r="2153">
      <c r="A2153" s="12">
        <v>745.0</v>
      </c>
      <c r="B2153" s="17" t="s">
        <v>4925</v>
      </c>
      <c r="C2153" s="17" t="s">
        <v>4926</v>
      </c>
      <c r="D2153" s="17" t="s">
        <v>4927</v>
      </c>
      <c r="E2153" s="16">
        <v>7.5</v>
      </c>
      <c r="F2153" s="7">
        <f t="shared" si="3"/>
        <v>92.5</v>
      </c>
      <c r="G2153" s="17" t="s">
        <v>3113</v>
      </c>
    </row>
    <row r="2154">
      <c r="A2154" s="12">
        <v>746.0</v>
      </c>
      <c r="B2154" s="17" t="s">
        <v>4928</v>
      </c>
      <c r="C2154" s="17" t="s">
        <v>4929</v>
      </c>
      <c r="D2154" s="17" t="s">
        <v>4930</v>
      </c>
      <c r="E2154" s="16">
        <v>7.5</v>
      </c>
      <c r="F2154" s="7">
        <f t="shared" si="3"/>
        <v>92.5</v>
      </c>
      <c r="G2154" s="17" t="s">
        <v>3113</v>
      </c>
    </row>
    <row r="2155">
      <c r="A2155" s="12">
        <v>747.0</v>
      </c>
      <c r="B2155" s="17" t="s">
        <v>4931</v>
      </c>
      <c r="C2155" s="17" t="s">
        <v>4932</v>
      </c>
      <c r="D2155" s="17" t="s">
        <v>4933</v>
      </c>
      <c r="E2155" s="16">
        <v>7.5</v>
      </c>
      <c r="F2155" s="7">
        <f t="shared" si="3"/>
        <v>92.5</v>
      </c>
      <c r="G2155" s="17" t="s">
        <v>3113</v>
      </c>
    </row>
    <row r="2156">
      <c r="A2156" s="12">
        <v>748.0</v>
      </c>
      <c r="B2156" s="17" t="s">
        <v>4934</v>
      </c>
      <c r="C2156" s="17" t="s">
        <v>4935</v>
      </c>
      <c r="D2156" s="17" t="s">
        <v>4936</v>
      </c>
      <c r="E2156" s="16">
        <v>7.5</v>
      </c>
      <c r="F2156" s="7">
        <f t="shared" si="3"/>
        <v>92.5</v>
      </c>
      <c r="G2156" s="17" t="s">
        <v>3113</v>
      </c>
    </row>
    <row r="2157">
      <c r="A2157" s="12">
        <v>749.0</v>
      </c>
      <c r="B2157" s="17" t="s">
        <v>4937</v>
      </c>
      <c r="C2157" s="17" t="s">
        <v>4938</v>
      </c>
      <c r="D2157" s="17" t="s">
        <v>4939</v>
      </c>
      <c r="E2157" s="16">
        <v>7.5</v>
      </c>
      <c r="F2157" s="7">
        <f t="shared" si="3"/>
        <v>92.5</v>
      </c>
      <c r="G2157" s="17" t="s">
        <v>3113</v>
      </c>
    </row>
    <row r="2158">
      <c r="A2158" s="12">
        <v>750.0</v>
      </c>
      <c r="B2158" s="17" t="s">
        <v>4940</v>
      </c>
      <c r="C2158" s="17" t="s">
        <v>4941</v>
      </c>
      <c r="D2158" s="17" t="s">
        <v>4942</v>
      </c>
      <c r="E2158" s="16">
        <v>7.5</v>
      </c>
      <c r="F2158" s="7">
        <f t="shared" si="3"/>
        <v>92.5</v>
      </c>
      <c r="G2158" s="17" t="s">
        <v>3113</v>
      </c>
    </row>
    <row r="2159">
      <c r="A2159" s="12">
        <v>751.0</v>
      </c>
      <c r="B2159" s="17" t="s">
        <v>4943</v>
      </c>
      <c r="C2159" s="17" t="s">
        <v>4944</v>
      </c>
      <c r="D2159" s="17" t="s">
        <v>4945</v>
      </c>
      <c r="E2159" s="16">
        <v>7.5</v>
      </c>
      <c r="F2159" s="7">
        <f t="shared" si="3"/>
        <v>92.5</v>
      </c>
      <c r="G2159" s="17" t="s">
        <v>3113</v>
      </c>
    </row>
    <row r="2160">
      <c r="A2160" s="12">
        <v>752.0</v>
      </c>
      <c r="B2160" s="17" t="s">
        <v>4946</v>
      </c>
      <c r="C2160" s="17" t="s">
        <v>4947</v>
      </c>
      <c r="D2160" s="17" t="s">
        <v>4948</v>
      </c>
      <c r="E2160" s="16">
        <v>7.5</v>
      </c>
      <c r="F2160" s="7">
        <f t="shared" si="3"/>
        <v>92.5</v>
      </c>
      <c r="G2160" s="17" t="s">
        <v>3113</v>
      </c>
    </row>
    <row r="2161">
      <c r="A2161" s="12">
        <v>753.0</v>
      </c>
      <c r="B2161" s="17" t="s">
        <v>4949</v>
      </c>
      <c r="C2161" s="17" t="s">
        <v>4950</v>
      </c>
      <c r="D2161" s="17" t="s">
        <v>4951</v>
      </c>
      <c r="E2161" s="16">
        <v>7.5</v>
      </c>
      <c r="F2161" s="7">
        <f t="shared" si="3"/>
        <v>92.5</v>
      </c>
      <c r="G2161" s="17" t="s">
        <v>3113</v>
      </c>
    </row>
    <row r="2162">
      <c r="A2162" s="12">
        <v>754.0</v>
      </c>
      <c r="B2162" s="17" t="s">
        <v>4952</v>
      </c>
      <c r="C2162" s="17" t="s">
        <v>4953</v>
      </c>
      <c r="D2162" s="17" t="s">
        <v>4954</v>
      </c>
      <c r="E2162" s="16">
        <v>7.5</v>
      </c>
      <c r="F2162" s="7">
        <f t="shared" si="3"/>
        <v>92.5</v>
      </c>
      <c r="G2162" s="17" t="s">
        <v>3113</v>
      </c>
    </row>
    <row r="2163">
      <c r="A2163" s="12">
        <v>755.0</v>
      </c>
      <c r="B2163" s="17" t="s">
        <v>4955</v>
      </c>
      <c r="C2163" s="17" t="s">
        <v>4956</v>
      </c>
      <c r="D2163" s="17" t="s">
        <v>4957</v>
      </c>
      <c r="E2163" s="16">
        <v>7.5</v>
      </c>
      <c r="F2163" s="7">
        <f t="shared" si="3"/>
        <v>92.5</v>
      </c>
      <c r="G2163" s="17" t="s">
        <v>3113</v>
      </c>
    </row>
    <row r="2164">
      <c r="A2164" s="12">
        <v>756.0</v>
      </c>
      <c r="B2164" s="17" t="s">
        <v>4958</v>
      </c>
      <c r="C2164" s="17" t="s">
        <v>4959</v>
      </c>
      <c r="D2164" s="17" t="s">
        <v>4960</v>
      </c>
      <c r="E2164" s="16">
        <v>7.5</v>
      </c>
      <c r="F2164" s="7">
        <f t="shared" si="3"/>
        <v>92.5</v>
      </c>
      <c r="G2164" s="17" t="s">
        <v>3113</v>
      </c>
    </row>
    <row r="2165">
      <c r="A2165" s="12">
        <v>757.0</v>
      </c>
      <c r="B2165" s="17" t="s">
        <v>4961</v>
      </c>
      <c r="C2165" s="17" t="s">
        <v>4962</v>
      </c>
      <c r="D2165" s="17" t="s">
        <v>4963</v>
      </c>
      <c r="E2165" s="16">
        <v>7.5</v>
      </c>
      <c r="F2165" s="7">
        <f t="shared" si="3"/>
        <v>92.5</v>
      </c>
      <c r="G2165" s="17" t="s">
        <v>3113</v>
      </c>
    </row>
    <row r="2166">
      <c r="A2166" s="12">
        <v>758.0</v>
      </c>
      <c r="B2166" s="17" t="s">
        <v>4964</v>
      </c>
      <c r="C2166" s="17" t="s">
        <v>4965</v>
      </c>
      <c r="D2166" s="17" t="s">
        <v>4966</v>
      </c>
      <c r="E2166" s="16">
        <v>7.5</v>
      </c>
      <c r="F2166" s="7">
        <f t="shared" si="3"/>
        <v>92.5</v>
      </c>
      <c r="G2166" s="17" t="s">
        <v>3113</v>
      </c>
    </row>
    <row r="2167">
      <c r="A2167" s="12">
        <v>759.0</v>
      </c>
      <c r="B2167" s="17" t="s">
        <v>4967</v>
      </c>
      <c r="C2167" s="17" t="s">
        <v>4968</v>
      </c>
      <c r="D2167" s="17" t="s">
        <v>4969</v>
      </c>
      <c r="E2167" s="16">
        <v>7.5</v>
      </c>
      <c r="F2167" s="7">
        <f t="shared" si="3"/>
        <v>92.5</v>
      </c>
      <c r="G2167" s="17" t="s">
        <v>3113</v>
      </c>
    </row>
    <row r="2168">
      <c r="A2168" s="12">
        <v>760.0</v>
      </c>
      <c r="B2168" s="17" t="s">
        <v>4970</v>
      </c>
      <c r="C2168" s="17" t="s">
        <v>4971</v>
      </c>
      <c r="D2168" s="17" t="s">
        <v>4972</v>
      </c>
      <c r="E2168" s="16">
        <v>7.5</v>
      </c>
      <c r="F2168" s="7">
        <f t="shared" si="3"/>
        <v>92.5</v>
      </c>
      <c r="G2168" s="17" t="s">
        <v>3113</v>
      </c>
    </row>
    <row r="2169">
      <c r="A2169" s="12">
        <v>761.0</v>
      </c>
      <c r="B2169" s="17" t="s">
        <v>4973</v>
      </c>
      <c r="C2169" s="17" t="s">
        <v>4974</v>
      </c>
      <c r="D2169" s="17" t="s">
        <v>4975</v>
      </c>
      <c r="E2169" s="16">
        <v>7.5</v>
      </c>
      <c r="F2169" s="7">
        <f t="shared" si="3"/>
        <v>92.5</v>
      </c>
      <c r="G2169" s="17" t="s">
        <v>3113</v>
      </c>
    </row>
    <row r="2170">
      <c r="A2170" s="12">
        <v>762.0</v>
      </c>
      <c r="B2170" s="17" t="s">
        <v>4976</v>
      </c>
      <c r="C2170" s="17" t="s">
        <v>4977</v>
      </c>
      <c r="D2170" s="17" t="s">
        <v>4978</v>
      </c>
      <c r="E2170" s="16">
        <v>7.5</v>
      </c>
      <c r="F2170" s="7">
        <f t="shared" si="3"/>
        <v>92.5</v>
      </c>
      <c r="G2170" s="17" t="s">
        <v>3113</v>
      </c>
    </row>
    <row r="2171">
      <c r="A2171" s="12">
        <v>763.0</v>
      </c>
      <c r="B2171" s="17" t="s">
        <v>4979</v>
      </c>
      <c r="C2171" s="17" t="s">
        <v>4980</v>
      </c>
      <c r="D2171" s="17" t="s">
        <v>4981</v>
      </c>
      <c r="E2171" s="16">
        <v>7.5</v>
      </c>
      <c r="F2171" s="7">
        <f t="shared" si="3"/>
        <v>92.5</v>
      </c>
      <c r="G2171" s="17" t="s">
        <v>3113</v>
      </c>
    </row>
    <row r="2172">
      <c r="A2172" s="12">
        <v>764.0</v>
      </c>
      <c r="B2172" s="17" t="s">
        <v>4982</v>
      </c>
      <c r="C2172" s="17" t="s">
        <v>4983</v>
      </c>
      <c r="D2172" s="17" t="s">
        <v>4984</v>
      </c>
      <c r="E2172" s="16">
        <v>7.5</v>
      </c>
      <c r="F2172" s="7">
        <f t="shared" si="3"/>
        <v>92.5</v>
      </c>
      <c r="G2172" s="17" t="s">
        <v>3113</v>
      </c>
    </row>
    <row r="2173">
      <c r="A2173" s="12">
        <v>765.0</v>
      </c>
      <c r="B2173" s="17" t="s">
        <v>4985</v>
      </c>
      <c r="C2173" s="17" t="s">
        <v>4986</v>
      </c>
      <c r="D2173" s="17" t="s">
        <v>4984</v>
      </c>
      <c r="E2173" s="16">
        <v>7.5</v>
      </c>
      <c r="F2173" s="7">
        <f t="shared" si="3"/>
        <v>92.5</v>
      </c>
      <c r="G2173" s="17" t="s">
        <v>3113</v>
      </c>
    </row>
    <row r="2174">
      <c r="A2174" s="12">
        <v>766.0</v>
      </c>
      <c r="B2174" s="17" t="s">
        <v>4987</v>
      </c>
      <c r="C2174" s="17" t="s">
        <v>4988</v>
      </c>
      <c r="D2174" s="17" t="s">
        <v>4989</v>
      </c>
      <c r="E2174" s="16">
        <v>7.5</v>
      </c>
      <c r="F2174" s="7">
        <f t="shared" si="3"/>
        <v>92.5</v>
      </c>
      <c r="G2174" s="17" t="s">
        <v>3113</v>
      </c>
    </row>
    <row r="2175">
      <c r="A2175" s="12">
        <v>767.0</v>
      </c>
      <c r="B2175" s="17" t="s">
        <v>4990</v>
      </c>
      <c r="C2175" s="17" t="s">
        <v>4991</v>
      </c>
      <c r="D2175" s="17" t="s">
        <v>4992</v>
      </c>
      <c r="E2175" s="16">
        <v>7.5</v>
      </c>
      <c r="F2175" s="7">
        <f t="shared" si="3"/>
        <v>92.5</v>
      </c>
      <c r="G2175" s="17" t="s">
        <v>3113</v>
      </c>
    </row>
    <row r="2176">
      <c r="A2176" s="12">
        <v>768.0</v>
      </c>
      <c r="B2176" s="17" t="s">
        <v>4993</v>
      </c>
      <c r="C2176" s="17" t="s">
        <v>4994</v>
      </c>
      <c r="D2176" s="17" t="s">
        <v>4992</v>
      </c>
      <c r="E2176" s="16">
        <v>7.5</v>
      </c>
      <c r="F2176" s="7">
        <f t="shared" si="3"/>
        <v>92.5</v>
      </c>
      <c r="G2176" s="17" t="s">
        <v>3113</v>
      </c>
    </row>
    <row r="2177">
      <c r="A2177" s="12">
        <v>769.0</v>
      </c>
      <c r="B2177" s="17" t="s">
        <v>4995</v>
      </c>
      <c r="C2177" s="17" t="s">
        <v>4996</v>
      </c>
      <c r="D2177" s="17" t="s">
        <v>4997</v>
      </c>
      <c r="E2177" s="16">
        <v>7.5</v>
      </c>
      <c r="F2177" s="7">
        <f t="shared" si="3"/>
        <v>92.5</v>
      </c>
      <c r="G2177" s="17" t="s">
        <v>3113</v>
      </c>
    </row>
    <row r="2178">
      <c r="A2178" s="12">
        <v>770.0</v>
      </c>
      <c r="B2178" s="17" t="s">
        <v>4998</v>
      </c>
      <c r="C2178" s="17" t="s">
        <v>4999</v>
      </c>
      <c r="D2178" s="17" t="s">
        <v>5000</v>
      </c>
      <c r="E2178" s="16">
        <v>7.5</v>
      </c>
      <c r="F2178" s="7">
        <f t="shared" si="3"/>
        <v>92.5</v>
      </c>
      <c r="G2178" s="17" t="s">
        <v>3113</v>
      </c>
    </row>
    <row r="2179">
      <c r="A2179" s="12">
        <v>771.0</v>
      </c>
      <c r="B2179" s="17" t="s">
        <v>5001</v>
      </c>
      <c r="C2179" s="17" t="s">
        <v>5002</v>
      </c>
      <c r="D2179" s="17" t="s">
        <v>5000</v>
      </c>
      <c r="E2179" s="16">
        <v>7.5</v>
      </c>
      <c r="F2179" s="7">
        <f t="shared" si="3"/>
        <v>92.5</v>
      </c>
      <c r="G2179" s="17" t="s">
        <v>3113</v>
      </c>
    </row>
    <row r="2180">
      <c r="A2180" s="12">
        <v>772.0</v>
      </c>
      <c r="B2180" s="17" t="s">
        <v>5003</v>
      </c>
      <c r="C2180" s="17" t="s">
        <v>5004</v>
      </c>
      <c r="D2180" s="17" t="s">
        <v>5005</v>
      </c>
      <c r="E2180" s="16">
        <v>7.5</v>
      </c>
      <c r="F2180" s="7">
        <f t="shared" si="3"/>
        <v>92.5</v>
      </c>
      <c r="G2180" s="17" t="s">
        <v>3113</v>
      </c>
    </row>
    <row r="2181">
      <c r="A2181" s="12">
        <v>773.0</v>
      </c>
      <c r="B2181" s="17" t="s">
        <v>5006</v>
      </c>
      <c r="C2181" s="17" t="s">
        <v>5007</v>
      </c>
      <c r="D2181" s="17" t="s">
        <v>5008</v>
      </c>
      <c r="E2181" s="16">
        <v>7.5</v>
      </c>
      <c r="F2181" s="7">
        <f t="shared" si="3"/>
        <v>92.5</v>
      </c>
      <c r="G2181" s="17" t="s">
        <v>3113</v>
      </c>
    </row>
    <row r="2182">
      <c r="A2182" s="12">
        <v>774.0</v>
      </c>
      <c r="B2182" s="17" t="s">
        <v>5009</v>
      </c>
      <c r="C2182" s="17" t="s">
        <v>5010</v>
      </c>
      <c r="D2182" s="17" t="s">
        <v>5011</v>
      </c>
      <c r="E2182" s="16">
        <v>7.5</v>
      </c>
      <c r="F2182" s="7">
        <f t="shared" si="3"/>
        <v>92.5</v>
      </c>
      <c r="G2182" s="17" t="s">
        <v>3113</v>
      </c>
    </row>
    <row r="2183">
      <c r="A2183" s="12">
        <v>775.0</v>
      </c>
      <c r="B2183" s="17" t="s">
        <v>5012</v>
      </c>
      <c r="C2183" s="17" t="s">
        <v>5013</v>
      </c>
      <c r="D2183" s="17" t="s">
        <v>5014</v>
      </c>
      <c r="E2183" s="16">
        <v>7.5</v>
      </c>
      <c r="F2183" s="7">
        <f t="shared" si="3"/>
        <v>92.5</v>
      </c>
      <c r="G2183" s="17" t="s">
        <v>3113</v>
      </c>
    </row>
    <row r="2184">
      <c r="A2184" s="12">
        <v>776.0</v>
      </c>
      <c r="B2184" s="17" t="s">
        <v>5015</v>
      </c>
      <c r="C2184" s="17" t="s">
        <v>5016</v>
      </c>
      <c r="D2184" s="17" t="s">
        <v>5017</v>
      </c>
      <c r="E2184" s="16">
        <v>7.5</v>
      </c>
      <c r="F2184" s="7">
        <f t="shared" si="3"/>
        <v>92.5</v>
      </c>
      <c r="G2184" s="17" t="s">
        <v>3113</v>
      </c>
    </row>
    <row r="2185">
      <c r="A2185" s="12">
        <v>777.0</v>
      </c>
      <c r="B2185" s="17" t="s">
        <v>5018</v>
      </c>
      <c r="C2185" s="17" t="s">
        <v>5019</v>
      </c>
      <c r="D2185" s="17" t="s">
        <v>5020</v>
      </c>
      <c r="E2185" s="16">
        <v>7.5</v>
      </c>
      <c r="F2185" s="7">
        <f t="shared" si="3"/>
        <v>92.5</v>
      </c>
      <c r="G2185" s="17" t="s">
        <v>3113</v>
      </c>
    </row>
    <row r="2186">
      <c r="A2186" s="12">
        <v>778.0</v>
      </c>
      <c r="B2186" s="17" t="s">
        <v>5021</v>
      </c>
      <c r="C2186" s="17" t="s">
        <v>5022</v>
      </c>
      <c r="D2186" s="17" t="s">
        <v>5023</v>
      </c>
      <c r="E2186" s="16">
        <v>7.5</v>
      </c>
      <c r="F2186" s="7">
        <f t="shared" si="3"/>
        <v>92.5</v>
      </c>
      <c r="G2186" s="17" t="s">
        <v>3113</v>
      </c>
    </row>
    <row r="2187">
      <c r="A2187" s="12">
        <v>779.0</v>
      </c>
      <c r="B2187" s="17" t="s">
        <v>5024</v>
      </c>
      <c r="C2187" s="17" t="s">
        <v>5025</v>
      </c>
      <c r="D2187" s="17" t="s">
        <v>5026</v>
      </c>
      <c r="E2187" s="16">
        <v>7.5</v>
      </c>
      <c r="F2187" s="7">
        <f t="shared" si="3"/>
        <v>92.5</v>
      </c>
      <c r="G2187" s="17" t="s">
        <v>3113</v>
      </c>
    </row>
    <row r="2188">
      <c r="A2188" s="12">
        <v>780.0</v>
      </c>
      <c r="B2188" s="17" t="s">
        <v>5027</v>
      </c>
      <c r="C2188" s="17" t="s">
        <v>5028</v>
      </c>
      <c r="D2188" s="17" t="s">
        <v>5029</v>
      </c>
      <c r="E2188" s="16">
        <v>7.5</v>
      </c>
      <c r="F2188" s="7">
        <f t="shared" si="3"/>
        <v>92.5</v>
      </c>
      <c r="G2188" s="17" t="s">
        <v>3113</v>
      </c>
    </row>
    <row r="2189">
      <c r="A2189" s="12">
        <v>781.0</v>
      </c>
      <c r="B2189" s="17" t="s">
        <v>5030</v>
      </c>
      <c r="C2189" s="17" t="s">
        <v>5031</v>
      </c>
      <c r="D2189" s="17" t="s">
        <v>5032</v>
      </c>
      <c r="E2189" s="16">
        <v>7.5</v>
      </c>
      <c r="F2189" s="7">
        <f t="shared" si="3"/>
        <v>92.5</v>
      </c>
      <c r="G2189" s="17" t="s">
        <v>3113</v>
      </c>
    </row>
    <row r="2190">
      <c r="A2190" s="12">
        <v>782.0</v>
      </c>
      <c r="B2190" s="17" t="s">
        <v>5033</v>
      </c>
      <c r="C2190" s="17" t="s">
        <v>5034</v>
      </c>
      <c r="D2190" s="17" t="s">
        <v>5035</v>
      </c>
      <c r="E2190" s="16">
        <v>7.5</v>
      </c>
      <c r="F2190" s="7">
        <f t="shared" si="3"/>
        <v>92.5</v>
      </c>
      <c r="G2190" s="17" t="s">
        <v>3113</v>
      </c>
    </row>
    <row r="2191">
      <c r="A2191" s="12">
        <v>783.0</v>
      </c>
      <c r="B2191" s="17" t="s">
        <v>5036</v>
      </c>
      <c r="C2191" s="17" t="s">
        <v>5037</v>
      </c>
      <c r="D2191" s="17" t="s">
        <v>5035</v>
      </c>
      <c r="E2191" s="16">
        <v>7.5</v>
      </c>
      <c r="F2191" s="7">
        <f t="shared" si="3"/>
        <v>92.5</v>
      </c>
      <c r="G2191" s="17" t="s">
        <v>3113</v>
      </c>
    </row>
    <row r="2192">
      <c r="A2192" s="12">
        <v>784.0</v>
      </c>
      <c r="B2192" s="17" t="s">
        <v>5038</v>
      </c>
      <c r="C2192" s="17" t="s">
        <v>5039</v>
      </c>
      <c r="D2192" s="17" t="s">
        <v>5040</v>
      </c>
      <c r="E2192" s="16">
        <v>7.5</v>
      </c>
      <c r="F2192" s="7">
        <f t="shared" si="3"/>
        <v>92.5</v>
      </c>
      <c r="G2192" s="17" t="s">
        <v>3113</v>
      </c>
    </row>
    <row r="2193">
      <c r="A2193" s="12">
        <v>785.0</v>
      </c>
      <c r="B2193" s="17" t="s">
        <v>5041</v>
      </c>
      <c r="C2193" s="17" t="s">
        <v>5042</v>
      </c>
      <c r="D2193" s="17" t="s">
        <v>5043</v>
      </c>
      <c r="E2193" s="16">
        <v>7.5</v>
      </c>
      <c r="F2193" s="7">
        <f t="shared" si="3"/>
        <v>92.5</v>
      </c>
      <c r="G2193" s="17" t="s">
        <v>3113</v>
      </c>
    </row>
    <row r="2194">
      <c r="A2194" s="12">
        <v>786.0</v>
      </c>
      <c r="B2194" s="17" t="s">
        <v>5044</v>
      </c>
      <c r="C2194" s="17" t="s">
        <v>5045</v>
      </c>
      <c r="D2194" s="17" t="s">
        <v>5043</v>
      </c>
      <c r="E2194" s="16">
        <v>7.5</v>
      </c>
      <c r="F2194" s="7">
        <f t="shared" si="3"/>
        <v>92.5</v>
      </c>
      <c r="G2194" s="17" t="s">
        <v>3113</v>
      </c>
    </row>
    <row r="2195">
      <c r="A2195" s="12">
        <v>787.0</v>
      </c>
      <c r="B2195" s="17" t="s">
        <v>5046</v>
      </c>
      <c r="C2195" s="17" t="s">
        <v>5047</v>
      </c>
      <c r="D2195" s="17" t="s">
        <v>5048</v>
      </c>
      <c r="E2195" s="16">
        <v>7.5</v>
      </c>
      <c r="F2195" s="7">
        <f t="shared" si="3"/>
        <v>92.5</v>
      </c>
      <c r="G2195" s="17" t="s">
        <v>3113</v>
      </c>
    </row>
    <row r="2196">
      <c r="A2196" s="12">
        <v>788.0</v>
      </c>
      <c r="B2196" s="17" t="s">
        <v>5049</v>
      </c>
      <c r="C2196" s="17" t="s">
        <v>5050</v>
      </c>
      <c r="D2196" s="17" t="s">
        <v>5051</v>
      </c>
      <c r="E2196" s="16">
        <v>7.5</v>
      </c>
      <c r="F2196" s="7">
        <f t="shared" si="3"/>
        <v>92.5</v>
      </c>
      <c r="G2196" s="17" t="s">
        <v>3113</v>
      </c>
    </row>
    <row r="2197">
      <c r="A2197" s="12">
        <v>789.0</v>
      </c>
      <c r="B2197" s="17" t="s">
        <v>5052</v>
      </c>
      <c r="C2197" s="17" t="s">
        <v>5053</v>
      </c>
      <c r="D2197" s="17" t="s">
        <v>5051</v>
      </c>
      <c r="E2197" s="16">
        <v>7.5</v>
      </c>
      <c r="F2197" s="7">
        <f t="shared" si="3"/>
        <v>92.5</v>
      </c>
      <c r="G2197" s="17" t="s">
        <v>3113</v>
      </c>
    </row>
    <row r="2198">
      <c r="A2198" s="12">
        <v>790.0</v>
      </c>
      <c r="B2198" s="17" t="s">
        <v>5054</v>
      </c>
      <c r="C2198" s="17" t="s">
        <v>5055</v>
      </c>
      <c r="D2198" s="17" t="s">
        <v>5056</v>
      </c>
      <c r="E2198" s="16">
        <v>7.5</v>
      </c>
      <c r="F2198" s="7">
        <f t="shared" si="3"/>
        <v>92.5</v>
      </c>
      <c r="G2198" s="17" t="s">
        <v>3113</v>
      </c>
    </row>
    <row r="2199">
      <c r="A2199" s="12">
        <v>791.0</v>
      </c>
      <c r="B2199" s="17" t="s">
        <v>5057</v>
      </c>
      <c r="C2199" s="17" t="s">
        <v>5058</v>
      </c>
      <c r="D2199" s="17" t="s">
        <v>5059</v>
      </c>
      <c r="E2199" s="16">
        <v>7.5</v>
      </c>
      <c r="F2199" s="7">
        <f t="shared" si="3"/>
        <v>92.5</v>
      </c>
      <c r="G2199" s="17" t="s">
        <v>3113</v>
      </c>
    </row>
    <row r="2200">
      <c r="A2200" s="12">
        <v>792.0</v>
      </c>
      <c r="B2200" s="17" t="s">
        <v>5060</v>
      </c>
      <c r="C2200" s="17" t="s">
        <v>5061</v>
      </c>
      <c r="D2200" s="17" t="s">
        <v>5059</v>
      </c>
      <c r="E2200" s="16">
        <v>7.5</v>
      </c>
      <c r="F2200" s="7">
        <f t="shared" si="3"/>
        <v>92.5</v>
      </c>
      <c r="G2200" s="17" t="s">
        <v>3113</v>
      </c>
    </row>
    <row r="2201">
      <c r="A2201" s="12">
        <v>793.0</v>
      </c>
      <c r="B2201" s="17" t="s">
        <v>5062</v>
      </c>
      <c r="C2201" s="17" t="s">
        <v>5063</v>
      </c>
      <c r="D2201" s="17" t="s">
        <v>5064</v>
      </c>
      <c r="E2201" s="16">
        <v>7.5</v>
      </c>
      <c r="F2201" s="7">
        <f t="shared" si="3"/>
        <v>92.5</v>
      </c>
      <c r="G2201" s="17" t="s">
        <v>3113</v>
      </c>
    </row>
    <row r="2202">
      <c r="A2202" s="12">
        <v>794.0</v>
      </c>
      <c r="B2202" s="17" t="s">
        <v>5065</v>
      </c>
      <c r="C2202" s="17" t="s">
        <v>5066</v>
      </c>
      <c r="D2202" s="17" t="s">
        <v>5067</v>
      </c>
      <c r="E2202" s="16">
        <v>7.5</v>
      </c>
      <c r="F2202" s="7">
        <f t="shared" si="3"/>
        <v>92.5</v>
      </c>
      <c r="G2202" s="17" t="s">
        <v>3113</v>
      </c>
    </row>
    <row r="2203">
      <c r="A2203" s="12">
        <v>795.0</v>
      </c>
      <c r="B2203" s="17" t="s">
        <v>5068</v>
      </c>
      <c r="C2203" s="17" t="s">
        <v>5069</v>
      </c>
      <c r="D2203" s="17" t="s">
        <v>5070</v>
      </c>
      <c r="E2203" s="16">
        <v>7.5</v>
      </c>
      <c r="F2203" s="7">
        <f t="shared" si="3"/>
        <v>92.5</v>
      </c>
      <c r="G2203" s="17" t="s">
        <v>3113</v>
      </c>
    </row>
    <row r="2204">
      <c r="A2204" s="12">
        <v>796.0</v>
      </c>
      <c r="B2204" s="17" t="s">
        <v>5071</v>
      </c>
      <c r="C2204" s="17" t="s">
        <v>5072</v>
      </c>
      <c r="D2204" s="17" t="s">
        <v>5070</v>
      </c>
      <c r="E2204" s="16">
        <v>7.5</v>
      </c>
      <c r="F2204" s="7">
        <f t="shared" si="3"/>
        <v>92.5</v>
      </c>
      <c r="G2204" s="17" t="s">
        <v>3113</v>
      </c>
    </row>
    <row r="2205">
      <c r="A2205" s="12">
        <v>797.0</v>
      </c>
      <c r="B2205" s="17" t="s">
        <v>5073</v>
      </c>
      <c r="C2205" s="17" t="s">
        <v>5074</v>
      </c>
      <c r="D2205" s="17" t="s">
        <v>5075</v>
      </c>
      <c r="E2205" s="16">
        <v>7.5</v>
      </c>
      <c r="F2205" s="7">
        <f t="shared" si="3"/>
        <v>92.5</v>
      </c>
      <c r="G2205" s="17" t="s">
        <v>3113</v>
      </c>
    </row>
    <row r="2206">
      <c r="A2206" s="12">
        <v>798.0</v>
      </c>
      <c r="B2206" s="17" t="s">
        <v>5076</v>
      </c>
      <c r="C2206" s="17" t="s">
        <v>5077</v>
      </c>
      <c r="D2206" s="17" t="s">
        <v>5078</v>
      </c>
      <c r="E2206" s="16">
        <v>7.5</v>
      </c>
      <c r="F2206" s="7">
        <f t="shared" si="3"/>
        <v>92.5</v>
      </c>
      <c r="G2206" s="17" t="s">
        <v>3113</v>
      </c>
    </row>
    <row r="2207">
      <c r="A2207" s="12">
        <v>799.0</v>
      </c>
      <c r="B2207" s="17" t="s">
        <v>5079</v>
      </c>
      <c r="C2207" s="17" t="s">
        <v>5080</v>
      </c>
      <c r="D2207" s="17" t="s">
        <v>5078</v>
      </c>
      <c r="E2207" s="16">
        <v>7.5</v>
      </c>
      <c r="F2207" s="7">
        <f t="shared" si="3"/>
        <v>92.5</v>
      </c>
      <c r="G2207" s="17" t="s">
        <v>3113</v>
      </c>
    </row>
    <row r="2208">
      <c r="A2208" s="12">
        <v>800.0</v>
      </c>
      <c r="B2208" s="17" t="s">
        <v>5081</v>
      </c>
      <c r="C2208" s="17" t="s">
        <v>5082</v>
      </c>
      <c r="D2208" s="17" t="s">
        <v>5083</v>
      </c>
      <c r="E2208" s="16">
        <v>7.5</v>
      </c>
      <c r="F2208" s="7">
        <f t="shared" si="3"/>
        <v>92.5</v>
      </c>
      <c r="G2208" s="17" t="s">
        <v>3113</v>
      </c>
    </row>
    <row r="2209">
      <c r="A2209" s="12">
        <v>801.0</v>
      </c>
      <c r="B2209" s="17" t="s">
        <v>5084</v>
      </c>
      <c r="C2209" s="17" t="s">
        <v>5085</v>
      </c>
      <c r="D2209" s="17" t="s">
        <v>5086</v>
      </c>
      <c r="E2209" s="16">
        <v>7.5</v>
      </c>
      <c r="F2209" s="7">
        <f t="shared" si="3"/>
        <v>92.5</v>
      </c>
      <c r="G2209" s="17" t="s">
        <v>3113</v>
      </c>
    </row>
    <row r="2210">
      <c r="A2210" s="12">
        <v>802.0</v>
      </c>
      <c r="B2210" s="17" t="s">
        <v>5087</v>
      </c>
      <c r="C2210" s="17" t="s">
        <v>5088</v>
      </c>
      <c r="D2210" s="17" t="s">
        <v>5086</v>
      </c>
      <c r="E2210" s="16">
        <v>7.5</v>
      </c>
      <c r="F2210" s="7">
        <f t="shared" si="3"/>
        <v>92.5</v>
      </c>
      <c r="G2210" s="17" t="s">
        <v>3113</v>
      </c>
    </row>
    <row r="2211">
      <c r="A2211" s="12">
        <v>803.0</v>
      </c>
      <c r="B2211" s="17" t="s">
        <v>5089</v>
      </c>
      <c r="C2211" s="17" t="s">
        <v>5090</v>
      </c>
      <c r="D2211" s="17" t="s">
        <v>5091</v>
      </c>
      <c r="E2211" s="16">
        <v>7.5</v>
      </c>
      <c r="F2211" s="7">
        <f t="shared" si="3"/>
        <v>92.5</v>
      </c>
      <c r="G2211" s="17" t="s">
        <v>3113</v>
      </c>
    </row>
    <row r="2212">
      <c r="A2212" s="12">
        <v>804.0</v>
      </c>
      <c r="B2212" s="17" t="s">
        <v>5092</v>
      </c>
      <c r="C2212" s="17" t="s">
        <v>5093</v>
      </c>
      <c r="D2212" s="17" t="s">
        <v>5094</v>
      </c>
      <c r="E2212" s="16">
        <v>7.5</v>
      </c>
      <c r="F2212" s="7">
        <f t="shared" si="3"/>
        <v>92.5</v>
      </c>
      <c r="G2212" s="17" t="s">
        <v>3113</v>
      </c>
    </row>
    <row r="2213">
      <c r="A2213" s="12">
        <v>805.0</v>
      </c>
      <c r="B2213" s="17" t="s">
        <v>5095</v>
      </c>
      <c r="C2213" s="17" t="s">
        <v>5096</v>
      </c>
      <c r="D2213" s="17" t="s">
        <v>5094</v>
      </c>
      <c r="E2213" s="16">
        <v>7.5</v>
      </c>
      <c r="F2213" s="7">
        <f t="shared" si="3"/>
        <v>92.5</v>
      </c>
      <c r="G2213" s="17" t="s">
        <v>3113</v>
      </c>
    </row>
    <row r="2214">
      <c r="A2214" s="12">
        <v>806.0</v>
      </c>
      <c r="B2214" s="17" t="s">
        <v>5097</v>
      </c>
      <c r="C2214" s="17" t="s">
        <v>5098</v>
      </c>
      <c r="D2214" s="17" t="s">
        <v>5099</v>
      </c>
      <c r="E2214" s="16">
        <v>7.5</v>
      </c>
      <c r="F2214" s="7">
        <f t="shared" si="3"/>
        <v>92.5</v>
      </c>
      <c r="G2214" s="17" t="s">
        <v>3113</v>
      </c>
    </row>
    <row r="2215">
      <c r="A2215" s="12">
        <v>807.0</v>
      </c>
      <c r="B2215" s="17" t="s">
        <v>5100</v>
      </c>
      <c r="C2215" s="17" t="s">
        <v>5101</v>
      </c>
      <c r="D2215" s="17" t="s">
        <v>5102</v>
      </c>
      <c r="E2215" s="16">
        <v>7.5</v>
      </c>
      <c r="F2215" s="7">
        <f t="shared" si="3"/>
        <v>92.5</v>
      </c>
      <c r="G2215" s="17" t="s">
        <v>3113</v>
      </c>
    </row>
    <row r="2216">
      <c r="A2216" s="12">
        <v>808.0</v>
      </c>
      <c r="B2216" s="17" t="s">
        <v>5103</v>
      </c>
      <c r="C2216" s="17" t="s">
        <v>5104</v>
      </c>
      <c r="D2216" s="17" t="s">
        <v>5102</v>
      </c>
      <c r="E2216" s="16">
        <v>7.5</v>
      </c>
      <c r="F2216" s="7">
        <f t="shared" si="3"/>
        <v>92.5</v>
      </c>
      <c r="G2216" s="17" t="s">
        <v>3113</v>
      </c>
    </row>
    <row r="2217">
      <c r="A2217" s="12">
        <v>809.0</v>
      </c>
      <c r="B2217" s="17" t="s">
        <v>5105</v>
      </c>
      <c r="C2217" s="17" t="s">
        <v>5106</v>
      </c>
      <c r="D2217" s="17" t="s">
        <v>5107</v>
      </c>
      <c r="E2217" s="16">
        <v>7.5</v>
      </c>
      <c r="F2217" s="7">
        <f t="shared" si="3"/>
        <v>92.5</v>
      </c>
      <c r="G2217" s="17" t="s">
        <v>3113</v>
      </c>
    </row>
    <row r="2218">
      <c r="A2218" s="12">
        <v>810.0</v>
      </c>
      <c r="B2218" s="17" t="s">
        <v>5108</v>
      </c>
      <c r="C2218" s="17" t="s">
        <v>5109</v>
      </c>
      <c r="D2218" s="17" t="s">
        <v>5110</v>
      </c>
      <c r="E2218" s="16">
        <v>7.5</v>
      </c>
      <c r="F2218" s="7">
        <f t="shared" si="3"/>
        <v>92.5</v>
      </c>
      <c r="G2218" s="17" t="s">
        <v>3113</v>
      </c>
    </row>
    <row r="2219">
      <c r="A2219" s="12">
        <v>811.0</v>
      </c>
      <c r="B2219" s="17" t="s">
        <v>5111</v>
      </c>
      <c r="C2219" s="17" t="s">
        <v>5112</v>
      </c>
      <c r="D2219" s="17" t="s">
        <v>5113</v>
      </c>
      <c r="E2219" s="16">
        <v>7.5</v>
      </c>
      <c r="F2219" s="7">
        <f t="shared" si="3"/>
        <v>92.5</v>
      </c>
      <c r="G2219" s="17" t="s">
        <v>3113</v>
      </c>
    </row>
    <row r="2220">
      <c r="A2220" s="12">
        <v>812.0</v>
      </c>
      <c r="B2220" s="17" t="s">
        <v>5114</v>
      </c>
      <c r="C2220" s="17" t="s">
        <v>5115</v>
      </c>
      <c r="D2220" s="17" t="s">
        <v>5116</v>
      </c>
      <c r="E2220" s="16">
        <v>7.5</v>
      </c>
      <c r="F2220" s="7">
        <f t="shared" si="3"/>
        <v>92.5</v>
      </c>
      <c r="G2220" s="17" t="s">
        <v>3113</v>
      </c>
    </row>
    <row r="2221">
      <c r="A2221" s="12">
        <v>813.0</v>
      </c>
      <c r="B2221" s="17" t="s">
        <v>5117</v>
      </c>
      <c r="C2221" s="17" t="s">
        <v>5118</v>
      </c>
      <c r="D2221" s="17" t="s">
        <v>5119</v>
      </c>
      <c r="E2221" s="16">
        <v>7.5</v>
      </c>
      <c r="F2221" s="7">
        <f t="shared" si="3"/>
        <v>92.5</v>
      </c>
      <c r="G2221" s="17" t="s">
        <v>3113</v>
      </c>
    </row>
    <row r="2222">
      <c r="A2222" s="12">
        <v>814.0</v>
      </c>
      <c r="B2222" s="17" t="s">
        <v>5120</v>
      </c>
      <c r="C2222" s="17" t="s">
        <v>5121</v>
      </c>
      <c r="D2222" s="17" t="s">
        <v>5119</v>
      </c>
      <c r="E2222" s="16">
        <v>7.5</v>
      </c>
      <c r="F2222" s="7">
        <f t="shared" si="3"/>
        <v>92.5</v>
      </c>
      <c r="G2222" s="17" t="s">
        <v>3113</v>
      </c>
    </row>
    <row r="2223">
      <c r="A2223" s="12">
        <v>815.0</v>
      </c>
      <c r="B2223" s="17" t="s">
        <v>5122</v>
      </c>
      <c r="C2223" s="17" t="s">
        <v>5123</v>
      </c>
      <c r="D2223" s="17" t="s">
        <v>5124</v>
      </c>
      <c r="E2223" s="16">
        <v>7.5</v>
      </c>
      <c r="F2223" s="7">
        <f t="shared" si="3"/>
        <v>92.5</v>
      </c>
      <c r="G2223" s="17" t="s">
        <v>3113</v>
      </c>
    </row>
    <row r="2224">
      <c r="A2224" s="12">
        <v>816.0</v>
      </c>
      <c r="B2224" s="17" t="s">
        <v>5125</v>
      </c>
      <c r="C2224" s="17" t="s">
        <v>5126</v>
      </c>
      <c r="D2224" s="17" t="s">
        <v>5127</v>
      </c>
      <c r="E2224" s="16">
        <v>7.5</v>
      </c>
      <c r="F2224" s="7">
        <f t="shared" si="3"/>
        <v>92.5</v>
      </c>
      <c r="G2224" s="17" t="s">
        <v>3113</v>
      </c>
    </row>
    <row r="2225">
      <c r="A2225" s="12">
        <v>817.0</v>
      </c>
      <c r="B2225" s="17" t="s">
        <v>5128</v>
      </c>
      <c r="C2225" s="17" t="s">
        <v>5129</v>
      </c>
      <c r="D2225" s="17" t="s">
        <v>5127</v>
      </c>
      <c r="E2225" s="16">
        <v>7.5</v>
      </c>
      <c r="F2225" s="7">
        <f t="shared" si="3"/>
        <v>92.5</v>
      </c>
      <c r="G2225" s="17" t="s">
        <v>3113</v>
      </c>
    </row>
    <row r="2226">
      <c r="A2226" s="12">
        <v>818.0</v>
      </c>
      <c r="B2226" s="17" t="s">
        <v>5130</v>
      </c>
      <c r="C2226" s="17" t="s">
        <v>5131</v>
      </c>
      <c r="D2226" s="17" t="s">
        <v>5132</v>
      </c>
      <c r="E2226" s="16">
        <v>7.5</v>
      </c>
      <c r="F2226" s="7">
        <f t="shared" si="3"/>
        <v>92.5</v>
      </c>
      <c r="G2226" s="17" t="s">
        <v>3113</v>
      </c>
    </row>
    <row r="2227">
      <c r="A2227" s="12">
        <v>819.0</v>
      </c>
      <c r="B2227" s="17" t="s">
        <v>5133</v>
      </c>
      <c r="C2227" s="17" t="s">
        <v>5134</v>
      </c>
      <c r="D2227" s="17" t="s">
        <v>5135</v>
      </c>
      <c r="E2227" s="16">
        <v>7.5</v>
      </c>
      <c r="F2227" s="7">
        <f t="shared" si="3"/>
        <v>92.5</v>
      </c>
      <c r="G2227" s="17" t="s">
        <v>3113</v>
      </c>
    </row>
    <row r="2228">
      <c r="A2228" s="12">
        <v>820.0</v>
      </c>
      <c r="B2228" s="17" t="s">
        <v>5136</v>
      </c>
      <c r="C2228" s="17" t="s">
        <v>5137</v>
      </c>
      <c r="D2228" s="17" t="s">
        <v>5135</v>
      </c>
      <c r="E2228" s="16">
        <v>7.5</v>
      </c>
      <c r="F2228" s="7">
        <f t="shared" si="3"/>
        <v>92.5</v>
      </c>
      <c r="G2228" s="17" t="s">
        <v>3113</v>
      </c>
    </row>
    <row r="2229">
      <c r="A2229" s="12">
        <v>821.0</v>
      </c>
      <c r="B2229" s="17" t="s">
        <v>5138</v>
      </c>
      <c r="C2229" s="17" t="s">
        <v>5139</v>
      </c>
      <c r="D2229" s="17" t="s">
        <v>5140</v>
      </c>
      <c r="E2229" s="16">
        <v>7.5</v>
      </c>
      <c r="F2229" s="7">
        <f t="shared" si="3"/>
        <v>92.5</v>
      </c>
      <c r="G2229" s="17" t="s">
        <v>3113</v>
      </c>
    </row>
    <row r="2230">
      <c r="A2230" s="12">
        <v>822.0</v>
      </c>
      <c r="B2230" s="17" t="s">
        <v>5141</v>
      </c>
      <c r="C2230" s="17" t="s">
        <v>5142</v>
      </c>
      <c r="D2230" s="17" t="s">
        <v>5143</v>
      </c>
      <c r="E2230" s="16">
        <v>7.5</v>
      </c>
      <c r="F2230" s="7">
        <f t="shared" si="3"/>
        <v>92.5</v>
      </c>
      <c r="G2230" s="17" t="s">
        <v>3113</v>
      </c>
    </row>
    <row r="2231">
      <c r="A2231" s="12">
        <v>823.0</v>
      </c>
      <c r="B2231" s="17" t="s">
        <v>5144</v>
      </c>
      <c r="C2231" s="17" t="s">
        <v>5145</v>
      </c>
      <c r="D2231" s="17" t="s">
        <v>5143</v>
      </c>
      <c r="E2231" s="16">
        <v>7.5</v>
      </c>
      <c r="F2231" s="7">
        <f t="shared" si="3"/>
        <v>92.5</v>
      </c>
      <c r="G2231" s="17" t="s">
        <v>3113</v>
      </c>
    </row>
    <row r="2232">
      <c r="A2232" s="12">
        <v>824.0</v>
      </c>
      <c r="B2232" s="17" t="s">
        <v>5146</v>
      </c>
      <c r="C2232" s="17" t="s">
        <v>5147</v>
      </c>
      <c r="D2232" s="17" t="s">
        <v>5148</v>
      </c>
      <c r="E2232" s="16">
        <v>7.5</v>
      </c>
      <c r="F2232" s="7">
        <f t="shared" si="3"/>
        <v>92.5</v>
      </c>
      <c r="G2232" s="17" t="s">
        <v>3113</v>
      </c>
    </row>
    <row r="2233">
      <c r="A2233" s="12">
        <v>825.0</v>
      </c>
      <c r="B2233" s="17" t="s">
        <v>5149</v>
      </c>
      <c r="C2233" s="17" t="s">
        <v>5150</v>
      </c>
      <c r="D2233" s="17" t="s">
        <v>5151</v>
      </c>
      <c r="E2233" s="16">
        <v>7.5</v>
      </c>
      <c r="F2233" s="7">
        <f t="shared" si="3"/>
        <v>92.5</v>
      </c>
      <c r="G2233" s="17" t="s">
        <v>3113</v>
      </c>
    </row>
    <row r="2234">
      <c r="A2234" s="12">
        <v>826.0</v>
      </c>
      <c r="B2234" s="17" t="s">
        <v>5152</v>
      </c>
      <c r="C2234" s="17" t="s">
        <v>5153</v>
      </c>
      <c r="D2234" s="17" t="s">
        <v>5151</v>
      </c>
      <c r="E2234" s="16">
        <v>7.5</v>
      </c>
      <c r="F2234" s="7">
        <f t="shared" si="3"/>
        <v>92.5</v>
      </c>
      <c r="G2234" s="17" t="s">
        <v>3113</v>
      </c>
    </row>
    <row r="2235">
      <c r="A2235" s="12">
        <v>827.0</v>
      </c>
      <c r="B2235" s="17" t="s">
        <v>5154</v>
      </c>
      <c r="C2235" s="17" t="s">
        <v>5155</v>
      </c>
      <c r="D2235" s="17" t="s">
        <v>5156</v>
      </c>
      <c r="E2235" s="16">
        <v>7.5</v>
      </c>
      <c r="F2235" s="7">
        <f t="shared" si="3"/>
        <v>92.5</v>
      </c>
      <c r="G2235" s="17" t="s">
        <v>3113</v>
      </c>
    </row>
    <row r="2236">
      <c r="A2236" s="12">
        <v>828.0</v>
      </c>
      <c r="B2236" s="17" t="s">
        <v>5157</v>
      </c>
      <c r="C2236" s="17" t="s">
        <v>5158</v>
      </c>
      <c r="D2236" s="17" t="s">
        <v>5159</v>
      </c>
      <c r="E2236" s="16">
        <v>7.5</v>
      </c>
      <c r="F2236" s="7">
        <f t="shared" si="3"/>
        <v>92.5</v>
      </c>
      <c r="G2236" s="17" t="s">
        <v>3113</v>
      </c>
    </row>
    <row r="2237">
      <c r="A2237" s="12">
        <v>829.0</v>
      </c>
      <c r="B2237" s="17" t="s">
        <v>5160</v>
      </c>
      <c r="C2237" s="17" t="s">
        <v>5161</v>
      </c>
      <c r="D2237" s="17" t="s">
        <v>5159</v>
      </c>
      <c r="E2237" s="16">
        <v>7.5</v>
      </c>
      <c r="F2237" s="7">
        <f t="shared" si="3"/>
        <v>92.5</v>
      </c>
      <c r="G2237" s="17" t="s">
        <v>3113</v>
      </c>
    </row>
    <row r="2238">
      <c r="A2238" s="12">
        <v>830.0</v>
      </c>
      <c r="B2238" s="17" t="s">
        <v>5162</v>
      </c>
      <c r="C2238" s="17" t="s">
        <v>5163</v>
      </c>
      <c r="D2238" s="17" t="s">
        <v>5164</v>
      </c>
      <c r="E2238" s="16">
        <v>7.5</v>
      </c>
      <c r="F2238" s="7">
        <f t="shared" si="3"/>
        <v>92.5</v>
      </c>
      <c r="G2238" s="17" t="s">
        <v>3113</v>
      </c>
    </row>
    <row r="2239">
      <c r="A2239" s="12">
        <v>831.0</v>
      </c>
      <c r="B2239" s="17" t="s">
        <v>5165</v>
      </c>
      <c r="C2239" s="17" t="s">
        <v>5166</v>
      </c>
      <c r="D2239" s="17" t="s">
        <v>5167</v>
      </c>
      <c r="E2239" s="16">
        <v>7.5</v>
      </c>
      <c r="F2239" s="7">
        <f t="shared" si="3"/>
        <v>92.5</v>
      </c>
      <c r="G2239" s="17" t="s">
        <v>3113</v>
      </c>
    </row>
    <row r="2240">
      <c r="A2240" s="12">
        <v>832.0</v>
      </c>
      <c r="B2240" s="17" t="s">
        <v>5168</v>
      </c>
      <c r="C2240" s="17" t="s">
        <v>5169</v>
      </c>
      <c r="D2240" s="17" t="s">
        <v>5167</v>
      </c>
      <c r="E2240" s="16">
        <v>7.5</v>
      </c>
      <c r="F2240" s="7">
        <f t="shared" si="3"/>
        <v>92.5</v>
      </c>
      <c r="G2240" s="17" t="s">
        <v>3113</v>
      </c>
    </row>
    <row r="2241">
      <c r="A2241" s="12">
        <v>833.0</v>
      </c>
      <c r="B2241" s="17" t="s">
        <v>5170</v>
      </c>
      <c r="C2241" s="17" t="s">
        <v>5171</v>
      </c>
      <c r="D2241" s="17" t="s">
        <v>5172</v>
      </c>
      <c r="E2241" s="16">
        <v>7.5</v>
      </c>
      <c r="F2241" s="7">
        <f t="shared" si="3"/>
        <v>92.5</v>
      </c>
      <c r="G2241" s="17" t="s">
        <v>3113</v>
      </c>
    </row>
    <row r="2242">
      <c r="A2242" s="12">
        <v>834.0</v>
      </c>
      <c r="B2242" s="17" t="s">
        <v>5173</v>
      </c>
      <c r="C2242" s="17" t="s">
        <v>5174</v>
      </c>
      <c r="D2242" s="17" t="s">
        <v>5175</v>
      </c>
      <c r="E2242" s="16">
        <v>7.5</v>
      </c>
      <c r="F2242" s="7">
        <f t="shared" si="3"/>
        <v>92.5</v>
      </c>
      <c r="G2242" s="17" t="s">
        <v>3113</v>
      </c>
    </row>
    <row r="2243">
      <c r="A2243" s="12">
        <v>835.0</v>
      </c>
      <c r="B2243" s="17" t="s">
        <v>5176</v>
      </c>
      <c r="C2243" s="17" t="s">
        <v>5177</v>
      </c>
      <c r="D2243" s="17" t="s">
        <v>5175</v>
      </c>
      <c r="E2243" s="16">
        <v>7.5</v>
      </c>
      <c r="F2243" s="7">
        <f t="shared" si="3"/>
        <v>92.5</v>
      </c>
      <c r="G2243" s="17" t="s">
        <v>3113</v>
      </c>
    </row>
    <row r="2244">
      <c r="A2244" s="12">
        <v>837.0</v>
      </c>
      <c r="B2244" s="17" t="s">
        <v>5178</v>
      </c>
      <c r="C2244" s="17" t="s">
        <v>5179</v>
      </c>
      <c r="D2244" s="17" t="s">
        <v>5180</v>
      </c>
      <c r="E2244" s="16">
        <v>7.5</v>
      </c>
      <c r="F2244" s="7">
        <f t="shared" si="3"/>
        <v>92.5</v>
      </c>
      <c r="G2244" s="17" t="s">
        <v>3113</v>
      </c>
    </row>
    <row r="2245">
      <c r="A2245" s="12">
        <v>838.0</v>
      </c>
      <c r="B2245" s="17" t="s">
        <v>5181</v>
      </c>
      <c r="C2245" s="17" t="s">
        <v>5182</v>
      </c>
      <c r="D2245" s="17" t="s">
        <v>5183</v>
      </c>
      <c r="E2245" s="16">
        <v>7.5</v>
      </c>
      <c r="F2245" s="7">
        <f t="shared" si="3"/>
        <v>92.5</v>
      </c>
      <c r="G2245" s="17" t="s">
        <v>3113</v>
      </c>
    </row>
    <row r="2246">
      <c r="A2246" s="12">
        <v>839.0</v>
      </c>
      <c r="B2246" s="17" t="s">
        <v>5184</v>
      </c>
      <c r="C2246" s="17" t="s">
        <v>5185</v>
      </c>
      <c r="D2246" s="17" t="s">
        <v>5183</v>
      </c>
      <c r="E2246" s="16">
        <v>7.5</v>
      </c>
      <c r="F2246" s="7">
        <f t="shared" si="3"/>
        <v>92.5</v>
      </c>
      <c r="G2246" s="17" t="s">
        <v>3113</v>
      </c>
    </row>
    <row r="2247">
      <c r="A2247" s="12">
        <v>840.0</v>
      </c>
      <c r="B2247" s="17" t="s">
        <v>5186</v>
      </c>
      <c r="C2247" s="17" t="s">
        <v>5187</v>
      </c>
      <c r="D2247" s="17" t="s">
        <v>5188</v>
      </c>
      <c r="E2247" s="16">
        <v>7.5</v>
      </c>
      <c r="F2247" s="7">
        <f t="shared" si="3"/>
        <v>92.5</v>
      </c>
      <c r="G2247" s="17" t="s">
        <v>3113</v>
      </c>
    </row>
    <row r="2248">
      <c r="A2248" s="12">
        <v>841.0</v>
      </c>
      <c r="B2248" s="17" t="s">
        <v>5189</v>
      </c>
      <c r="C2248" s="17" t="s">
        <v>5190</v>
      </c>
      <c r="D2248" s="17" t="s">
        <v>5191</v>
      </c>
      <c r="E2248" s="16">
        <v>7.5</v>
      </c>
      <c r="F2248" s="7">
        <f t="shared" si="3"/>
        <v>92.5</v>
      </c>
      <c r="G2248" s="17" t="s">
        <v>3113</v>
      </c>
    </row>
    <row r="2249">
      <c r="A2249" s="12">
        <v>842.0</v>
      </c>
      <c r="B2249" s="17" t="s">
        <v>5192</v>
      </c>
      <c r="C2249" s="17" t="s">
        <v>5193</v>
      </c>
      <c r="D2249" s="17" t="s">
        <v>5191</v>
      </c>
      <c r="E2249" s="16">
        <v>7.5</v>
      </c>
      <c r="F2249" s="7">
        <f t="shared" si="3"/>
        <v>92.5</v>
      </c>
      <c r="G2249" s="17" t="s">
        <v>3113</v>
      </c>
    </row>
    <row r="2250">
      <c r="A2250" s="12">
        <v>843.0</v>
      </c>
      <c r="B2250" s="17" t="s">
        <v>5194</v>
      </c>
      <c r="C2250" s="17" t="s">
        <v>5195</v>
      </c>
      <c r="D2250" s="17" t="s">
        <v>5196</v>
      </c>
      <c r="E2250" s="16">
        <v>7.5</v>
      </c>
      <c r="F2250" s="7">
        <f t="shared" si="3"/>
        <v>92.5</v>
      </c>
      <c r="G2250" s="17" t="s">
        <v>3113</v>
      </c>
    </row>
    <row r="2251">
      <c r="A2251" s="12">
        <v>844.0</v>
      </c>
      <c r="B2251" s="17" t="s">
        <v>5197</v>
      </c>
      <c r="C2251" s="17" t="s">
        <v>5198</v>
      </c>
      <c r="D2251" s="17" t="s">
        <v>5199</v>
      </c>
      <c r="E2251" s="16">
        <v>7.5</v>
      </c>
      <c r="F2251" s="7">
        <f t="shared" si="3"/>
        <v>92.5</v>
      </c>
      <c r="G2251" s="17" t="s">
        <v>3113</v>
      </c>
    </row>
    <row r="2252">
      <c r="A2252" s="12">
        <v>845.0</v>
      </c>
      <c r="B2252" s="17" t="s">
        <v>5200</v>
      </c>
      <c r="C2252" s="17" t="s">
        <v>5201</v>
      </c>
      <c r="D2252" s="17" t="s">
        <v>5202</v>
      </c>
      <c r="E2252" s="16">
        <v>7.5</v>
      </c>
      <c r="F2252" s="7">
        <f t="shared" si="3"/>
        <v>92.5</v>
      </c>
      <c r="G2252" s="17" t="s">
        <v>3113</v>
      </c>
    </row>
    <row r="2253">
      <c r="A2253" s="12">
        <v>846.0</v>
      </c>
      <c r="B2253" s="17" t="s">
        <v>5203</v>
      </c>
      <c r="C2253" s="17" t="s">
        <v>5204</v>
      </c>
      <c r="D2253" s="17" t="s">
        <v>5205</v>
      </c>
      <c r="E2253" s="16">
        <v>7.5</v>
      </c>
      <c r="F2253" s="7">
        <f t="shared" si="3"/>
        <v>92.5</v>
      </c>
      <c r="G2253" s="17" t="s">
        <v>3113</v>
      </c>
    </row>
    <row r="2254">
      <c r="A2254" s="12">
        <v>847.0</v>
      </c>
      <c r="B2254" s="17" t="s">
        <v>5206</v>
      </c>
      <c r="C2254" s="17" t="s">
        <v>5207</v>
      </c>
      <c r="D2254" s="17" t="s">
        <v>5208</v>
      </c>
      <c r="E2254" s="16">
        <v>7.5</v>
      </c>
      <c r="F2254" s="7">
        <f t="shared" si="3"/>
        <v>92.5</v>
      </c>
      <c r="G2254" s="17" t="s">
        <v>3113</v>
      </c>
    </row>
    <row r="2255">
      <c r="A2255" s="12">
        <v>848.0</v>
      </c>
      <c r="B2255" s="17" t="s">
        <v>5209</v>
      </c>
      <c r="C2255" s="17" t="s">
        <v>5210</v>
      </c>
      <c r="D2255" s="17" t="s">
        <v>5211</v>
      </c>
      <c r="E2255" s="16">
        <v>7.5</v>
      </c>
      <c r="F2255" s="7">
        <f t="shared" si="3"/>
        <v>92.5</v>
      </c>
      <c r="G2255" s="17" t="s">
        <v>3113</v>
      </c>
    </row>
    <row r="2256">
      <c r="A2256" s="12">
        <v>849.0</v>
      </c>
      <c r="B2256" s="17" t="s">
        <v>5212</v>
      </c>
      <c r="C2256" s="17" t="s">
        <v>5213</v>
      </c>
      <c r="D2256" s="17" t="s">
        <v>5208</v>
      </c>
      <c r="E2256" s="16">
        <v>7.5</v>
      </c>
      <c r="F2256" s="7">
        <f t="shared" si="3"/>
        <v>92.5</v>
      </c>
      <c r="G2256" s="17" t="s">
        <v>3113</v>
      </c>
    </row>
    <row r="2257">
      <c r="A2257" s="12">
        <v>850.0</v>
      </c>
      <c r="B2257" s="17" t="s">
        <v>5214</v>
      </c>
      <c r="C2257" s="17" t="s">
        <v>5215</v>
      </c>
      <c r="D2257" s="17" t="s">
        <v>5216</v>
      </c>
      <c r="E2257" s="16">
        <v>7.5</v>
      </c>
      <c r="F2257" s="7">
        <f t="shared" si="3"/>
        <v>92.5</v>
      </c>
      <c r="G2257" s="17" t="s">
        <v>3113</v>
      </c>
    </row>
    <row r="2258">
      <c r="A2258" s="12">
        <v>851.0</v>
      </c>
      <c r="B2258" s="17" t="s">
        <v>5217</v>
      </c>
      <c r="C2258" s="17" t="s">
        <v>5218</v>
      </c>
      <c r="D2258" s="17" t="s">
        <v>5219</v>
      </c>
      <c r="E2258" s="16">
        <v>7.5</v>
      </c>
      <c r="F2258" s="7">
        <f t="shared" si="3"/>
        <v>92.5</v>
      </c>
      <c r="G2258" s="17" t="s">
        <v>3113</v>
      </c>
    </row>
    <row r="2259">
      <c r="A2259" s="12">
        <v>852.0</v>
      </c>
      <c r="B2259" s="17" t="s">
        <v>5220</v>
      </c>
      <c r="C2259" s="17" t="s">
        <v>5221</v>
      </c>
      <c r="D2259" s="17" t="s">
        <v>5222</v>
      </c>
      <c r="E2259" s="16">
        <v>7.5</v>
      </c>
      <c r="F2259" s="7">
        <f t="shared" si="3"/>
        <v>92.5</v>
      </c>
      <c r="G2259" s="17" t="s">
        <v>3113</v>
      </c>
    </row>
    <row r="2260">
      <c r="A2260" s="12">
        <v>853.0</v>
      </c>
      <c r="B2260" s="17" t="s">
        <v>5223</v>
      </c>
      <c r="C2260" s="17" t="s">
        <v>5224</v>
      </c>
      <c r="D2260" s="17" t="s">
        <v>5225</v>
      </c>
      <c r="E2260" s="16">
        <v>7.5</v>
      </c>
      <c r="F2260" s="7">
        <f t="shared" si="3"/>
        <v>92.5</v>
      </c>
      <c r="G2260" s="17" t="s">
        <v>3113</v>
      </c>
    </row>
    <row r="2261">
      <c r="A2261" s="12">
        <v>854.0</v>
      </c>
      <c r="B2261" s="17" t="s">
        <v>5226</v>
      </c>
      <c r="C2261" s="17" t="s">
        <v>5227</v>
      </c>
      <c r="D2261" s="17" t="s">
        <v>5225</v>
      </c>
      <c r="E2261" s="16">
        <v>7.5</v>
      </c>
      <c r="F2261" s="7">
        <f t="shared" si="3"/>
        <v>92.5</v>
      </c>
      <c r="G2261" s="17" t="s">
        <v>3113</v>
      </c>
    </row>
    <row r="2262">
      <c r="A2262" s="12">
        <v>855.0</v>
      </c>
      <c r="B2262" s="17" t="s">
        <v>5228</v>
      </c>
      <c r="C2262" s="17" t="s">
        <v>5229</v>
      </c>
      <c r="D2262" s="17" t="s">
        <v>5230</v>
      </c>
      <c r="E2262" s="16">
        <v>7.5</v>
      </c>
      <c r="F2262" s="7">
        <f t="shared" si="3"/>
        <v>92.5</v>
      </c>
      <c r="G2262" s="17" t="s">
        <v>3113</v>
      </c>
    </row>
    <row r="2263">
      <c r="A2263" s="12">
        <v>856.0</v>
      </c>
      <c r="B2263" s="17" t="s">
        <v>5231</v>
      </c>
      <c r="C2263" s="17" t="s">
        <v>5232</v>
      </c>
      <c r="D2263" s="17" t="s">
        <v>5233</v>
      </c>
      <c r="E2263" s="16">
        <v>7.5</v>
      </c>
      <c r="F2263" s="7">
        <f t="shared" si="3"/>
        <v>92.5</v>
      </c>
      <c r="G2263" s="17" t="s">
        <v>3113</v>
      </c>
    </row>
    <row r="2264">
      <c r="A2264" s="12">
        <v>857.0</v>
      </c>
      <c r="B2264" s="17" t="s">
        <v>5234</v>
      </c>
      <c r="C2264" s="17" t="s">
        <v>5235</v>
      </c>
      <c r="D2264" s="17" t="s">
        <v>5233</v>
      </c>
      <c r="E2264" s="16">
        <v>7.5</v>
      </c>
      <c r="F2264" s="7">
        <f t="shared" si="3"/>
        <v>92.5</v>
      </c>
      <c r="G2264" s="17" t="s">
        <v>3113</v>
      </c>
    </row>
    <row r="2265">
      <c r="A2265" s="12">
        <v>858.0</v>
      </c>
      <c r="B2265" s="17" t="s">
        <v>5236</v>
      </c>
      <c r="C2265" s="17" t="s">
        <v>5237</v>
      </c>
      <c r="D2265" s="17" t="s">
        <v>5238</v>
      </c>
      <c r="E2265" s="16">
        <v>7.5</v>
      </c>
      <c r="F2265" s="7">
        <f t="shared" si="3"/>
        <v>92.5</v>
      </c>
      <c r="G2265" s="17" t="s">
        <v>3113</v>
      </c>
    </row>
    <row r="2266">
      <c r="A2266" s="12">
        <v>859.0</v>
      </c>
      <c r="B2266" s="17" t="s">
        <v>5239</v>
      </c>
      <c r="C2266" s="17" t="s">
        <v>5240</v>
      </c>
      <c r="D2266" s="17" t="s">
        <v>5241</v>
      </c>
      <c r="E2266" s="16">
        <v>7.5</v>
      </c>
      <c r="F2266" s="7">
        <f t="shared" si="3"/>
        <v>92.5</v>
      </c>
      <c r="G2266" s="17" t="s">
        <v>3113</v>
      </c>
    </row>
    <row r="2267">
      <c r="A2267" s="12">
        <v>860.0</v>
      </c>
      <c r="B2267" s="17" t="s">
        <v>5242</v>
      </c>
      <c r="C2267" s="17" t="s">
        <v>5243</v>
      </c>
      <c r="D2267" s="17" t="s">
        <v>5241</v>
      </c>
      <c r="E2267" s="16">
        <v>7.5</v>
      </c>
      <c r="F2267" s="7">
        <f t="shared" si="3"/>
        <v>92.5</v>
      </c>
      <c r="G2267" s="17" t="s">
        <v>3113</v>
      </c>
    </row>
    <row r="2268">
      <c r="A2268" s="12">
        <v>861.0</v>
      </c>
      <c r="B2268" s="17" t="s">
        <v>5244</v>
      </c>
      <c r="C2268" s="17" t="s">
        <v>5245</v>
      </c>
      <c r="D2268" s="17" t="s">
        <v>5246</v>
      </c>
      <c r="E2268" s="16">
        <v>7.5</v>
      </c>
      <c r="F2268" s="7">
        <f t="shared" si="3"/>
        <v>92.5</v>
      </c>
      <c r="G2268" s="17" t="s">
        <v>3113</v>
      </c>
    </row>
    <row r="2269">
      <c r="A2269" s="12">
        <v>862.0</v>
      </c>
      <c r="B2269" s="17" t="s">
        <v>5247</v>
      </c>
      <c r="C2269" s="17" t="s">
        <v>5248</v>
      </c>
      <c r="D2269" s="17" t="s">
        <v>5249</v>
      </c>
      <c r="E2269" s="16">
        <v>7.5</v>
      </c>
      <c r="F2269" s="7">
        <f t="shared" si="3"/>
        <v>92.5</v>
      </c>
      <c r="G2269" s="17" t="s">
        <v>3113</v>
      </c>
    </row>
    <row r="2270">
      <c r="A2270" s="12">
        <v>863.0</v>
      </c>
      <c r="B2270" s="17" t="s">
        <v>5250</v>
      </c>
      <c r="C2270" s="17" t="s">
        <v>5251</v>
      </c>
      <c r="D2270" s="17" t="s">
        <v>5249</v>
      </c>
      <c r="E2270" s="16">
        <v>7.5</v>
      </c>
      <c r="F2270" s="7">
        <f t="shared" si="3"/>
        <v>92.5</v>
      </c>
      <c r="G2270" s="17" t="s">
        <v>3113</v>
      </c>
    </row>
    <row r="2271">
      <c r="A2271" s="12">
        <v>864.0</v>
      </c>
      <c r="B2271" s="17" t="s">
        <v>5252</v>
      </c>
      <c r="C2271" s="17" t="s">
        <v>5253</v>
      </c>
      <c r="D2271" s="17" t="s">
        <v>5254</v>
      </c>
      <c r="E2271" s="16">
        <v>7.5</v>
      </c>
      <c r="F2271" s="7">
        <f t="shared" si="3"/>
        <v>92.5</v>
      </c>
      <c r="G2271" s="17" t="s">
        <v>3113</v>
      </c>
    </row>
    <row r="2272">
      <c r="A2272" s="12">
        <v>865.0</v>
      </c>
      <c r="B2272" s="17" t="s">
        <v>5255</v>
      </c>
      <c r="C2272" s="17" t="s">
        <v>5256</v>
      </c>
      <c r="D2272" s="17" t="s">
        <v>5257</v>
      </c>
      <c r="E2272" s="16">
        <v>7.5</v>
      </c>
      <c r="F2272" s="7">
        <f t="shared" si="3"/>
        <v>92.5</v>
      </c>
      <c r="G2272" s="17" t="s">
        <v>3113</v>
      </c>
    </row>
    <row r="2273">
      <c r="A2273" s="12">
        <v>866.0</v>
      </c>
      <c r="B2273" s="17" t="s">
        <v>5258</v>
      </c>
      <c r="C2273" s="17" t="s">
        <v>5259</v>
      </c>
      <c r="D2273" s="17" t="s">
        <v>5260</v>
      </c>
      <c r="E2273" s="16">
        <v>7.5</v>
      </c>
      <c r="F2273" s="7">
        <f t="shared" si="3"/>
        <v>92.5</v>
      </c>
      <c r="G2273" s="17" t="s">
        <v>3113</v>
      </c>
    </row>
    <row r="2274">
      <c r="A2274" s="12">
        <v>867.0</v>
      </c>
      <c r="B2274" s="17" t="s">
        <v>5261</v>
      </c>
      <c r="C2274" s="17" t="s">
        <v>5262</v>
      </c>
      <c r="D2274" s="17" t="s">
        <v>5263</v>
      </c>
      <c r="E2274" s="16">
        <v>7.5</v>
      </c>
      <c r="F2274" s="7">
        <f t="shared" si="3"/>
        <v>92.5</v>
      </c>
      <c r="G2274" s="17" t="s">
        <v>3113</v>
      </c>
    </row>
    <row r="2275">
      <c r="A2275" s="12">
        <v>868.0</v>
      </c>
      <c r="B2275" s="17" t="s">
        <v>5264</v>
      </c>
      <c r="C2275" s="17" t="s">
        <v>5265</v>
      </c>
      <c r="D2275" s="17" t="s">
        <v>5266</v>
      </c>
      <c r="E2275" s="16">
        <v>7.5</v>
      </c>
      <c r="F2275" s="7">
        <f t="shared" si="3"/>
        <v>92.5</v>
      </c>
      <c r="G2275" s="17" t="s">
        <v>3113</v>
      </c>
    </row>
    <row r="2276">
      <c r="A2276" s="12">
        <v>869.0</v>
      </c>
      <c r="B2276" s="17" t="s">
        <v>5267</v>
      </c>
      <c r="C2276" s="17" t="s">
        <v>5268</v>
      </c>
      <c r="D2276" s="17" t="s">
        <v>5269</v>
      </c>
      <c r="E2276" s="16">
        <v>7.5</v>
      </c>
      <c r="F2276" s="7">
        <f t="shared" si="3"/>
        <v>92.5</v>
      </c>
      <c r="G2276" s="17" t="s">
        <v>3113</v>
      </c>
    </row>
    <row r="2277">
      <c r="A2277" s="12">
        <v>870.0</v>
      </c>
      <c r="B2277" s="17" t="s">
        <v>5270</v>
      </c>
      <c r="C2277" s="17" t="s">
        <v>5271</v>
      </c>
      <c r="D2277" s="17" t="s">
        <v>5272</v>
      </c>
      <c r="E2277" s="16">
        <v>7.5</v>
      </c>
      <c r="F2277" s="7">
        <f t="shared" si="3"/>
        <v>92.5</v>
      </c>
      <c r="G2277" s="17" t="s">
        <v>3113</v>
      </c>
    </row>
    <row r="2278">
      <c r="A2278" s="12">
        <v>871.0</v>
      </c>
      <c r="B2278" s="17" t="s">
        <v>5273</v>
      </c>
      <c r="C2278" s="17" t="s">
        <v>5274</v>
      </c>
      <c r="D2278" s="17" t="s">
        <v>5275</v>
      </c>
      <c r="E2278" s="16">
        <v>7.5</v>
      </c>
      <c r="F2278" s="7">
        <f t="shared" si="3"/>
        <v>92.5</v>
      </c>
      <c r="G2278" s="17" t="s">
        <v>3113</v>
      </c>
    </row>
    <row r="2279">
      <c r="A2279" s="12">
        <v>872.0</v>
      </c>
      <c r="B2279" s="17" t="s">
        <v>5276</v>
      </c>
      <c r="C2279" s="17" t="s">
        <v>5277</v>
      </c>
      <c r="D2279" s="17" t="s">
        <v>5278</v>
      </c>
      <c r="E2279" s="16">
        <v>7.5</v>
      </c>
      <c r="F2279" s="7">
        <f t="shared" si="3"/>
        <v>92.5</v>
      </c>
      <c r="G2279" s="17" t="s">
        <v>3113</v>
      </c>
    </row>
    <row r="2280">
      <c r="A2280" s="12">
        <v>873.0</v>
      </c>
      <c r="B2280" s="17" t="s">
        <v>5279</v>
      </c>
      <c r="C2280" s="17" t="s">
        <v>5280</v>
      </c>
      <c r="D2280" s="17" t="s">
        <v>5278</v>
      </c>
      <c r="E2280" s="16">
        <v>7.5</v>
      </c>
      <c r="F2280" s="7">
        <f t="shared" si="3"/>
        <v>92.5</v>
      </c>
      <c r="G2280" s="17" t="s">
        <v>3113</v>
      </c>
    </row>
    <row r="2281">
      <c r="A2281" s="12">
        <v>874.0</v>
      </c>
      <c r="B2281" s="17" t="s">
        <v>5281</v>
      </c>
      <c r="C2281" s="17" t="s">
        <v>5282</v>
      </c>
      <c r="D2281" s="17" t="s">
        <v>5283</v>
      </c>
      <c r="E2281" s="16">
        <v>7.5</v>
      </c>
      <c r="F2281" s="7">
        <f t="shared" si="3"/>
        <v>92.5</v>
      </c>
      <c r="G2281" s="17" t="s">
        <v>3113</v>
      </c>
    </row>
    <row r="2282">
      <c r="A2282" s="12">
        <v>875.0</v>
      </c>
      <c r="B2282" s="17" t="s">
        <v>5284</v>
      </c>
      <c r="C2282" s="17" t="s">
        <v>5285</v>
      </c>
      <c r="D2282" s="17" t="s">
        <v>5286</v>
      </c>
      <c r="E2282" s="16">
        <v>7.5</v>
      </c>
      <c r="F2282" s="7">
        <f t="shared" si="3"/>
        <v>92.5</v>
      </c>
      <c r="G2282" s="17" t="s">
        <v>3113</v>
      </c>
    </row>
    <row r="2283">
      <c r="A2283" s="12">
        <v>876.0</v>
      </c>
      <c r="B2283" s="17" t="s">
        <v>5287</v>
      </c>
      <c r="C2283" s="17" t="s">
        <v>5288</v>
      </c>
      <c r="D2283" s="17" t="s">
        <v>5289</v>
      </c>
      <c r="E2283" s="16">
        <v>7.5</v>
      </c>
      <c r="F2283" s="7">
        <f t="shared" si="3"/>
        <v>92.5</v>
      </c>
      <c r="G2283" s="17" t="s">
        <v>3113</v>
      </c>
    </row>
    <row r="2284">
      <c r="A2284" s="12">
        <v>877.0</v>
      </c>
      <c r="B2284" s="17" t="s">
        <v>5290</v>
      </c>
      <c r="C2284" s="17" t="s">
        <v>5291</v>
      </c>
      <c r="D2284" s="17" t="s">
        <v>5292</v>
      </c>
      <c r="E2284" s="16">
        <v>7.5</v>
      </c>
      <c r="F2284" s="7">
        <f t="shared" si="3"/>
        <v>92.5</v>
      </c>
      <c r="G2284" s="17" t="s">
        <v>3113</v>
      </c>
    </row>
    <row r="2285">
      <c r="A2285" s="12">
        <v>878.0</v>
      </c>
      <c r="B2285" s="17" t="s">
        <v>5293</v>
      </c>
      <c r="C2285" s="17" t="s">
        <v>5294</v>
      </c>
      <c r="D2285" s="17" t="s">
        <v>5286</v>
      </c>
      <c r="E2285" s="16">
        <v>7.5</v>
      </c>
      <c r="F2285" s="7">
        <f t="shared" si="3"/>
        <v>92.5</v>
      </c>
      <c r="G2285" s="17" t="s">
        <v>3113</v>
      </c>
    </row>
    <row r="2286">
      <c r="A2286" s="12">
        <v>879.0</v>
      </c>
      <c r="B2286" s="17" t="s">
        <v>5295</v>
      </c>
      <c r="C2286" s="17" t="s">
        <v>5296</v>
      </c>
      <c r="D2286" s="17" t="s">
        <v>5297</v>
      </c>
      <c r="E2286" s="16">
        <v>7.5</v>
      </c>
      <c r="F2286" s="7">
        <f t="shared" si="3"/>
        <v>92.5</v>
      </c>
      <c r="G2286" s="17" t="s">
        <v>3113</v>
      </c>
    </row>
    <row r="2287">
      <c r="A2287" s="12">
        <v>880.0</v>
      </c>
      <c r="B2287" s="17" t="s">
        <v>5298</v>
      </c>
      <c r="C2287" s="17" t="s">
        <v>5299</v>
      </c>
      <c r="D2287" s="17" t="s">
        <v>5300</v>
      </c>
      <c r="E2287" s="16">
        <v>7.5</v>
      </c>
      <c r="F2287" s="7">
        <f t="shared" si="3"/>
        <v>92.5</v>
      </c>
      <c r="G2287" s="17" t="s">
        <v>3113</v>
      </c>
    </row>
    <row r="2288">
      <c r="A2288" s="12">
        <v>881.0</v>
      </c>
      <c r="B2288" s="17" t="s">
        <v>5301</v>
      </c>
      <c r="C2288" s="17" t="s">
        <v>5302</v>
      </c>
      <c r="D2288" s="17" t="s">
        <v>5303</v>
      </c>
      <c r="E2288" s="16">
        <v>7.5</v>
      </c>
      <c r="F2288" s="7">
        <f t="shared" si="3"/>
        <v>92.5</v>
      </c>
      <c r="G2288" s="17" t="s">
        <v>3113</v>
      </c>
    </row>
    <row r="2289">
      <c r="A2289" s="12">
        <v>882.0</v>
      </c>
      <c r="B2289" s="17" t="s">
        <v>5304</v>
      </c>
      <c r="C2289" s="17" t="s">
        <v>5305</v>
      </c>
      <c r="D2289" s="17" t="s">
        <v>5306</v>
      </c>
      <c r="E2289" s="16">
        <v>7.5</v>
      </c>
      <c r="F2289" s="7">
        <f t="shared" si="3"/>
        <v>92.5</v>
      </c>
      <c r="G2289" s="17" t="s">
        <v>3113</v>
      </c>
    </row>
    <row r="2290">
      <c r="A2290" s="12">
        <v>883.0</v>
      </c>
      <c r="B2290" s="17" t="s">
        <v>5307</v>
      </c>
      <c r="C2290" s="17" t="s">
        <v>5308</v>
      </c>
      <c r="D2290" s="17" t="s">
        <v>5309</v>
      </c>
      <c r="E2290" s="16">
        <v>7.5</v>
      </c>
      <c r="F2290" s="7">
        <f t="shared" si="3"/>
        <v>92.5</v>
      </c>
      <c r="G2290" s="17" t="s">
        <v>3113</v>
      </c>
    </row>
    <row r="2291">
      <c r="A2291" s="12">
        <v>884.0</v>
      </c>
      <c r="B2291" s="17" t="s">
        <v>5310</v>
      </c>
      <c r="C2291" s="17" t="s">
        <v>5311</v>
      </c>
      <c r="D2291" s="17" t="s">
        <v>5312</v>
      </c>
      <c r="E2291" s="16">
        <v>7.5</v>
      </c>
      <c r="F2291" s="7">
        <f t="shared" si="3"/>
        <v>92.5</v>
      </c>
      <c r="G2291" s="17" t="s">
        <v>3113</v>
      </c>
    </row>
    <row r="2292">
      <c r="A2292" s="12">
        <v>885.0</v>
      </c>
      <c r="B2292" s="17" t="s">
        <v>5313</v>
      </c>
      <c r="C2292" s="17" t="s">
        <v>5314</v>
      </c>
      <c r="D2292" s="17" t="s">
        <v>5315</v>
      </c>
      <c r="E2292" s="16">
        <v>7.5</v>
      </c>
      <c r="F2292" s="7">
        <f t="shared" si="3"/>
        <v>92.5</v>
      </c>
      <c r="G2292" s="17" t="s">
        <v>3113</v>
      </c>
    </row>
    <row r="2293">
      <c r="A2293" s="12">
        <v>886.0</v>
      </c>
      <c r="B2293" s="17" t="s">
        <v>5316</v>
      </c>
      <c r="C2293" s="17" t="s">
        <v>5317</v>
      </c>
      <c r="D2293" s="17" t="s">
        <v>5318</v>
      </c>
      <c r="E2293" s="16">
        <v>7.5</v>
      </c>
      <c r="F2293" s="7">
        <f t="shared" si="3"/>
        <v>92.5</v>
      </c>
      <c r="G2293" s="17" t="s">
        <v>3113</v>
      </c>
    </row>
    <row r="2294">
      <c r="A2294" s="12">
        <v>887.0</v>
      </c>
      <c r="B2294" s="17" t="s">
        <v>5319</v>
      </c>
      <c r="C2294" s="17" t="s">
        <v>5320</v>
      </c>
      <c r="D2294" s="17" t="s">
        <v>5321</v>
      </c>
      <c r="E2294" s="16">
        <v>7.5</v>
      </c>
      <c r="F2294" s="7">
        <f t="shared" si="3"/>
        <v>92.5</v>
      </c>
      <c r="G2294" s="17" t="s">
        <v>3113</v>
      </c>
    </row>
    <row r="2295">
      <c r="A2295" s="12">
        <v>888.0</v>
      </c>
      <c r="B2295" s="17" t="s">
        <v>5322</v>
      </c>
      <c r="C2295" s="17" t="s">
        <v>5323</v>
      </c>
      <c r="D2295" s="17" t="s">
        <v>5324</v>
      </c>
      <c r="E2295" s="16">
        <v>7.5</v>
      </c>
      <c r="F2295" s="7">
        <f t="shared" si="3"/>
        <v>92.5</v>
      </c>
      <c r="G2295" s="17" t="s">
        <v>3113</v>
      </c>
    </row>
    <row r="2296">
      <c r="A2296" s="12">
        <v>889.0</v>
      </c>
      <c r="B2296" s="17" t="s">
        <v>5325</v>
      </c>
      <c r="C2296" s="17" t="s">
        <v>5326</v>
      </c>
      <c r="D2296" s="17" t="s">
        <v>5327</v>
      </c>
      <c r="E2296" s="16">
        <v>7.5</v>
      </c>
      <c r="F2296" s="7">
        <f t="shared" si="3"/>
        <v>92.5</v>
      </c>
      <c r="G2296" s="17" t="s">
        <v>3113</v>
      </c>
    </row>
    <row r="2297">
      <c r="A2297" s="12">
        <v>890.0</v>
      </c>
      <c r="B2297" s="17" t="s">
        <v>5328</v>
      </c>
      <c r="C2297" s="17" t="s">
        <v>5329</v>
      </c>
      <c r="D2297" s="17" t="s">
        <v>5330</v>
      </c>
      <c r="E2297" s="16">
        <v>7.5</v>
      </c>
      <c r="F2297" s="7">
        <f t="shared" si="3"/>
        <v>92.5</v>
      </c>
      <c r="G2297" s="17" t="s">
        <v>3113</v>
      </c>
    </row>
    <row r="2298">
      <c r="A2298" s="12">
        <v>891.0</v>
      </c>
      <c r="B2298" s="17" t="s">
        <v>5331</v>
      </c>
      <c r="C2298" s="17" t="s">
        <v>5332</v>
      </c>
      <c r="D2298" s="17" t="s">
        <v>5333</v>
      </c>
      <c r="E2298" s="16">
        <v>7.5</v>
      </c>
      <c r="F2298" s="7">
        <f t="shared" si="3"/>
        <v>92.5</v>
      </c>
      <c r="G2298" s="17" t="s">
        <v>3113</v>
      </c>
    </row>
    <row r="2299">
      <c r="A2299" s="12">
        <v>892.0</v>
      </c>
      <c r="B2299" s="17" t="s">
        <v>5334</v>
      </c>
      <c r="C2299" s="17" t="s">
        <v>5335</v>
      </c>
      <c r="D2299" s="17" t="s">
        <v>5336</v>
      </c>
      <c r="E2299" s="16">
        <v>7.5</v>
      </c>
      <c r="F2299" s="7">
        <f t="shared" si="3"/>
        <v>92.5</v>
      </c>
      <c r="G2299" s="17" t="s">
        <v>3113</v>
      </c>
    </row>
    <row r="2300">
      <c r="A2300" s="12">
        <v>893.0</v>
      </c>
      <c r="B2300" s="17" t="s">
        <v>5337</v>
      </c>
      <c r="C2300" s="17" t="s">
        <v>5338</v>
      </c>
      <c r="D2300" s="17" t="s">
        <v>5339</v>
      </c>
      <c r="E2300" s="16">
        <v>7.5</v>
      </c>
      <c r="F2300" s="7">
        <f t="shared" si="3"/>
        <v>92.5</v>
      </c>
      <c r="G2300" s="17" t="s">
        <v>3113</v>
      </c>
    </row>
    <row r="2301">
      <c r="A2301" s="12">
        <v>894.0</v>
      </c>
      <c r="B2301" s="17" t="s">
        <v>5340</v>
      </c>
      <c r="C2301" s="17" t="s">
        <v>5341</v>
      </c>
      <c r="D2301" s="17" t="s">
        <v>5342</v>
      </c>
      <c r="E2301" s="16">
        <v>7.5</v>
      </c>
      <c r="F2301" s="7">
        <f t="shared" si="3"/>
        <v>92.5</v>
      </c>
      <c r="G2301" s="17" t="s">
        <v>3113</v>
      </c>
    </row>
    <row r="2302">
      <c r="A2302" s="12">
        <v>895.0</v>
      </c>
      <c r="B2302" s="17" t="s">
        <v>5343</v>
      </c>
      <c r="C2302" s="17" t="s">
        <v>5344</v>
      </c>
      <c r="D2302" s="17" t="s">
        <v>5345</v>
      </c>
      <c r="E2302" s="16">
        <v>7.5</v>
      </c>
      <c r="F2302" s="7">
        <f t="shared" si="3"/>
        <v>92.5</v>
      </c>
      <c r="G2302" s="17" t="s">
        <v>3113</v>
      </c>
    </row>
    <row r="2303">
      <c r="A2303" s="12">
        <v>896.0</v>
      </c>
      <c r="B2303" s="17" t="s">
        <v>5346</v>
      </c>
      <c r="C2303" s="17" t="s">
        <v>5347</v>
      </c>
      <c r="D2303" s="17" t="s">
        <v>5348</v>
      </c>
      <c r="E2303" s="16">
        <v>7.5</v>
      </c>
      <c r="F2303" s="7">
        <f t="shared" si="3"/>
        <v>92.5</v>
      </c>
      <c r="G2303" s="17" t="s">
        <v>3113</v>
      </c>
    </row>
    <row r="2304">
      <c r="A2304" s="12">
        <v>897.0</v>
      </c>
      <c r="B2304" s="17" t="s">
        <v>5349</v>
      </c>
      <c r="C2304" s="17" t="s">
        <v>5350</v>
      </c>
      <c r="D2304" s="17" t="s">
        <v>5351</v>
      </c>
      <c r="E2304" s="16">
        <v>7.5</v>
      </c>
      <c r="F2304" s="7">
        <f t="shared" si="3"/>
        <v>92.5</v>
      </c>
      <c r="G2304" s="17" t="s">
        <v>3113</v>
      </c>
    </row>
    <row r="2305">
      <c r="A2305" s="12">
        <v>898.0</v>
      </c>
      <c r="B2305" s="17" t="s">
        <v>5352</v>
      </c>
      <c r="C2305" s="17" t="s">
        <v>5353</v>
      </c>
      <c r="D2305" s="17" t="s">
        <v>5354</v>
      </c>
      <c r="E2305" s="16">
        <v>7.5</v>
      </c>
      <c r="F2305" s="7">
        <f t="shared" si="3"/>
        <v>92.5</v>
      </c>
      <c r="G2305" s="17" t="s">
        <v>3113</v>
      </c>
    </row>
    <row r="2306">
      <c r="A2306" s="12">
        <v>899.0</v>
      </c>
      <c r="B2306" s="17" t="s">
        <v>5355</v>
      </c>
      <c r="C2306" s="17" t="s">
        <v>5356</v>
      </c>
      <c r="D2306" s="17" t="s">
        <v>5357</v>
      </c>
      <c r="E2306" s="16">
        <v>7.5</v>
      </c>
      <c r="F2306" s="7">
        <f t="shared" si="3"/>
        <v>92.5</v>
      </c>
      <c r="G2306" s="17" t="s">
        <v>3113</v>
      </c>
    </row>
    <row r="2307">
      <c r="A2307" s="12">
        <v>900.0</v>
      </c>
      <c r="B2307" s="17" t="s">
        <v>5358</v>
      </c>
      <c r="C2307" s="17" t="s">
        <v>5359</v>
      </c>
      <c r="D2307" s="17" t="s">
        <v>5360</v>
      </c>
      <c r="E2307" s="16">
        <v>7.5</v>
      </c>
      <c r="F2307" s="7">
        <f t="shared" si="3"/>
        <v>92.5</v>
      </c>
      <c r="G2307" s="17" t="s">
        <v>3113</v>
      </c>
    </row>
    <row r="2308">
      <c r="A2308" s="12">
        <v>901.0</v>
      </c>
      <c r="B2308" s="17" t="s">
        <v>5361</v>
      </c>
      <c r="C2308" s="17" t="s">
        <v>5362</v>
      </c>
      <c r="D2308" s="17" t="s">
        <v>5363</v>
      </c>
      <c r="E2308" s="16">
        <v>7.5</v>
      </c>
      <c r="F2308" s="7">
        <f t="shared" si="3"/>
        <v>92.5</v>
      </c>
      <c r="G2308" s="17" t="s">
        <v>3113</v>
      </c>
    </row>
    <row r="2309">
      <c r="A2309" s="12">
        <v>902.0</v>
      </c>
      <c r="B2309" s="17" t="s">
        <v>5364</v>
      </c>
      <c r="C2309" s="17" t="s">
        <v>5365</v>
      </c>
      <c r="D2309" s="17" t="s">
        <v>5366</v>
      </c>
      <c r="E2309" s="16">
        <v>7.5</v>
      </c>
      <c r="F2309" s="7">
        <f t="shared" si="3"/>
        <v>92.5</v>
      </c>
      <c r="G2309" s="17" t="s">
        <v>3113</v>
      </c>
    </row>
    <row r="2310">
      <c r="A2310" s="12">
        <v>903.0</v>
      </c>
      <c r="B2310" s="17" t="s">
        <v>5367</v>
      </c>
      <c r="C2310" s="17" t="s">
        <v>5368</v>
      </c>
      <c r="D2310" s="17" t="s">
        <v>5369</v>
      </c>
      <c r="E2310" s="16">
        <v>7.5</v>
      </c>
      <c r="F2310" s="7">
        <f t="shared" si="3"/>
        <v>92.5</v>
      </c>
      <c r="G2310" s="17" t="s">
        <v>3113</v>
      </c>
    </row>
    <row r="2311">
      <c r="A2311" s="12">
        <v>904.0</v>
      </c>
      <c r="B2311" s="17" t="s">
        <v>5370</v>
      </c>
      <c r="C2311" s="17" t="s">
        <v>5371</v>
      </c>
      <c r="D2311" s="17" t="s">
        <v>5372</v>
      </c>
      <c r="E2311" s="16">
        <v>7.5</v>
      </c>
      <c r="F2311" s="7">
        <f t="shared" si="3"/>
        <v>92.5</v>
      </c>
      <c r="G2311" s="17" t="s">
        <v>3113</v>
      </c>
    </row>
    <row r="2312">
      <c r="A2312" s="12">
        <v>905.0</v>
      </c>
      <c r="B2312" s="17" t="s">
        <v>5373</v>
      </c>
      <c r="C2312" s="17" t="s">
        <v>5374</v>
      </c>
      <c r="D2312" s="17" t="s">
        <v>5375</v>
      </c>
      <c r="E2312" s="16">
        <v>7.5</v>
      </c>
      <c r="F2312" s="7">
        <f t="shared" si="3"/>
        <v>92.5</v>
      </c>
      <c r="G2312" s="17" t="s">
        <v>3113</v>
      </c>
    </row>
    <row r="2313">
      <c r="A2313" s="12">
        <v>906.0</v>
      </c>
      <c r="B2313" s="17" t="s">
        <v>5376</v>
      </c>
      <c r="C2313" s="17" t="s">
        <v>5377</v>
      </c>
      <c r="D2313" s="17" t="s">
        <v>5378</v>
      </c>
      <c r="E2313" s="16">
        <v>7.5</v>
      </c>
      <c r="F2313" s="7">
        <f t="shared" si="3"/>
        <v>92.5</v>
      </c>
      <c r="G2313" s="17" t="s">
        <v>3113</v>
      </c>
    </row>
    <row r="2314">
      <c r="A2314" s="12">
        <v>907.0</v>
      </c>
      <c r="B2314" s="17" t="s">
        <v>5379</v>
      </c>
      <c r="C2314" s="17" t="s">
        <v>5380</v>
      </c>
      <c r="D2314" s="17" t="s">
        <v>5381</v>
      </c>
      <c r="E2314" s="16">
        <v>7.5</v>
      </c>
      <c r="F2314" s="7">
        <f t="shared" si="3"/>
        <v>92.5</v>
      </c>
      <c r="G2314" s="17" t="s">
        <v>3113</v>
      </c>
    </row>
    <row r="2315">
      <c r="A2315" s="12">
        <v>908.0</v>
      </c>
      <c r="B2315" s="17" t="s">
        <v>5382</v>
      </c>
      <c r="C2315" s="17" t="s">
        <v>5383</v>
      </c>
      <c r="D2315" s="17" t="s">
        <v>5384</v>
      </c>
      <c r="E2315" s="16">
        <v>7.5</v>
      </c>
      <c r="F2315" s="7">
        <f t="shared" si="3"/>
        <v>92.5</v>
      </c>
      <c r="G2315" s="17" t="s">
        <v>3113</v>
      </c>
    </row>
    <row r="2316">
      <c r="A2316" s="12">
        <v>909.0</v>
      </c>
      <c r="B2316" s="17" t="s">
        <v>5385</v>
      </c>
      <c r="C2316" s="17" t="s">
        <v>5386</v>
      </c>
      <c r="D2316" s="17" t="s">
        <v>5387</v>
      </c>
      <c r="E2316" s="16">
        <v>7.5</v>
      </c>
      <c r="F2316" s="7">
        <f t="shared" si="3"/>
        <v>92.5</v>
      </c>
      <c r="G2316" s="17" t="s">
        <v>3113</v>
      </c>
    </row>
    <row r="2317">
      <c r="A2317" s="12">
        <v>910.0</v>
      </c>
      <c r="B2317" s="17" t="s">
        <v>5388</v>
      </c>
      <c r="C2317" s="17" t="s">
        <v>5389</v>
      </c>
      <c r="D2317" s="17" t="s">
        <v>5390</v>
      </c>
      <c r="E2317" s="16">
        <v>7.5</v>
      </c>
      <c r="F2317" s="7">
        <f t="shared" si="3"/>
        <v>92.5</v>
      </c>
      <c r="G2317" s="17" t="s">
        <v>3113</v>
      </c>
    </row>
    <row r="2318">
      <c r="A2318" s="12">
        <v>911.0</v>
      </c>
      <c r="B2318" s="17" t="s">
        <v>5391</v>
      </c>
      <c r="C2318" s="17" t="s">
        <v>5392</v>
      </c>
      <c r="D2318" s="17" t="s">
        <v>5393</v>
      </c>
      <c r="E2318" s="16">
        <v>7.5</v>
      </c>
      <c r="F2318" s="7">
        <f t="shared" si="3"/>
        <v>92.5</v>
      </c>
      <c r="G2318" s="17" t="s">
        <v>3113</v>
      </c>
    </row>
    <row r="2319">
      <c r="A2319" s="12">
        <v>912.0</v>
      </c>
      <c r="B2319" s="17" t="s">
        <v>5394</v>
      </c>
      <c r="C2319" s="17" t="s">
        <v>5395</v>
      </c>
      <c r="D2319" s="17" t="s">
        <v>5396</v>
      </c>
      <c r="E2319" s="16">
        <v>7.5</v>
      </c>
      <c r="F2319" s="7">
        <f t="shared" si="3"/>
        <v>92.5</v>
      </c>
      <c r="G2319" s="17" t="s">
        <v>3113</v>
      </c>
    </row>
    <row r="2320">
      <c r="A2320" s="12">
        <v>913.0</v>
      </c>
      <c r="B2320" s="17" t="s">
        <v>5397</v>
      </c>
      <c r="C2320" s="17" t="s">
        <v>5398</v>
      </c>
      <c r="D2320" s="17" t="s">
        <v>5399</v>
      </c>
      <c r="E2320" s="16">
        <v>7.5</v>
      </c>
      <c r="F2320" s="7">
        <f t="shared" si="3"/>
        <v>92.5</v>
      </c>
      <c r="G2320" s="17" t="s">
        <v>3113</v>
      </c>
    </row>
    <row r="2321">
      <c r="A2321" s="12">
        <v>914.0</v>
      </c>
      <c r="B2321" s="17" t="s">
        <v>5400</v>
      </c>
      <c r="C2321" s="17" t="s">
        <v>5401</v>
      </c>
      <c r="D2321" s="17" t="s">
        <v>5402</v>
      </c>
      <c r="E2321" s="16">
        <v>7.5</v>
      </c>
      <c r="F2321" s="7">
        <f t="shared" si="3"/>
        <v>92.5</v>
      </c>
      <c r="G2321" s="17" t="s">
        <v>3113</v>
      </c>
    </row>
    <row r="2322">
      <c r="A2322" s="12">
        <v>915.0</v>
      </c>
      <c r="B2322" s="17" t="s">
        <v>5403</v>
      </c>
      <c r="C2322" s="17" t="s">
        <v>5404</v>
      </c>
      <c r="D2322" s="17" t="s">
        <v>5405</v>
      </c>
      <c r="E2322" s="16">
        <v>7.5</v>
      </c>
      <c r="F2322" s="7">
        <f t="shared" si="3"/>
        <v>92.5</v>
      </c>
      <c r="G2322" s="17" t="s">
        <v>3113</v>
      </c>
    </row>
    <row r="2323">
      <c r="A2323" s="12">
        <v>916.0</v>
      </c>
      <c r="B2323" s="17" t="s">
        <v>5406</v>
      </c>
      <c r="C2323" s="17" t="s">
        <v>5407</v>
      </c>
      <c r="D2323" s="17" t="s">
        <v>5408</v>
      </c>
      <c r="E2323" s="16">
        <v>7.5</v>
      </c>
      <c r="F2323" s="7">
        <f t="shared" si="3"/>
        <v>92.5</v>
      </c>
      <c r="G2323" s="17" t="s">
        <v>3113</v>
      </c>
    </row>
    <row r="2324">
      <c r="A2324" s="12">
        <v>917.0</v>
      </c>
      <c r="B2324" s="17" t="s">
        <v>5409</v>
      </c>
      <c r="C2324" s="17" t="s">
        <v>5410</v>
      </c>
      <c r="D2324" s="17" t="s">
        <v>5411</v>
      </c>
      <c r="E2324" s="16">
        <v>7.5</v>
      </c>
      <c r="F2324" s="7">
        <f t="shared" si="3"/>
        <v>92.5</v>
      </c>
      <c r="G2324" s="17" t="s">
        <v>3113</v>
      </c>
    </row>
    <row r="2325">
      <c r="A2325" s="12">
        <v>918.0</v>
      </c>
      <c r="B2325" s="17" t="s">
        <v>5412</v>
      </c>
      <c r="C2325" s="17" t="s">
        <v>5413</v>
      </c>
      <c r="D2325" s="17" t="s">
        <v>5414</v>
      </c>
      <c r="E2325" s="16">
        <v>7.5</v>
      </c>
      <c r="F2325" s="7">
        <f t="shared" si="3"/>
        <v>92.5</v>
      </c>
      <c r="G2325" s="17" t="s">
        <v>3113</v>
      </c>
    </row>
    <row r="2326">
      <c r="A2326" s="12">
        <v>919.0</v>
      </c>
      <c r="B2326" s="17" t="s">
        <v>5415</v>
      </c>
      <c r="C2326" s="17" t="s">
        <v>5416</v>
      </c>
      <c r="D2326" s="17" t="s">
        <v>5417</v>
      </c>
      <c r="E2326" s="16">
        <v>7.5</v>
      </c>
      <c r="F2326" s="7">
        <f t="shared" si="3"/>
        <v>92.5</v>
      </c>
      <c r="G2326" s="17" t="s">
        <v>3113</v>
      </c>
    </row>
    <row r="2327">
      <c r="A2327" s="12">
        <v>920.0</v>
      </c>
      <c r="B2327" s="17" t="s">
        <v>5418</v>
      </c>
      <c r="C2327" s="17" t="s">
        <v>5419</v>
      </c>
      <c r="D2327" s="17" t="s">
        <v>5420</v>
      </c>
      <c r="E2327" s="16">
        <v>7.5</v>
      </c>
      <c r="F2327" s="7">
        <f t="shared" si="3"/>
        <v>92.5</v>
      </c>
      <c r="G2327" s="17" t="s">
        <v>3113</v>
      </c>
    </row>
    <row r="2328">
      <c r="A2328" s="12">
        <v>921.0</v>
      </c>
      <c r="B2328" s="17" t="s">
        <v>5421</v>
      </c>
      <c r="C2328" s="17" t="s">
        <v>5422</v>
      </c>
      <c r="D2328" s="17" t="s">
        <v>5423</v>
      </c>
      <c r="E2328" s="16">
        <v>7.5</v>
      </c>
      <c r="F2328" s="7">
        <f t="shared" si="3"/>
        <v>92.5</v>
      </c>
      <c r="G2328" s="17" t="s">
        <v>3113</v>
      </c>
    </row>
    <row r="2329">
      <c r="A2329" s="12">
        <v>922.0</v>
      </c>
      <c r="B2329" s="17" t="s">
        <v>5424</v>
      </c>
      <c r="C2329" s="17" t="s">
        <v>5425</v>
      </c>
      <c r="D2329" s="17" t="s">
        <v>5426</v>
      </c>
      <c r="E2329" s="16">
        <v>7.5</v>
      </c>
      <c r="F2329" s="7">
        <f t="shared" si="3"/>
        <v>92.5</v>
      </c>
      <c r="G2329" s="17" t="s">
        <v>3113</v>
      </c>
    </row>
    <row r="2330">
      <c r="A2330" s="12">
        <v>923.0</v>
      </c>
      <c r="B2330" s="17" t="s">
        <v>5427</v>
      </c>
      <c r="C2330" s="17" t="s">
        <v>5428</v>
      </c>
      <c r="D2330" s="17" t="s">
        <v>5429</v>
      </c>
      <c r="E2330" s="16">
        <v>7.5</v>
      </c>
      <c r="F2330" s="7">
        <f t="shared" si="3"/>
        <v>92.5</v>
      </c>
      <c r="G2330" s="17" t="s">
        <v>3113</v>
      </c>
    </row>
    <row r="2331">
      <c r="A2331" s="12">
        <v>924.0</v>
      </c>
      <c r="B2331" s="17" t="s">
        <v>5430</v>
      </c>
      <c r="C2331" s="17" t="s">
        <v>5431</v>
      </c>
      <c r="D2331" s="17" t="s">
        <v>5432</v>
      </c>
      <c r="E2331" s="16">
        <v>7.5</v>
      </c>
      <c r="F2331" s="7">
        <f t="shared" si="3"/>
        <v>92.5</v>
      </c>
      <c r="G2331" s="17" t="s">
        <v>3113</v>
      </c>
    </row>
    <row r="2332">
      <c r="A2332" s="12">
        <v>925.0</v>
      </c>
      <c r="B2332" s="17" t="s">
        <v>5433</v>
      </c>
      <c r="C2332" s="17" t="s">
        <v>5434</v>
      </c>
      <c r="D2332" s="17" t="s">
        <v>5435</v>
      </c>
      <c r="E2332" s="16">
        <v>7.5</v>
      </c>
      <c r="F2332" s="7">
        <f t="shared" si="3"/>
        <v>92.5</v>
      </c>
      <c r="G2332" s="17" t="s">
        <v>3113</v>
      </c>
    </row>
    <row r="2333">
      <c r="A2333" s="12">
        <v>926.0</v>
      </c>
      <c r="B2333" s="17" t="s">
        <v>5436</v>
      </c>
      <c r="C2333" s="17" t="s">
        <v>5437</v>
      </c>
      <c r="D2333" s="17" t="s">
        <v>5438</v>
      </c>
      <c r="E2333" s="16">
        <v>7.5</v>
      </c>
      <c r="F2333" s="7">
        <f t="shared" si="3"/>
        <v>92.5</v>
      </c>
      <c r="G2333" s="17" t="s">
        <v>3113</v>
      </c>
    </row>
    <row r="2334">
      <c r="A2334" s="12">
        <v>927.0</v>
      </c>
      <c r="B2334" s="17" t="s">
        <v>5439</v>
      </c>
      <c r="C2334" s="17" t="s">
        <v>5440</v>
      </c>
      <c r="D2334" s="17" t="s">
        <v>5441</v>
      </c>
      <c r="E2334" s="16">
        <v>7.5</v>
      </c>
      <c r="F2334" s="7">
        <f t="shared" si="3"/>
        <v>92.5</v>
      </c>
      <c r="G2334" s="17" t="s">
        <v>3113</v>
      </c>
    </row>
    <row r="2335">
      <c r="A2335" s="12">
        <v>928.0</v>
      </c>
      <c r="B2335" s="17" t="s">
        <v>5442</v>
      </c>
      <c r="C2335" s="17" t="s">
        <v>5443</v>
      </c>
      <c r="D2335" s="17" t="s">
        <v>5444</v>
      </c>
      <c r="E2335" s="16">
        <v>7.5</v>
      </c>
      <c r="F2335" s="7">
        <f t="shared" si="3"/>
        <v>92.5</v>
      </c>
      <c r="G2335" s="17" t="s">
        <v>3113</v>
      </c>
    </row>
    <row r="2336">
      <c r="A2336" s="12">
        <v>929.0</v>
      </c>
      <c r="B2336" s="17" t="s">
        <v>5442</v>
      </c>
      <c r="C2336" s="17" t="s">
        <v>5445</v>
      </c>
      <c r="D2336" s="17" t="s">
        <v>5446</v>
      </c>
      <c r="E2336" s="16">
        <v>7.5</v>
      </c>
      <c r="F2336" s="7">
        <f t="shared" si="3"/>
        <v>92.5</v>
      </c>
      <c r="G2336" s="17" t="s">
        <v>3113</v>
      </c>
    </row>
    <row r="2337">
      <c r="A2337" s="12">
        <v>930.0</v>
      </c>
      <c r="B2337" s="17" t="s">
        <v>5447</v>
      </c>
      <c r="C2337" s="17" t="s">
        <v>5448</v>
      </c>
      <c r="D2337" s="17" t="s">
        <v>5449</v>
      </c>
      <c r="E2337" s="16">
        <v>7.5</v>
      </c>
      <c r="F2337" s="7">
        <f t="shared" si="3"/>
        <v>92.5</v>
      </c>
      <c r="G2337" s="17" t="s">
        <v>3113</v>
      </c>
    </row>
    <row r="2338">
      <c r="A2338" s="12">
        <v>931.0</v>
      </c>
      <c r="B2338" s="17" t="s">
        <v>5447</v>
      </c>
      <c r="C2338" s="17" t="s">
        <v>5450</v>
      </c>
      <c r="D2338" s="17" t="s">
        <v>5451</v>
      </c>
      <c r="E2338" s="16">
        <v>7.5</v>
      </c>
      <c r="F2338" s="7">
        <f t="shared" si="3"/>
        <v>92.5</v>
      </c>
      <c r="G2338" s="17" t="s">
        <v>3113</v>
      </c>
    </row>
    <row r="2339">
      <c r="A2339" s="12">
        <v>932.0</v>
      </c>
      <c r="B2339" s="17" t="s">
        <v>5452</v>
      </c>
      <c r="C2339" s="17" t="s">
        <v>5453</v>
      </c>
      <c r="D2339" s="17" t="s">
        <v>5454</v>
      </c>
      <c r="E2339" s="16">
        <v>7.5</v>
      </c>
      <c r="F2339" s="7">
        <f t="shared" si="3"/>
        <v>92.5</v>
      </c>
      <c r="G2339" s="17" t="s">
        <v>3113</v>
      </c>
    </row>
    <row r="2340">
      <c r="A2340" s="12">
        <v>933.0</v>
      </c>
      <c r="B2340" s="17" t="s">
        <v>5455</v>
      </c>
      <c r="C2340" s="17" t="s">
        <v>5456</v>
      </c>
      <c r="D2340" s="17" t="s">
        <v>5457</v>
      </c>
      <c r="E2340" s="16">
        <v>7.5</v>
      </c>
      <c r="F2340" s="7">
        <f t="shared" si="3"/>
        <v>92.5</v>
      </c>
      <c r="G2340" s="17" t="s">
        <v>3113</v>
      </c>
    </row>
    <row r="2341">
      <c r="A2341" s="12">
        <v>934.0</v>
      </c>
      <c r="B2341" s="17" t="s">
        <v>5458</v>
      </c>
      <c r="C2341" s="17" t="s">
        <v>5459</v>
      </c>
      <c r="D2341" s="17" t="s">
        <v>5460</v>
      </c>
      <c r="E2341" s="16">
        <v>7.5</v>
      </c>
      <c r="F2341" s="7">
        <f t="shared" si="3"/>
        <v>92.5</v>
      </c>
      <c r="G2341" s="17" t="s">
        <v>3113</v>
      </c>
    </row>
    <row r="2342">
      <c r="A2342" s="12">
        <v>935.0</v>
      </c>
      <c r="B2342" s="17" t="s">
        <v>5461</v>
      </c>
      <c r="C2342" s="17" t="s">
        <v>5462</v>
      </c>
      <c r="D2342" s="17" t="s">
        <v>5463</v>
      </c>
      <c r="E2342" s="16">
        <v>7.5</v>
      </c>
      <c r="F2342" s="7">
        <f t="shared" si="3"/>
        <v>92.5</v>
      </c>
      <c r="G2342" s="17" t="s">
        <v>3113</v>
      </c>
    </row>
    <row r="2343">
      <c r="A2343" s="12">
        <v>936.0</v>
      </c>
      <c r="B2343" s="17" t="s">
        <v>5464</v>
      </c>
      <c r="C2343" s="17" t="s">
        <v>5465</v>
      </c>
      <c r="D2343" s="17" t="s">
        <v>5466</v>
      </c>
      <c r="E2343" s="16">
        <v>7.5</v>
      </c>
      <c r="F2343" s="7">
        <f t="shared" si="3"/>
        <v>92.5</v>
      </c>
      <c r="G2343" s="17" t="s">
        <v>3113</v>
      </c>
    </row>
    <row r="2344">
      <c r="A2344" s="12">
        <v>937.0</v>
      </c>
      <c r="B2344" s="17" t="s">
        <v>5467</v>
      </c>
      <c r="C2344" s="17" t="s">
        <v>5468</v>
      </c>
      <c r="D2344" s="17" t="s">
        <v>5469</v>
      </c>
      <c r="E2344" s="16">
        <v>7.5</v>
      </c>
      <c r="F2344" s="7">
        <f t="shared" si="3"/>
        <v>92.5</v>
      </c>
      <c r="G2344" s="17" t="s">
        <v>3113</v>
      </c>
    </row>
    <row r="2345">
      <c r="A2345" s="12">
        <v>938.0</v>
      </c>
      <c r="B2345" s="17" t="s">
        <v>5470</v>
      </c>
      <c r="C2345" s="17" t="s">
        <v>5471</v>
      </c>
      <c r="D2345" s="17" t="s">
        <v>5472</v>
      </c>
      <c r="E2345" s="16">
        <v>7.5</v>
      </c>
      <c r="F2345" s="7">
        <f t="shared" si="3"/>
        <v>92.5</v>
      </c>
      <c r="G2345" s="17" t="s">
        <v>3113</v>
      </c>
    </row>
    <row r="2346">
      <c r="A2346" s="12">
        <v>939.0</v>
      </c>
      <c r="B2346" s="17" t="s">
        <v>5473</v>
      </c>
      <c r="C2346" s="17" t="s">
        <v>5474</v>
      </c>
      <c r="D2346" s="17" t="s">
        <v>5475</v>
      </c>
      <c r="E2346" s="16">
        <v>7.5</v>
      </c>
      <c r="F2346" s="7">
        <f t="shared" si="3"/>
        <v>92.5</v>
      </c>
      <c r="G2346" s="17" t="s">
        <v>3113</v>
      </c>
    </row>
    <row r="2347">
      <c r="A2347" s="12">
        <v>940.0</v>
      </c>
      <c r="B2347" s="17" t="s">
        <v>5476</v>
      </c>
      <c r="C2347" s="17" t="s">
        <v>5477</v>
      </c>
      <c r="D2347" s="17" t="s">
        <v>5478</v>
      </c>
      <c r="E2347" s="16">
        <v>7.5</v>
      </c>
      <c r="F2347" s="7">
        <f t="shared" si="3"/>
        <v>92.5</v>
      </c>
      <c r="G2347" s="17" t="s">
        <v>3113</v>
      </c>
    </row>
    <row r="2348">
      <c r="A2348" s="12">
        <v>941.0</v>
      </c>
      <c r="B2348" s="17" t="s">
        <v>5479</v>
      </c>
      <c r="C2348" s="17" t="s">
        <v>5480</v>
      </c>
      <c r="D2348" s="17" t="s">
        <v>5481</v>
      </c>
      <c r="E2348" s="16">
        <v>7.5</v>
      </c>
      <c r="F2348" s="7">
        <f t="shared" si="3"/>
        <v>92.5</v>
      </c>
      <c r="G2348" s="17" t="s">
        <v>3113</v>
      </c>
    </row>
    <row r="2349">
      <c r="A2349" s="12">
        <v>942.0</v>
      </c>
      <c r="B2349" s="17" t="s">
        <v>5482</v>
      </c>
      <c r="C2349" s="17" t="s">
        <v>5483</v>
      </c>
      <c r="D2349" s="17" t="s">
        <v>5484</v>
      </c>
      <c r="E2349" s="16">
        <v>7.5</v>
      </c>
      <c r="F2349" s="7">
        <f t="shared" si="3"/>
        <v>92.5</v>
      </c>
      <c r="G2349" s="17" t="s">
        <v>3113</v>
      </c>
    </row>
    <row r="2350">
      <c r="A2350" s="12">
        <v>943.0</v>
      </c>
      <c r="B2350" s="17" t="s">
        <v>5485</v>
      </c>
      <c r="C2350" s="17" t="s">
        <v>5486</v>
      </c>
      <c r="D2350" s="17" t="s">
        <v>5484</v>
      </c>
      <c r="E2350" s="16">
        <v>7.5</v>
      </c>
      <c r="F2350" s="7">
        <f t="shared" si="3"/>
        <v>92.5</v>
      </c>
      <c r="G2350" s="17" t="s">
        <v>3113</v>
      </c>
    </row>
    <row r="2351">
      <c r="A2351" s="12">
        <v>944.0</v>
      </c>
      <c r="B2351" s="17" t="s">
        <v>5487</v>
      </c>
      <c r="C2351" s="17" t="s">
        <v>5488</v>
      </c>
      <c r="D2351" s="17" t="s">
        <v>5489</v>
      </c>
      <c r="E2351" s="16">
        <v>7.5</v>
      </c>
      <c r="F2351" s="7">
        <f t="shared" si="3"/>
        <v>92.5</v>
      </c>
      <c r="G2351" s="17" t="s">
        <v>3113</v>
      </c>
    </row>
    <row r="2352">
      <c r="A2352" s="12">
        <v>945.0</v>
      </c>
      <c r="B2352" s="17" t="s">
        <v>5490</v>
      </c>
      <c r="C2352" s="17" t="s">
        <v>5491</v>
      </c>
      <c r="D2352" s="17" t="s">
        <v>5492</v>
      </c>
      <c r="E2352" s="16">
        <v>7.5</v>
      </c>
      <c r="F2352" s="7">
        <f t="shared" si="3"/>
        <v>92.5</v>
      </c>
      <c r="G2352" s="17" t="s">
        <v>3113</v>
      </c>
    </row>
    <row r="2353">
      <c r="A2353" s="12">
        <v>946.0</v>
      </c>
      <c r="B2353" s="17" t="s">
        <v>5493</v>
      </c>
      <c r="C2353" s="17" t="s">
        <v>5494</v>
      </c>
      <c r="D2353" s="17" t="s">
        <v>5495</v>
      </c>
      <c r="E2353" s="16">
        <v>7.5</v>
      </c>
      <c r="F2353" s="7">
        <f t="shared" si="3"/>
        <v>92.5</v>
      </c>
      <c r="G2353" s="17" t="s">
        <v>3113</v>
      </c>
    </row>
    <row r="2354">
      <c r="A2354" s="12">
        <v>947.0</v>
      </c>
      <c r="B2354" s="17" t="s">
        <v>5496</v>
      </c>
      <c r="C2354" s="17" t="s">
        <v>5497</v>
      </c>
      <c r="D2354" s="17" t="s">
        <v>5498</v>
      </c>
      <c r="E2354" s="16">
        <v>7.5</v>
      </c>
      <c r="F2354" s="7">
        <f t="shared" si="3"/>
        <v>92.5</v>
      </c>
      <c r="G2354" s="17" t="s">
        <v>3113</v>
      </c>
    </row>
    <row r="2355">
      <c r="A2355" s="12">
        <v>948.0</v>
      </c>
      <c r="B2355" s="17" t="s">
        <v>5499</v>
      </c>
      <c r="C2355" s="17" t="s">
        <v>5500</v>
      </c>
      <c r="D2355" s="17" t="s">
        <v>5501</v>
      </c>
      <c r="E2355" s="16">
        <v>7.5</v>
      </c>
      <c r="F2355" s="7">
        <f t="shared" si="3"/>
        <v>92.5</v>
      </c>
      <c r="G2355" s="17" t="s">
        <v>3113</v>
      </c>
    </row>
    <row r="2356">
      <c r="A2356" s="12">
        <v>949.0</v>
      </c>
      <c r="B2356" s="17" t="s">
        <v>5502</v>
      </c>
      <c r="C2356" s="17" t="s">
        <v>5503</v>
      </c>
      <c r="D2356" s="17" t="s">
        <v>5504</v>
      </c>
      <c r="E2356" s="16">
        <v>7.5</v>
      </c>
      <c r="F2356" s="7">
        <f t="shared" si="3"/>
        <v>92.5</v>
      </c>
      <c r="G2356" s="17" t="s">
        <v>3113</v>
      </c>
    </row>
    <row r="2357">
      <c r="A2357" s="12">
        <v>950.0</v>
      </c>
      <c r="B2357" s="17" t="s">
        <v>5505</v>
      </c>
      <c r="C2357" s="17" t="s">
        <v>5506</v>
      </c>
      <c r="D2357" s="17" t="s">
        <v>5507</v>
      </c>
      <c r="E2357" s="16">
        <v>7.5</v>
      </c>
      <c r="F2357" s="7">
        <f t="shared" si="3"/>
        <v>92.5</v>
      </c>
      <c r="G2357" s="17" t="s">
        <v>3113</v>
      </c>
    </row>
    <row r="2358">
      <c r="A2358" s="12">
        <v>951.0</v>
      </c>
      <c r="B2358" s="17" t="s">
        <v>5508</v>
      </c>
      <c r="C2358" s="17" t="s">
        <v>5509</v>
      </c>
      <c r="D2358" s="17" t="s">
        <v>5510</v>
      </c>
      <c r="E2358" s="16">
        <v>7.5</v>
      </c>
      <c r="F2358" s="7">
        <f t="shared" si="3"/>
        <v>92.5</v>
      </c>
      <c r="G2358" s="17" t="s">
        <v>3113</v>
      </c>
    </row>
    <row r="2359">
      <c r="A2359" s="12">
        <v>952.0</v>
      </c>
      <c r="B2359" s="17" t="s">
        <v>5511</v>
      </c>
      <c r="C2359" s="17" t="s">
        <v>5512</v>
      </c>
      <c r="D2359" s="17" t="s">
        <v>5513</v>
      </c>
      <c r="E2359" s="16">
        <v>7.5</v>
      </c>
      <c r="F2359" s="7">
        <f t="shared" si="3"/>
        <v>92.5</v>
      </c>
      <c r="G2359" s="17" t="s">
        <v>3113</v>
      </c>
    </row>
    <row r="2360">
      <c r="A2360" s="12">
        <v>953.0</v>
      </c>
      <c r="B2360" s="17" t="s">
        <v>5514</v>
      </c>
      <c r="C2360" s="17" t="s">
        <v>5515</v>
      </c>
      <c r="D2360" s="17" t="s">
        <v>5516</v>
      </c>
      <c r="E2360" s="16">
        <v>7.5</v>
      </c>
      <c r="F2360" s="7">
        <f t="shared" si="3"/>
        <v>92.5</v>
      </c>
      <c r="G2360" s="17" t="s">
        <v>3113</v>
      </c>
    </row>
    <row r="2361">
      <c r="A2361" s="12">
        <v>954.0</v>
      </c>
      <c r="B2361" s="17" t="s">
        <v>5517</v>
      </c>
      <c r="C2361" s="17" t="s">
        <v>5518</v>
      </c>
      <c r="D2361" s="17" t="s">
        <v>5519</v>
      </c>
      <c r="E2361" s="16">
        <v>7.5</v>
      </c>
      <c r="F2361" s="7">
        <f t="shared" si="3"/>
        <v>92.5</v>
      </c>
      <c r="G2361" s="17" t="s">
        <v>3113</v>
      </c>
    </row>
    <row r="2362">
      <c r="A2362" s="12">
        <v>955.0</v>
      </c>
      <c r="B2362" s="17" t="s">
        <v>5520</v>
      </c>
      <c r="C2362" s="17" t="s">
        <v>5521</v>
      </c>
      <c r="D2362" s="17" t="s">
        <v>5522</v>
      </c>
      <c r="E2362" s="16">
        <v>7.5</v>
      </c>
      <c r="F2362" s="7">
        <f t="shared" si="3"/>
        <v>92.5</v>
      </c>
      <c r="G2362" s="17" t="s">
        <v>3113</v>
      </c>
    </row>
    <row r="2363">
      <c r="A2363" s="12">
        <v>956.0</v>
      </c>
      <c r="B2363" s="17" t="s">
        <v>5523</v>
      </c>
      <c r="C2363" s="17" t="s">
        <v>5524</v>
      </c>
      <c r="D2363" s="17" t="s">
        <v>5525</v>
      </c>
      <c r="E2363" s="16">
        <v>7.5</v>
      </c>
      <c r="F2363" s="7">
        <f t="shared" si="3"/>
        <v>92.5</v>
      </c>
      <c r="G2363" s="17" t="s">
        <v>3113</v>
      </c>
    </row>
    <row r="2364">
      <c r="A2364" s="12">
        <v>957.0</v>
      </c>
      <c r="B2364" s="17" t="s">
        <v>5526</v>
      </c>
      <c r="C2364" s="17" t="s">
        <v>5527</v>
      </c>
      <c r="D2364" s="17" t="s">
        <v>5525</v>
      </c>
      <c r="E2364" s="16">
        <v>7.5</v>
      </c>
      <c r="F2364" s="7">
        <f t="shared" si="3"/>
        <v>92.5</v>
      </c>
      <c r="G2364" s="17" t="s">
        <v>3113</v>
      </c>
    </row>
    <row r="2365">
      <c r="A2365" s="12">
        <v>958.0</v>
      </c>
      <c r="B2365" s="17" t="s">
        <v>5528</v>
      </c>
      <c r="C2365" s="17" t="s">
        <v>5529</v>
      </c>
      <c r="D2365" s="17" t="s">
        <v>5530</v>
      </c>
      <c r="E2365" s="16">
        <v>7.5</v>
      </c>
      <c r="F2365" s="7">
        <f t="shared" si="3"/>
        <v>92.5</v>
      </c>
      <c r="G2365" s="17" t="s">
        <v>3113</v>
      </c>
    </row>
    <row r="2366">
      <c r="A2366" s="12">
        <v>959.0</v>
      </c>
      <c r="B2366" s="17" t="s">
        <v>5531</v>
      </c>
      <c r="C2366" s="17" t="s">
        <v>5532</v>
      </c>
      <c r="D2366" s="17" t="s">
        <v>5533</v>
      </c>
      <c r="E2366" s="16">
        <v>7.5</v>
      </c>
      <c r="F2366" s="7">
        <f t="shared" si="3"/>
        <v>92.5</v>
      </c>
      <c r="G2366" s="17" t="s">
        <v>3113</v>
      </c>
    </row>
    <row r="2367">
      <c r="A2367" s="12">
        <v>960.0</v>
      </c>
      <c r="B2367" s="17" t="s">
        <v>5534</v>
      </c>
      <c r="C2367" s="17" t="s">
        <v>5535</v>
      </c>
      <c r="D2367" s="17" t="s">
        <v>5533</v>
      </c>
      <c r="E2367" s="16">
        <v>7.5</v>
      </c>
      <c r="F2367" s="7">
        <f t="shared" si="3"/>
        <v>92.5</v>
      </c>
      <c r="G2367" s="17" t="s">
        <v>3113</v>
      </c>
    </row>
    <row r="2368">
      <c r="A2368" s="12">
        <v>961.0</v>
      </c>
      <c r="B2368" s="17" t="s">
        <v>5536</v>
      </c>
      <c r="C2368" s="17" t="s">
        <v>5537</v>
      </c>
      <c r="D2368" s="17" t="s">
        <v>5538</v>
      </c>
      <c r="E2368" s="16">
        <v>7.5</v>
      </c>
      <c r="F2368" s="7">
        <f t="shared" si="3"/>
        <v>92.5</v>
      </c>
      <c r="G2368" s="17" t="s">
        <v>3113</v>
      </c>
    </row>
    <row r="2369">
      <c r="A2369" s="12">
        <v>962.0</v>
      </c>
      <c r="B2369" s="17" t="s">
        <v>5539</v>
      </c>
      <c r="C2369" s="17" t="s">
        <v>5540</v>
      </c>
      <c r="D2369" s="17" t="s">
        <v>5541</v>
      </c>
      <c r="E2369" s="16">
        <v>7.5</v>
      </c>
      <c r="F2369" s="7">
        <f t="shared" si="3"/>
        <v>92.5</v>
      </c>
      <c r="G2369" s="17" t="s">
        <v>3113</v>
      </c>
    </row>
    <row r="2370">
      <c r="A2370" s="12">
        <v>963.0</v>
      </c>
      <c r="B2370" s="17" t="s">
        <v>5542</v>
      </c>
      <c r="C2370" s="17" t="s">
        <v>5543</v>
      </c>
      <c r="D2370" s="17" t="s">
        <v>5544</v>
      </c>
      <c r="E2370" s="16">
        <v>7.5</v>
      </c>
      <c r="F2370" s="7">
        <f t="shared" si="3"/>
        <v>92.5</v>
      </c>
      <c r="G2370" s="17" t="s">
        <v>3113</v>
      </c>
    </row>
    <row r="2371">
      <c r="A2371" s="12">
        <v>964.0</v>
      </c>
      <c r="B2371" s="17" t="s">
        <v>5545</v>
      </c>
      <c r="C2371" s="17" t="s">
        <v>5546</v>
      </c>
      <c r="D2371" s="17" t="s">
        <v>5547</v>
      </c>
      <c r="E2371" s="16">
        <v>7.5</v>
      </c>
      <c r="F2371" s="7">
        <f t="shared" si="3"/>
        <v>92.5</v>
      </c>
      <c r="G2371" s="17" t="s">
        <v>3113</v>
      </c>
    </row>
    <row r="2372">
      <c r="A2372" s="12">
        <v>965.0</v>
      </c>
      <c r="B2372" s="17" t="s">
        <v>5548</v>
      </c>
      <c r="C2372" s="17" t="s">
        <v>5549</v>
      </c>
      <c r="D2372" s="17" t="s">
        <v>5550</v>
      </c>
      <c r="E2372" s="16">
        <v>7.5</v>
      </c>
      <c r="F2372" s="7">
        <f t="shared" si="3"/>
        <v>92.5</v>
      </c>
      <c r="G2372" s="17" t="s">
        <v>3113</v>
      </c>
    </row>
    <row r="2373">
      <c r="A2373" s="12">
        <v>966.0</v>
      </c>
      <c r="B2373" s="17" t="s">
        <v>5551</v>
      </c>
      <c r="C2373" s="17" t="s">
        <v>5552</v>
      </c>
      <c r="D2373" s="17" t="s">
        <v>5553</v>
      </c>
      <c r="E2373" s="16">
        <v>7.5</v>
      </c>
      <c r="F2373" s="7">
        <f t="shared" si="3"/>
        <v>92.5</v>
      </c>
      <c r="G2373" s="17" t="s">
        <v>3113</v>
      </c>
    </row>
    <row r="2374">
      <c r="A2374" s="12">
        <v>967.0</v>
      </c>
      <c r="B2374" s="17" t="s">
        <v>5554</v>
      </c>
      <c r="C2374" s="17" t="s">
        <v>5555</v>
      </c>
      <c r="D2374" s="17" t="s">
        <v>5556</v>
      </c>
      <c r="E2374" s="16">
        <v>7.5</v>
      </c>
      <c r="F2374" s="7">
        <f t="shared" si="3"/>
        <v>92.5</v>
      </c>
      <c r="G2374" s="17" t="s">
        <v>3113</v>
      </c>
    </row>
    <row r="2375">
      <c r="A2375" s="12">
        <v>968.0</v>
      </c>
      <c r="B2375" s="17" t="s">
        <v>5557</v>
      </c>
      <c r="C2375" s="17" t="s">
        <v>5558</v>
      </c>
      <c r="D2375" s="17" t="s">
        <v>5559</v>
      </c>
      <c r="E2375" s="16">
        <v>7.5</v>
      </c>
      <c r="F2375" s="7">
        <f t="shared" si="3"/>
        <v>92.5</v>
      </c>
      <c r="G2375" s="17" t="s">
        <v>3113</v>
      </c>
    </row>
    <row r="2376">
      <c r="A2376" s="12">
        <v>969.0</v>
      </c>
      <c r="B2376" s="17" t="s">
        <v>5560</v>
      </c>
      <c r="C2376" s="17" t="s">
        <v>5561</v>
      </c>
      <c r="D2376" s="17" t="s">
        <v>5562</v>
      </c>
      <c r="E2376" s="16">
        <v>7.5</v>
      </c>
      <c r="F2376" s="7">
        <f t="shared" si="3"/>
        <v>92.5</v>
      </c>
      <c r="G2376" s="17" t="s">
        <v>3113</v>
      </c>
    </row>
    <row r="2377">
      <c r="A2377" s="12">
        <v>970.0</v>
      </c>
      <c r="B2377" s="17" t="s">
        <v>5563</v>
      </c>
      <c r="C2377" s="17" t="s">
        <v>5564</v>
      </c>
      <c r="D2377" s="17" t="s">
        <v>5565</v>
      </c>
      <c r="E2377" s="16">
        <v>7.5</v>
      </c>
      <c r="F2377" s="7">
        <f t="shared" si="3"/>
        <v>92.5</v>
      </c>
      <c r="G2377" s="17" t="s">
        <v>3113</v>
      </c>
    </row>
    <row r="2378">
      <c r="A2378" s="12">
        <v>971.0</v>
      </c>
      <c r="B2378" s="17" t="s">
        <v>5566</v>
      </c>
      <c r="C2378" s="17" t="s">
        <v>5567</v>
      </c>
      <c r="D2378" s="17" t="s">
        <v>5568</v>
      </c>
      <c r="E2378" s="16">
        <v>7.5</v>
      </c>
      <c r="F2378" s="7">
        <f t="shared" si="3"/>
        <v>92.5</v>
      </c>
      <c r="G2378" s="17" t="s">
        <v>3113</v>
      </c>
    </row>
    <row r="2379">
      <c r="A2379" s="12">
        <v>972.0</v>
      </c>
      <c r="B2379" s="17" t="s">
        <v>5569</v>
      </c>
      <c r="C2379" s="17" t="s">
        <v>5570</v>
      </c>
      <c r="D2379" s="17" t="s">
        <v>5571</v>
      </c>
      <c r="E2379" s="16">
        <v>7.5</v>
      </c>
      <c r="F2379" s="7">
        <f t="shared" si="3"/>
        <v>92.5</v>
      </c>
      <c r="G2379" s="17" t="s">
        <v>3113</v>
      </c>
    </row>
    <row r="2380">
      <c r="A2380" s="12">
        <v>973.0</v>
      </c>
      <c r="B2380" s="17" t="s">
        <v>5572</v>
      </c>
      <c r="C2380" s="17" t="s">
        <v>5573</v>
      </c>
      <c r="D2380" s="17" t="s">
        <v>5571</v>
      </c>
      <c r="E2380" s="16">
        <v>7.5</v>
      </c>
      <c r="F2380" s="7">
        <f t="shared" si="3"/>
        <v>92.5</v>
      </c>
      <c r="G2380" s="17" t="s">
        <v>3113</v>
      </c>
    </row>
    <row r="2381">
      <c r="A2381" s="12">
        <v>974.0</v>
      </c>
      <c r="B2381" s="17" t="s">
        <v>5574</v>
      </c>
      <c r="C2381" s="17" t="s">
        <v>5575</v>
      </c>
      <c r="D2381" s="17" t="s">
        <v>5576</v>
      </c>
      <c r="E2381" s="16">
        <v>7.5</v>
      </c>
      <c r="F2381" s="7">
        <f t="shared" si="3"/>
        <v>92.5</v>
      </c>
      <c r="G2381" s="17" t="s">
        <v>3113</v>
      </c>
    </row>
    <row r="2382">
      <c r="A2382" s="12">
        <v>975.0</v>
      </c>
      <c r="B2382" s="17" t="s">
        <v>5577</v>
      </c>
      <c r="C2382" s="17" t="s">
        <v>5578</v>
      </c>
      <c r="D2382" s="17" t="s">
        <v>5579</v>
      </c>
      <c r="E2382" s="16">
        <v>7.5</v>
      </c>
      <c r="F2382" s="7">
        <f t="shared" si="3"/>
        <v>92.5</v>
      </c>
      <c r="G2382" s="17" t="s">
        <v>3113</v>
      </c>
    </row>
    <row r="2383">
      <c r="A2383" s="12">
        <v>976.0</v>
      </c>
      <c r="B2383" s="17" t="s">
        <v>5580</v>
      </c>
      <c r="C2383" s="17" t="s">
        <v>5581</v>
      </c>
      <c r="D2383" s="17" t="s">
        <v>5582</v>
      </c>
      <c r="E2383" s="16">
        <v>7.5</v>
      </c>
      <c r="F2383" s="7">
        <f t="shared" si="3"/>
        <v>92.5</v>
      </c>
      <c r="G2383" s="17" t="s">
        <v>3113</v>
      </c>
    </row>
    <row r="2384">
      <c r="A2384" s="12">
        <v>977.0</v>
      </c>
      <c r="B2384" s="17" t="s">
        <v>5583</v>
      </c>
      <c r="C2384" s="17" t="s">
        <v>5584</v>
      </c>
      <c r="D2384" s="17" t="s">
        <v>5585</v>
      </c>
      <c r="E2384" s="16">
        <v>7.5</v>
      </c>
      <c r="F2384" s="7">
        <f t="shared" si="3"/>
        <v>92.5</v>
      </c>
      <c r="G2384" s="17" t="s">
        <v>3113</v>
      </c>
    </row>
    <row r="2385">
      <c r="A2385" s="12">
        <v>978.0</v>
      </c>
      <c r="B2385" s="17" t="s">
        <v>5586</v>
      </c>
      <c r="C2385" s="17" t="s">
        <v>5587</v>
      </c>
      <c r="D2385" s="17" t="s">
        <v>5588</v>
      </c>
      <c r="E2385" s="16">
        <v>7.5</v>
      </c>
      <c r="F2385" s="7">
        <f t="shared" si="3"/>
        <v>92.5</v>
      </c>
      <c r="G2385" s="17" t="s">
        <v>3113</v>
      </c>
    </row>
    <row r="2386">
      <c r="A2386" s="12">
        <v>979.0</v>
      </c>
      <c r="B2386" s="17" t="s">
        <v>5589</v>
      </c>
      <c r="C2386" s="17" t="s">
        <v>5590</v>
      </c>
      <c r="D2386" s="17" t="s">
        <v>5591</v>
      </c>
      <c r="E2386" s="16">
        <v>7.5</v>
      </c>
      <c r="F2386" s="7">
        <f t="shared" si="3"/>
        <v>92.5</v>
      </c>
      <c r="G2386" s="17" t="s">
        <v>3113</v>
      </c>
    </row>
    <row r="2387">
      <c r="A2387" s="12">
        <v>980.0</v>
      </c>
      <c r="B2387" s="17" t="s">
        <v>5592</v>
      </c>
      <c r="C2387" s="17" t="s">
        <v>5593</v>
      </c>
      <c r="D2387" s="17" t="s">
        <v>5594</v>
      </c>
      <c r="E2387" s="16">
        <v>7.5</v>
      </c>
      <c r="F2387" s="7">
        <f t="shared" si="3"/>
        <v>92.5</v>
      </c>
      <c r="G2387" s="17" t="s">
        <v>3113</v>
      </c>
    </row>
    <row r="2388">
      <c r="A2388" s="12">
        <v>981.0</v>
      </c>
      <c r="B2388" s="17" t="s">
        <v>5595</v>
      </c>
      <c r="C2388" s="17" t="s">
        <v>5596</v>
      </c>
      <c r="D2388" s="17" t="s">
        <v>5597</v>
      </c>
      <c r="E2388" s="16">
        <v>7.5</v>
      </c>
      <c r="F2388" s="7">
        <f t="shared" si="3"/>
        <v>92.5</v>
      </c>
      <c r="G2388" s="17" t="s">
        <v>3113</v>
      </c>
    </row>
    <row r="2389">
      <c r="A2389" s="12">
        <v>982.0</v>
      </c>
      <c r="B2389" s="17" t="s">
        <v>5598</v>
      </c>
      <c r="C2389" s="17" t="s">
        <v>5599</v>
      </c>
      <c r="D2389" s="17" t="s">
        <v>5600</v>
      </c>
      <c r="E2389" s="16">
        <v>7.5</v>
      </c>
      <c r="F2389" s="7">
        <f t="shared" si="3"/>
        <v>92.5</v>
      </c>
      <c r="G2389" s="17" t="s">
        <v>3113</v>
      </c>
    </row>
    <row r="2390">
      <c r="A2390" s="12">
        <v>983.0</v>
      </c>
      <c r="B2390" s="17" t="s">
        <v>5601</v>
      </c>
      <c r="C2390" s="17" t="s">
        <v>5602</v>
      </c>
      <c r="D2390" s="17" t="s">
        <v>5603</v>
      </c>
      <c r="E2390" s="16">
        <v>7.5</v>
      </c>
      <c r="F2390" s="7">
        <f t="shared" si="3"/>
        <v>92.5</v>
      </c>
      <c r="G2390" s="17" t="s">
        <v>3113</v>
      </c>
    </row>
    <row r="2391">
      <c r="A2391" s="12">
        <v>984.0</v>
      </c>
      <c r="B2391" s="17" t="s">
        <v>5604</v>
      </c>
      <c r="C2391" s="17" t="s">
        <v>5605</v>
      </c>
      <c r="D2391" s="17" t="s">
        <v>5606</v>
      </c>
      <c r="E2391" s="16">
        <v>7.5</v>
      </c>
      <c r="F2391" s="7">
        <f t="shared" si="3"/>
        <v>92.5</v>
      </c>
      <c r="G2391" s="17" t="s">
        <v>3113</v>
      </c>
    </row>
    <row r="2392">
      <c r="A2392" s="12">
        <v>985.0</v>
      </c>
      <c r="B2392" s="17" t="s">
        <v>5607</v>
      </c>
      <c r="C2392" s="17" t="s">
        <v>5608</v>
      </c>
      <c r="D2392" s="17" t="s">
        <v>5609</v>
      </c>
      <c r="E2392" s="16">
        <v>7.5</v>
      </c>
      <c r="F2392" s="7">
        <f t="shared" si="3"/>
        <v>92.5</v>
      </c>
      <c r="G2392" s="17" t="s">
        <v>3113</v>
      </c>
    </row>
    <row r="2393">
      <c r="A2393" s="12">
        <v>986.0</v>
      </c>
      <c r="B2393" s="17" t="s">
        <v>5610</v>
      </c>
      <c r="C2393" s="17" t="s">
        <v>5611</v>
      </c>
      <c r="D2393" s="17" t="s">
        <v>5612</v>
      </c>
      <c r="E2393" s="16">
        <v>7.5</v>
      </c>
      <c r="F2393" s="7">
        <f t="shared" si="3"/>
        <v>92.5</v>
      </c>
      <c r="G2393" s="17" t="s">
        <v>3113</v>
      </c>
    </row>
    <row r="2394">
      <c r="A2394" s="12">
        <v>987.0</v>
      </c>
      <c r="B2394" s="17" t="s">
        <v>5613</v>
      </c>
      <c r="C2394" s="17" t="s">
        <v>5614</v>
      </c>
      <c r="D2394" s="17" t="s">
        <v>5615</v>
      </c>
      <c r="E2394" s="16">
        <v>7.5</v>
      </c>
      <c r="F2394" s="7">
        <f t="shared" si="3"/>
        <v>92.5</v>
      </c>
      <c r="G2394" s="17" t="s">
        <v>3113</v>
      </c>
    </row>
    <row r="2395">
      <c r="A2395" s="12">
        <v>988.0</v>
      </c>
      <c r="B2395" s="17" t="s">
        <v>5616</v>
      </c>
      <c r="C2395" s="17" t="s">
        <v>5617</v>
      </c>
      <c r="D2395" s="17" t="s">
        <v>5618</v>
      </c>
      <c r="E2395" s="16">
        <v>7.5</v>
      </c>
      <c r="F2395" s="7">
        <f t="shared" si="3"/>
        <v>92.5</v>
      </c>
      <c r="G2395" s="17" t="s">
        <v>3113</v>
      </c>
    </row>
    <row r="2396">
      <c r="A2396" s="12">
        <v>989.0</v>
      </c>
      <c r="B2396" s="17" t="s">
        <v>5619</v>
      </c>
      <c r="C2396" s="17" t="s">
        <v>5620</v>
      </c>
      <c r="D2396" s="17" t="s">
        <v>5621</v>
      </c>
      <c r="E2396" s="16">
        <v>7.5</v>
      </c>
      <c r="F2396" s="7">
        <f t="shared" si="3"/>
        <v>92.5</v>
      </c>
      <c r="G2396" s="17" t="s">
        <v>3113</v>
      </c>
    </row>
    <row r="2397">
      <c r="A2397" s="12">
        <v>990.0</v>
      </c>
      <c r="B2397" s="17" t="s">
        <v>5622</v>
      </c>
      <c r="C2397" s="17" t="s">
        <v>5623</v>
      </c>
      <c r="D2397" s="17" t="s">
        <v>5624</v>
      </c>
      <c r="E2397" s="16">
        <v>7.5</v>
      </c>
      <c r="F2397" s="7">
        <f t="shared" si="3"/>
        <v>92.5</v>
      </c>
      <c r="G2397" s="17" t="s">
        <v>3113</v>
      </c>
    </row>
    <row r="2398">
      <c r="A2398" s="12">
        <v>991.0</v>
      </c>
      <c r="B2398" s="17" t="s">
        <v>5625</v>
      </c>
      <c r="C2398" s="17" t="s">
        <v>5626</v>
      </c>
      <c r="D2398" s="17" t="s">
        <v>5627</v>
      </c>
      <c r="E2398" s="16">
        <v>7.5</v>
      </c>
      <c r="F2398" s="7">
        <f t="shared" si="3"/>
        <v>92.5</v>
      </c>
      <c r="G2398" s="17" t="s">
        <v>3113</v>
      </c>
    </row>
    <row r="2399">
      <c r="A2399" s="12">
        <v>992.0</v>
      </c>
      <c r="B2399" s="17" t="s">
        <v>5628</v>
      </c>
      <c r="C2399" s="17" t="s">
        <v>5629</v>
      </c>
      <c r="D2399" s="17" t="s">
        <v>5630</v>
      </c>
      <c r="E2399" s="16">
        <v>7.5</v>
      </c>
      <c r="F2399" s="7">
        <f t="shared" si="3"/>
        <v>92.5</v>
      </c>
      <c r="G2399" s="17" t="s">
        <v>3113</v>
      </c>
    </row>
    <row r="2400">
      <c r="A2400" s="12">
        <v>993.0</v>
      </c>
      <c r="B2400" s="17" t="s">
        <v>5631</v>
      </c>
      <c r="C2400" s="17" t="s">
        <v>5632</v>
      </c>
      <c r="D2400" s="17" t="s">
        <v>5633</v>
      </c>
      <c r="E2400" s="16">
        <v>7.5</v>
      </c>
      <c r="F2400" s="7">
        <f t="shared" si="3"/>
        <v>92.5</v>
      </c>
      <c r="G2400" s="17" t="s">
        <v>3113</v>
      </c>
    </row>
    <row r="2401">
      <c r="A2401" s="12">
        <v>994.0</v>
      </c>
      <c r="B2401" s="17" t="s">
        <v>5634</v>
      </c>
      <c r="C2401" s="17" t="s">
        <v>5635</v>
      </c>
      <c r="D2401" s="17" t="s">
        <v>5636</v>
      </c>
      <c r="E2401" s="16">
        <v>7.5</v>
      </c>
      <c r="F2401" s="7">
        <f t="shared" si="3"/>
        <v>92.5</v>
      </c>
      <c r="G2401" s="17" t="s">
        <v>3113</v>
      </c>
    </row>
    <row r="2402">
      <c r="A2402" s="12">
        <v>995.0</v>
      </c>
      <c r="B2402" s="17" t="s">
        <v>5637</v>
      </c>
      <c r="C2402" s="17" t="s">
        <v>5638</v>
      </c>
      <c r="D2402" s="17" t="s">
        <v>5639</v>
      </c>
      <c r="E2402" s="16">
        <v>7.5</v>
      </c>
      <c r="F2402" s="7">
        <f t="shared" si="3"/>
        <v>92.5</v>
      </c>
      <c r="G2402" s="17" t="s">
        <v>3113</v>
      </c>
    </row>
    <row r="2403">
      <c r="A2403" s="12">
        <v>996.0</v>
      </c>
      <c r="B2403" s="17" t="s">
        <v>5640</v>
      </c>
      <c r="C2403" s="17" t="s">
        <v>5641</v>
      </c>
      <c r="D2403" s="17" t="s">
        <v>5642</v>
      </c>
      <c r="E2403" s="16">
        <v>7.5</v>
      </c>
      <c r="F2403" s="7">
        <f t="shared" si="3"/>
        <v>92.5</v>
      </c>
      <c r="G2403" s="17" t="s">
        <v>3113</v>
      </c>
    </row>
    <row r="2404">
      <c r="A2404" s="12">
        <v>997.0</v>
      </c>
      <c r="B2404" s="17" t="s">
        <v>5643</v>
      </c>
      <c r="C2404" s="17" t="s">
        <v>5644</v>
      </c>
      <c r="D2404" s="17" t="s">
        <v>5645</v>
      </c>
      <c r="E2404" s="16">
        <v>7.5</v>
      </c>
      <c r="F2404" s="7">
        <f t="shared" si="3"/>
        <v>92.5</v>
      </c>
      <c r="G2404" s="17" t="s">
        <v>3113</v>
      </c>
    </row>
    <row r="2405">
      <c r="A2405" s="12">
        <v>998.0</v>
      </c>
      <c r="B2405" s="17" t="s">
        <v>5646</v>
      </c>
      <c r="C2405" s="17" t="s">
        <v>5647</v>
      </c>
      <c r="D2405" s="17" t="s">
        <v>5648</v>
      </c>
      <c r="E2405" s="16">
        <v>7.5</v>
      </c>
      <c r="F2405" s="7">
        <f t="shared" si="3"/>
        <v>92.5</v>
      </c>
      <c r="G2405" s="17" t="s">
        <v>3113</v>
      </c>
    </row>
    <row r="2406">
      <c r="A2406" s="12">
        <v>999.0</v>
      </c>
      <c r="B2406" s="17" t="s">
        <v>5649</v>
      </c>
      <c r="C2406" s="17" t="s">
        <v>5650</v>
      </c>
      <c r="D2406" s="17" t="s">
        <v>5651</v>
      </c>
      <c r="E2406" s="16">
        <v>7.5</v>
      </c>
      <c r="F2406" s="7">
        <f t="shared" si="3"/>
        <v>92.5</v>
      </c>
      <c r="G2406" s="17" t="s">
        <v>3113</v>
      </c>
    </row>
    <row r="2407">
      <c r="A2407" s="12">
        <v>1000.0</v>
      </c>
      <c r="B2407" s="17" t="s">
        <v>5652</v>
      </c>
      <c r="C2407" s="17" t="s">
        <v>5653</v>
      </c>
      <c r="D2407" s="17" t="s">
        <v>5654</v>
      </c>
      <c r="E2407" s="16">
        <v>7.5</v>
      </c>
      <c r="F2407" s="7">
        <f t="shared" si="3"/>
        <v>92.5</v>
      </c>
      <c r="G2407" s="17" t="s">
        <v>3113</v>
      </c>
    </row>
    <row r="2408">
      <c r="A2408" s="12">
        <v>1001.0</v>
      </c>
      <c r="B2408" s="17" t="s">
        <v>5655</v>
      </c>
      <c r="C2408" s="17" t="s">
        <v>5656</v>
      </c>
      <c r="D2408" s="17" t="s">
        <v>5648</v>
      </c>
      <c r="E2408" s="16">
        <v>7.5</v>
      </c>
      <c r="F2408" s="7">
        <f t="shared" si="3"/>
        <v>92.5</v>
      </c>
      <c r="G2408" s="17" t="s">
        <v>3113</v>
      </c>
    </row>
    <row r="2409">
      <c r="A2409" s="12">
        <v>1002.0</v>
      </c>
      <c r="B2409" s="17" t="s">
        <v>5657</v>
      </c>
      <c r="C2409" s="17" t="s">
        <v>5658</v>
      </c>
      <c r="D2409" s="17" t="s">
        <v>5659</v>
      </c>
      <c r="E2409" s="16">
        <v>7.5</v>
      </c>
      <c r="F2409" s="7">
        <f t="shared" si="3"/>
        <v>92.5</v>
      </c>
      <c r="G2409" s="17" t="s">
        <v>3113</v>
      </c>
    </row>
    <row r="2410">
      <c r="A2410" s="12">
        <v>1003.0</v>
      </c>
      <c r="B2410" s="17" t="s">
        <v>5660</v>
      </c>
      <c r="C2410" s="17" t="s">
        <v>5661</v>
      </c>
      <c r="D2410" s="17" t="s">
        <v>5662</v>
      </c>
      <c r="E2410" s="16">
        <v>7.5</v>
      </c>
      <c r="F2410" s="7">
        <f t="shared" si="3"/>
        <v>92.5</v>
      </c>
      <c r="G2410" s="17" t="s">
        <v>3113</v>
      </c>
    </row>
    <row r="2411">
      <c r="A2411" s="12">
        <v>1004.0</v>
      </c>
      <c r="B2411" s="17" t="s">
        <v>5663</v>
      </c>
      <c r="C2411" s="17" t="s">
        <v>5664</v>
      </c>
      <c r="D2411" s="17" t="s">
        <v>5665</v>
      </c>
      <c r="E2411" s="16">
        <v>7.5</v>
      </c>
      <c r="F2411" s="7">
        <f t="shared" si="3"/>
        <v>92.5</v>
      </c>
      <c r="G2411" s="17" t="s">
        <v>3113</v>
      </c>
    </row>
    <row r="2412">
      <c r="A2412" s="12">
        <v>1005.0</v>
      </c>
      <c r="B2412" s="17" t="s">
        <v>5666</v>
      </c>
      <c r="C2412" s="17" t="s">
        <v>5667</v>
      </c>
      <c r="D2412" s="17" t="s">
        <v>5668</v>
      </c>
      <c r="E2412" s="16">
        <v>7.5</v>
      </c>
      <c r="F2412" s="7">
        <f t="shared" si="3"/>
        <v>92.5</v>
      </c>
      <c r="G2412" s="17" t="s">
        <v>3113</v>
      </c>
    </row>
    <row r="2413">
      <c r="A2413" s="12">
        <v>1006.0</v>
      </c>
      <c r="B2413" s="17" t="s">
        <v>5669</v>
      </c>
      <c r="C2413" s="17" t="s">
        <v>5670</v>
      </c>
      <c r="D2413" s="17" t="s">
        <v>5671</v>
      </c>
      <c r="E2413" s="16">
        <v>7.5</v>
      </c>
      <c r="F2413" s="7">
        <f t="shared" si="3"/>
        <v>92.5</v>
      </c>
      <c r="G2413" s="17" t="s">
        <v>3113</v>
      </c>
    </row>
    <row r="2414">
      <c r="A2414" s="12">
        <v>1007.0</v>
      </c>
      <c r="B2414" s="17" t="s">
        <v>5672</v>
      </c>
      <c r="C2414" s="17" t="s">
        <v>5673</v>
      </c>
      <c r="D2414" s="17" t="s">
        <v>5665</v>
      </c>
      <c r="E2414" s="16">
        <v>7.5</v>
      </c>
      <c r="F2414" s="7">
        <f t="shared" si="3"/>
        <v>92.5</v>
      </c>
      <c r="G2414" s="17" t="s">
        <v>3113</v>
      </c>
    </row>
    <row r="2415">
      <c r="A2415" s="12">
        <v>1008.0</v>
      </c>
      <c r="B2415" s="17" t="s">
        <v>5674</v>
      </c>
      <c r="C2415" s="17" t="s">
        <v>5675</v>
      </c>
      <c r="D2415" s="17" t="s">
        <v>5676</v>
      </c>
      <c r="E2415" s="16">
        <v>7.5</v>
      </c>
      <c r="F2415" s="7">
        <f t="shared" si="3"/>
        <v>92.5</v>
      </c>
      <c r="G2415" s="17" t="s">
        <v>3113</v>
      </c>
    </row>
    <row r="2416">
      <c r="A2416" s="12">
        <v>1009.0</v>
      </c>
      <c r="B2416" s="17" t="s">
        <v>5677</v>
      </c>
      <c r="C2416" s="17" t="s">
        <v>5678</v>
      </c>
      <c r="D2416" s="17" t="s">
        <v>5679</v>
      </c>
      <c r="E2416" s="16">
        <v>7.5</v>
      </c>
      <c r="F2416" s="7">
        <f t="shared" si="3"/>
        <v>92.5</v>
      </c>
      <c r="G2416" s="17" t="s">
        <v>3113</v>
      </c>
    </row>
    <row r="2417">
      <c r="A2417" s="12">
        <v>1010.0</v>
      </c>
      <c r="B2417" s="17" t="s">
        <v>5680</v>
      </c>
      <c r="C2417" s="17" t="s">
        <v>5681</v>
      </c>
      <c r="D2417" s="17" t="s">
        <v>5682</v>
      </c>
      <c r="E2417" s="16">
        <v>7.5</v>
      </c>
      <c r="F2417" s="7">
        <f t="shared" si="3"/>
        <v>92.5</v>
      </c>
      <c r="G2417" s="17" t="s">
        <v>3113</v>
      </c>
    </row>
    <row r="2418">
      <c r="A2418" s="12">
        <v>1011.0</v>
      </c>
      <c r="B2418" s="17" t="s">
        <v>5683</v>
      </c>
      <c r="C2418" s="17" t="s">
        <v>5684</v>
      </c>
      <c r="D2418" s="17" t="s">
        <v>5685</v>
      </c>
      <c r="E2418" s="16">
        <v>7.5</v>
      </c>
      <c r="F2418" s="7">
        <f t="shared" si="3"/>
        <v>92.5</v>
      </c>
      <c r="G2418" s="17" t="s">
        <v>3113</v>
      </c>
    </row>
    <row r="2419">
      <c r="A2419" s="12">
        <v>1012.0</v>
      </c>
      <c r="B2419" s="17" t="s">
        <v>5686</v>
      </c>
      <c r="C2419" s="17" t="s">
        <v>5687</v>
      </c>
      <c r="D2419" s="17" t="s">
        <v>5688</v>
      </c>
      <c r="E2419" s="16">
        <v>7.5</v>
      </c>
      <c r="F2419" s="7">
        <f t="shared" si="3"/>
        <v>92.5</v>
      </c>
      <c r="G2419" s="17" t="s">
        <v>3113</v>
      </c>
    </row>
    <row r="2420">
      <c r="A2420" s="12">
        <v>1013.0</v>
      </c>
      <c r="B2420" s="17" t="s">
        <v>5689</v>
      </c>
      <c r="C2420" s="17" t="s">
        <v>5690</v>
      </c>
      <c r="D2420" s="17" t="s">
        <v>5691</v>
      </c>
      <c r="E2420" s="16">
        <v>7.5</v>
      </c>
      <c r="F2420" s="7">
        <f t="shared" si="3"/>
        <v>92.5</v>
      </c>
      <c r="G2420" s="17" t="s">
        <v>3113</v>
      </c>
    </row>
    <row r="2421">
      <c r="A2421" s="12">
        <v>1014.0</v>
      </c>
      <c r="B2421" s="17" t="s">
        <v>5692</v>
      </c>
      <c r="C2421" s="17" t="s">
        <v>5693</v>
      </c>
      <c r="D2421" s="17" t="s">
        <v>5694</v>
      </c>
      <c r="E2421" s="16">
        <v>7.5</v>
      </c>
      <c r="F2421" s="7">
        <f t="shared" si="3"/>
        <v>92.5</v>
      </c>
      <c r="G2421" s="17" t="s">
        <v>3113</v>
      </c>
    </row>
    <row r="2422">
      <c r="A2422" s="12">
        <v>1015.0</v>
      </c>
      <c r="B2422" s="17" t="s">
        <v>5695</v>
      </c>
      <c r="C2422" s="17" t="s">
        <v>5696</v>
      </c>
      <c r="D2422" s="17" t="s">
        <v>5697</v>
      </c>
      <c r="E2422" s="16">
        <v>7.5</v>
      </c>
      <c r="F2422" s="7">
        <f t="shared" si="3"/>
        <v>92.5</v>
      </c>
      <c r="G2422" s="17" t="s">
        <v>3113</v>
      </c>
    </row>
    <row r="2423">
      <c r="A2423" s="12">
        <v>1016.0</v>
      </c>
      <c r="B2423" s="17" t="s">
        <v>5698</v>
      </c>
      <c r="C2423" s="17" t="s">
        <v>5699</v>
      </c>
      <c r="D2423" s="17" t="s">
        <v>5700</v>
      </c>
      <c r="E2423" s="16">
        <v>7.5</v>
      </c>
      <c r="F2423" s="7">
        <f t="shared" si="3"/>
        <v>92.5</v>
      </c>
      <c r="G2423" s="17" t="s">
        <v>3113</v>
      </c>
    </row>
    <row r="2424">
      <c r="A2424" s="12">
        <v>1017.0</v>
      </c>
      <c r="B2424" s="17" t="s">
        <v>5701</v>
      </c>
      <c r="C2424" s="17" t="s">
        <v>5702</v>
      </c>
      <c r="D2424" s="17" t="s">
        <v>5703</v>
      </c>
      <c r="E2424" s="16">
        <v>7.5</v>
      </c>
      <c r="F2424" s="7">
        <f t="shared" si="3"/>
        <v>92.5</v>
      </c>
      <c r="G2424" s="17" t="s">
        <v>3113</v>
      </c>
    </row>
    <row r="2425">
      <c r="A2425" s="12">
        <v>1018.0</v>
      </c>
      <c r="B2425" s="17" t="s">
        <v>5704</v>
      </c>
      <c r="C2425" s="17" t="s">
        <v>5705</v>
      </c>
      <c r="D2425" s="17" t="s">
        <v>5706</v>
      </c>
      <c r="E2425" s="16">
        <v>7.5</v>
      </c>
      <c r="F2425" s="7">
        <f t="shared" si="3"/>
        <v>92.5</v>
      </c>
      <c r="G2425" s="17" t="s">
        <v>3113</v>
      </c>
    </row>
    <row r="2426">
      <c r="A2426" s="12">
        <v>1019.0</v>
      </c>
      <c r="B2426" s="17" t="s">
        <v>5707</v>
      </c>
      <c r="C2426" s="17" t="s">
        <v>5708</v>
      </c>
      <c r="D2426" s="17" t="s">
        <v>5709</v>
      </c>
      <c r="E2426" s="16">
        <v>7.5</v>
      </c>
      <c r="F2426" s="7">
        <f t="shared" si="3"/>
        <v>92.5</v>
      </c>
      <c r="G2426" s="17" t="s">
        <v>3113</v>
      </c>
    </row>
    <row r="2427">
      <c r="A2427" s="12">
        <v>1020.0</v>
      </c>
      <c r="B2427" s="17" t="s">
        <v>5710</v>
      </c>
      <c r="C2427" s="17" t="s">
        <v>5711</v>
      </c>
      <c r="D2427" s="17" t="s">
        <v>5712</v>
      </c>
      <c r="E2427" s="16">
        <v>7.5</v>
      </c>
      <c r="F2427" s="7">
        <f t="shared" si="3"/>
        <v>92.5</v>
      </c>
      <c r="G2427" s="17" t="s">
        <v>3113</v>
      </c>
    </row>
    <row r="2428">
      <c r="A2428" s="12">
        <v>1021.0</v>
      </c>
      <c r="B2428" s="17" t="s">
        <v>5713</v>
      </c>
      <c r="C2428" s="17" t="s">
        <v>5714</v>
      </c>
      <c r="D2428" s="17" t="s">
        <v>5715</v>
      </c>
      <c r="E2428" s="16">
        <v>7.5</v>
      </c>
      <c r="F2428" s="7">
        <f t="shared" si="3"/>
        <v>92.5</v>
      </c>
      <c r="G2428" s="17" t="s">
        <v>3113</v>
      </c>
    </row>
    <row r="2429">
      <c r="A2429" s="12">
        <v>1022.0</v>
      </c>
      <c r="B2429" s="17" t="s">
        <v>5716</v>
      </c>
      <c r="C2429" s="17" t="s">
        <v>5717</v>
      </c>
      <c r="D2429" s="17" t="s">
        <v>5718</v>
      </c>
      <c r="E2429" s="16">
        <v>7.5</v>
      </c>
      <c r="F2429" s="7">
        <f t="shared" si="3"/>
        <v>92.5</v>
      </c>
      <c r="G2429" s="17" t="s">
        <v>3113</v>
      </c>
    </row>
    <row r="2430">
      <c r="A2430" s="12">
        <v>1023.0</v>
      </c>
      <c r="B2430" s="17" t="s">
        <v>5719</v>
      </c>
      <c r="C2430" s="17" t="s">
        <v>5720</v>
      </c>
      <c r="D2430" s="17" t="s">
        <v>5721</v>
      </c>
      <c r="E2430" s="16">
        <v>7.5</v>
      </c>
      <c r="F2430" s="7">
        <f t="shared" si="3"/>
        <v>92.5</v>
      </c>
      <c r="G2430" s="17" t="s">
        <v>3113</v>
      </c>
    </row>
    <row r="2431">
      <c r="A2431" s="12">
        <v>1024.0</v>
      </c>
      <c r="B2431" s="17" t="s">
        <v>5722</v>
      </c>
      <c r="C2431" s="17" t="s">
        <v>5723</v>
      </c>
      <c r="D2431" s="17" t="s">
        <v>5724</v>
      </c>
      <c r="E2431" s="16">
        <v>7.5</v>
      </c>
      <c r="F2431" s="7">
        <f t="shared" si="3"/>
        <v>92.5</v>
      </c>
      <c r="G2431" s="17" t="s">
        <v>3113</v>
      </c>
    </row>
    <row r="2432">
      <c r="A2432" s="12">
        <v>1025.0</v>
      </c>
      <c r="B2432" s="17" t="s">
        <v>5725</v>
      </c>
      <c r="C2432" s="17" t="s">
        <v>5726</v>
      </c>
      <c r="D2432" s="17" t="s">
        <v>5727</v>
      </c>
      <c r="E2432" s="16">
        <v>7.5</v>
      </c>
      <c r="F2432" s="7">
        <f t="shared" si="3"/>
        <v>92.5</v>
      </c>
      <c r="G2432" s="17" t="s">
        <v>3113</v>
      </c>
    </row>
    <row r="2433">
      <c r="A2433" s="12">
        <v>1026.0</v>
      </c>
      <c r="B2433" s="17" t="s">
        <v>5728</v>
      </c>
      <c r="C2433" s="17" t="s">
        <v>5729</v>
      </c>
      <c r="D2433" s="17" t="s">
        <v>5730</v>
      </c>
      <c r="E2433" s="16">
        <v>7.5</v>
      </c>
      <c r="F2433" s="7">
        <f t="shared" si="3"/>
        <v>92.5</v>
      </c>
      <c r="G2433" s="17" t="s">
        <v>3113</v>
      </c>
    </row>
    <row r="2434">
      <c r="A2434" s="12">
        <v>1027.0</v>
      </c>
      <c r="B2434" s="17" t="s">
        <v>5731</v>
      </c>
      <c r="C2434" s="17" t="s">
        <v>5732</v>
      </c>
      <c r="D2434" s="17" t="s">
        <v>5733</v>
      </c>
      <c r="E2434" s="16">
        <v>7.5</v>
      </c>
      <c r="F2434" s="7">
        <f t="shared" si="3"/>
        <v>92.5</v>
      </c>
      <c r="G2434" s="17" t="s">
        <v>3113</v>
      </c>
    </row>
    <row r="2435">
      <c r="A2435" s="12">
        <v>1028.0</v>
      </c>
      <c r="B2435" s="17" t="s">
        <v>5734</v>
      </c>
      <c r="C2435" s="17" t="s">
        <v>5735</v>
      </c>
      <c r="D2435" s="17" t="s">
        <v>5736</v>
      </c>
      <c r="E2435" s="16">
        <v>7.5</v>
      </c>
      <c r="F2435" s="7">
        <f t="shared" si="3"/>
        <v>92.5</v>
      </c>
      <c r="G2435" s="17" t="s">
        <v>3113</v>
      </c>
    </row>
    <row r="2436">
      <c r="A2436" s="12">
        <v>1029.0</v>
      </c>
      <c r="B2436" s="17" t="s">
        <v>5737</v>
      </c>
      <c r="C2436" s="17" t="s">
        <v>5738</v>
      </c>
      <c r="D2436" s="17" t="s">
        <v>5739</v>
      </c>
      <c r="E2436" s="16">
        <v>7.5</v>
      </c>
      <c r="F2436" s="7">
        <f t="shared" si="3"/>
        <v>92.5</v>
      </c>
      <c r="G2436" s="17" t="s">
        <v>3113</v>
      </c>
    </row>
    <row r="2437">
      <c r="A2437" s="12">
        <v>1030.0</v>
      </c>
      <c r="B2437" s="17" t="s">
        <v>5740</v>
      </c>
      <c r="C2437" s="17" t="s">
        <v>5741</v>
      </c>
      <c r="D2437" s="17" t="s">
        <v>5742</v>
      </c>
      <c r="E2437" s="16">
        <v>7.5</v>
      </c>
      <c r="F2437" s="7">
        <f t="shared" si="3"/>
        <v>92.5</v>
      </c>
      <c r="G2437" s="17" t="s">
        <v>3113</v>
      </c>
    </row>
    <row r="2438">
      <c r="A2438" s="12">
        <v>1031.0</v>
      </c>
      <c r="B2438" s="17" t="s">
        <v>5743</v>
      </c>
      <c r="C2438" s="17" t="s">
        <v>5744</v>
      </c>
      <c r="D2438" s="17" t="s">
        <v>5745</v>
      </c>
      <c r="E2438" s="16">
        <v>7.5</v>
      </c>
      <c r="F2438" s="7">
        <f t="shared" si="3"/>
        <v>92.5</v>
      </c>
      <c r="G2438" s="17" t="s">
        <v>3113</v>
      </c>
    </row>
    <row r="2439">
      <c r="A2439" s="12">
        <v>1032.0</v>
      </c>
      <c r="B2439" s="17" t="s">
        <v>5746</v>
      </c>
      <c r="C2439" s="17" t="s">
        <v>5747</v>
      </c>
      <c r="D2439" s="17" t="s">
        <v>5748</v>
      </c>
      <c r="E2439" s="16">
        <v>7.5</v>
      </c>
      <c r="F2439" s="7">
        <f t="shared" si="3"/>
        <v>92.5</v>
      </c>
      <c r="G2439" s="17" t="s">
        <v>3113</v>
      </c>
    </row>
    <row r="2440">
      <c r="A2440" s="12">
        <v>1033.0</v>
      </c>
      <c r="B2440" s="17" t="s">
        <v>5749</v>
      </c>
      <c r="C2440" s="17" t="s">
        <v>5750</v>
      </c>
      <c r="D2440" s="17" t="s">
        <v>5751</v>
      </c>
      <c r="E2440" s="16">
        <v>7.5</v>
      </c>
      <c r="F2440" s="7">
        <f t="shared" si="3"/>
        <v>92.5</v>
      </c>
      <c r="G2440" s="17" t="s">
        <v>3113</v>
      </c>
    </row>
    <row r="2441">
      <c r="A2441" s="12">
        <v>1034.0</v>
      </c>
      <c r="B2441" s="17" t="s">
        <v>5752</v>
      </c>
      <c r="C2441" s="17" t="s">
        <v>5753</v>
      </c>
      <c r="D2441" s="17" t="s">
        <v>5754</v>
      </c>
      <c r="E2441" s="16">
        <v>7.5</v>
      </c>
      <c r="F2441" s="7">
        <f t="shared" si="3"/>
        <v>92.5</v>
      </c>
      <c r="G2441" s="17" t="s">
        <v>3113</v>
      </c>
    </row>
    <row r="2442">
      <c r="A2442" s="12">
        <v>1035.0</v>
      </c>
      <c r="B2442" s="17" t="s">
        <v>5755</v>
      </c>
      <c r="C2442" s="17" t="s">
        <v>5756</v>
      </c>
      <c r="D2442" s="17" t="s">
        <v>5757</v>
      </c>
      <c r="E2442" s="16">
        <v>7.5</v>
      </c>
      <c r="F2442" s="7">
        <f t="shared" si="3"/>
        <v>92.5</v>
      </c>
      <c r="G2442" s="17" t="s">
        <v>3113</v>
      </c>
    </row>
    <row r="2443">
      <c r="A2443" s="12">
        <v>1036.0</v>
      </c>
      <c r="B2443" s="17" t="s">
        <v>5758</v>
      </c>
      <c r="C2443" s="17" t="s">
        <v>5759</v>
      </c>
      <c r="D2443" s="17" t="s">
        <v>5760</v>
      </c>
      <c r="E2443" s="16">
        <v>7.5</v>
      </c>
      <c r="F2443" s="7">
        <f t="shared" si="3"/>
        <v>92.5</v>
      </c>
      <c r="G2443" s="17" t="s">
        <v>3113</v>
      </c>
    </row>
    <row r="2444">
      <c r="A2444" s="12">
        <v>1037.0</v>
      </c>
      <c r="B2444" s="17" t="s">
        <v>5761</v>
      </c>
      <c r="C2444" s="17" t="s">
        <v>5762</v>
      </c>
      <c r="D2444" s="17" t="s">
        <v>5763</v>
      </c>
      <c r="E2444" s="16">
        <v>7.5</v>
      </c>
      <c r="F2444" s="7">
        <f t="shared" si="3"/>
        <v>92.5</v>
      </c>
      <c r="G2444" s="17" t="s">
        <v>3113</v>
      </c>
    </row>
    <row r="2445">
      <c r="A2445" s="12">
        <v>1038.0</v>
      </c>
      <c r="B2445" s="17" t="s">
        <v>5764</v>
      </c>
      <c r="C2445" s="17" t="s">
        <v>5765</v>
      </c>
      <c r="D2445" s="17" t="s">
        <v>5766</v>
      </c>
      <c r="E2445" s="16">
        <v>7.5</v>
      </c>
      <c r="F2445" s="7">
        <f t="shared" si="3"/>
        <v>92.5</v>
      </c>
      <c r="G2445" s="17" t="s">
        <v>3113</v>
      </c>
    </row>
    <row r="2446">
      <c r="A2446" s="12">
        <v>1039.0</v>
      </c>
      <c r="B2446" s="17" t="s">
        <v>5767</v>
      </c>
      <c r="C2446" s="17" t="s">
        <v>5768</v>
      </c>
      <c r="D2446" s="17" t="s">
        <v>5769</v>
      </c>
      <c r="E2446" s="16">
        <v>7.5</v>
      </c>
      <c r="F2446" s="7">
        <f t="shared" si="3"/>
        <v>92.5</v>
      </c>
      <c r="G2446" s="17" t="s">
        <v>3113</v>
      </c>
    </row>
    <row r="2447">
      <c r="A2447" s="12">
        <v>1040.0</v>
      </c>
      <c r="B2447" s="17" t="s">
        <v>5770</v>
      </c>
      <c r="C2447" s="17" t="s">
        <v>5771</v>
      </c>
      <c r="D2447" s="17" t="s">
        <v>5772</v>
      </c>
      <c r="E2447" s="16">
        <v>7.5</v>
      </c>
      <c r="F2447" s="7">
        <f t="shared" si="3"/>
        <v>92.5</v>
      </c>
      <c r="G2447" s="17" t="s">
        <v>3113</v>
      </c>
    </row>
    <row r="2448">
      <c r="A2448" s="12">
        <v>1041.0</v>
      </c>
      <c r="B2448" s="17" t="s">
        <v>5773</v>
      </c>
      <c r="C2448" s="17" t="s">
        <v>5774</v>
      </c>
      <c r="D2448" s="17" t="s">
        <v>5775</v>
      </c>
      <c r="E2448" s="16">
        <v>7.5</v>
      </c>
      <c r="F2448" s="7">
        <f t="shared" si="3"/>
        <v>92.5</v>
      </c>
      <c r="G2448" s="17" t="s">
        <v>3113</v>
      </c>
    </row>
    <row r="2449">
      <c r="A2449" s="12">
        <v>1042.0</v>
      </c>
      <c r="B2449" s="17" t="s">
        <v>5776</v>
      </c>
      <c r="C2449" s="17" t="s">
        <v>5777</v>
      </c>
      <c r="D2449" s="17" t="s">
        <v>5778</v>
      </c>
      <c r="E2449" s="16">
        <v>7.5</v>
      </c>
      <c r="F2449" s="7">
        <f t="shared" si="3"/>
        <v>92.5</v>
      </c>
      <c r="G2449" s="17" t="s">
        <v>3113</v>
      </c>
    </row>
    <row r="2450">
      <c r="A2450" s="12">
        <v>1043.0</v>
      </c>
      <c r="B2450" s="17" t="s">
        <v>5779</v>
      </c>
      <c r="C2450" s="17" t="s">
        <v>5780</v>
      </c>
      <c r="D2450" s="17" t="s">
        <v>5781</v>
      </c>
      <c r="E2450" s="16">
        <v>7.5</v>
      </c>
      <c r="F2450" s="7">
        <f t="shared" si="3"/>
        <v>92.5</v>
      </c>
      <c r="G2450" s="17" t="s">
        <v>3113</v>
      </c>
    </row>
    <row r="2451">
      <c r="A2451" s="12">
        <v>1044.0</v>
      </c>
      <c r="B2451" s="17" t="s">
        <v>5782</v>
      </c>
      <c r="C2451" s="17" t="s">
        <v>5783</v>
      </c>
      <c r="D2451" s="17" t="s">
        <v>5784</v>
      </c>
      <c r="E2451" s="16">
        <v>7.5</v>
      </c>
      <c r="F2451" s="7">
        <f t="shared" si="3"/>
        <v>92.5</v>
      </c>
      <c r="G2451" s="17" t="s">
        <v>3113</v>
      </c>
    </row>
    <row r="2452">
      <c r="A2452" s="12">
        <v>1045.0</v>
      </c>
      <c r="B2452" s="17" t="s">
        <v>5785</v>
      </c>
      <c r="C2452" s="17" t="s">
        <v>5786</v>
      </c>
      <c r="D2452" s="17" t="s">
        <v>5787</v>
      </c>
      <c r="E2452" s="16">
        <v>7.5</v>
      </c>
      <c r="F2452" s="7">
        <f t="shared" si="3"/>
        <v>92.5</v>
      </c>
      <c r="G2452" s="17" t="s">
        <v>3113</v>
      </c>
    </row>
    <row r="2453">
      <c r="A2453" s="12">
        <v>1046.0</v>
      </c>
      <c r="B2453" s="17" t="s">
        <v>5788</v>
      </c>
      <c r="C2453" s="17" t="s">
        <v>5789</v>
      </c>
      <c r="D2453" s="17" t="s">
        <v>5790</v>
      </c>
      <c r="E2453" s="16">
        <v>7.5</v>
      </c>
      <c r="F2453" s="7">
        <f t="shared" si="3"/>
        <v>92.5</v>
      </c>
      <c r="G2453" s="17" t="s">
        <v>3113</v>
      </c>
    </row>
    <row r="2454">
      <c r="A2454" s="12">
        <v>1047.0</v>
      </c>
      <c r="B2454" s="17" t="s">
        <v>5791</v>
      </c>
      <c r="C2454" s="17" t="s">
        <v>5792</v>
      </c>
      <c r="D2454" s="17" t="s">
        <v>5793</v>
      </c>
      <c r="E2454" s="16">
        <v>7.5</v>
      </c>
      <c r="F2454" s="7">
        <f t="shared" si="3"/>
        <v>92.5</v>
      </c>
      <c r="G2454" s="17" t="s">
        <v>3113</v>
      </c>
    </row>
    <row r="2455">
      <c r="A2455" s="12">
        <v>1048.0</v>
      </c>
      <c r="B2455" s="17" t="s">
        <v>5794</v>
      </c>
      <c r="C2455" s="17" t="s">
        <v>5795</v>
      </c>
      <c r="D2455" s="17" t="s">
        <v>5796</v>
      </c>
      <c r="E2455" s="16">
        <v>7.5</v>
      </c>
      <c r="F2455" s="7">
        <f t="shared" si="3"/>
        <v>92.5</v>
      </c>
      <c r="G2455" s="17" t="s">
        <v>3113</v>
      </c>
    </row>
    <row r="2456">
      <c r="A2456" s="12">
        <v>1049.0</v>
      </c>
      <c r="B2456" s="17" t="s">
        <v>5797</v>
      </c>
      <c r="C2456" s="17" t="s">
        <v>5798</v>
      </c>
      <c r="D2456" s="17" t="s">
        <v>5799</v>
      </c>
      <c r="E2456" s="16">
        <v>7.5</v>
      </c>
      <c r="F2456" s="7">
        <f t="shared" si="3"/>
        <v>92.5</v>
      </c>
      <c r="G2456" s="17" t="s">
        <v>3113</v>
      </c>
    </row>
    <row r="2457">
      <c r="A2457" s="12">
        <v>1050.0</v>
      </c>
      <c r="B2457" s="17" t="s">
        <v>5800</v>
      </c>
      <c r="C2457" s="17" t="s">
        <v>5801</v>
      </c>
      <c r="D2457" s="17" t="s">
        <v>5802</v>
      </c>
      <c r="E2457" s="16">
        <v>7.5</v>
      </c>
      <c r="F2457" s="7">
        <f t="shared" si="3"/>
        <v>92.5</v>
      </c>
      <c r="G2457" s="17" t="s">
        <v>3113</v>
      </c>
    </row>
    <row r="2458">
      <c r="A2458" s="12">
        <v>1051.0</v>
      </c>
      <c r="B2458" s="17" t="s">
        <v>5803</v>
      </c>
      <c r="C2458" s="17" t="s">
        <v>5804</v>
      </c>
      <c r="D2458" s="17" t="s">
        <v>5805</v>
      </c>
      <c r="E2458" s="16">
        <v>7.5</v>
      </c>
      <c r="F2458" s="7">
        <f t="shared" si="3"/>
        <v>92.5</v>
      </c>
      <c r="G2458" s="17" t="s">
        <v>3113</v>
      </c>
    </row>
    <row r="2459">
      <c r="A2459" s="12">
        <v>1052.0</v>
      </c>
      <c r="B2459" s="17" t="s">
        <v>5806</v>
      </c>
      <c r="C2459" s="17" t="s">
        <v>5807</v>
      </c>
      <c r="D2459" s="17" t="s">
        <v>5808</v>
      </c>
      <c r="E2459" s="16">
        <v>7.5</v>
      </c>
      <c r="F2459" s="7">
        <f t="shared" si="3"/>
        <v>92.5</v>
      </c>
      <c r="G2459" s="17" t="s">
        <v>3113</v>
      </c>
    </row>
    <row r="2460">
      <c r="A2460" s="12">
        <v>1053.0</v>
      </c>
      <c r="B2460" s="17" t="s">
        <v>5809</v>
      </c>
      <c r="C2460" s="17" t="s">
        <v>5810</v>
      </c>
      <c r="D2460" s="17" t="s">
        <v>5811</v>
      </c>
      <c r="E2460" s="16">
        <v>7.5</v>
      </c>
      <c r="F2460" s="7">
        <f t="shared" si="3"/>
        <v>92.5</v>
      </c>
      <c r="G2460" s="17" t="s">
        <v>3113</v>
      </c>
    </row>
    <row r="2461">
      <c r="A2461" s="12">
        <v>1054.0</v>
      </c>
      <c r="B2461" s="17" t="s">
        <v>5812</v>
      </c>
      <c r="C2461" s="17" t="s">
        <v>5813</v>
      </c>
      <c r="D2461" s="17" t="s">
        <v>5814</v>
      </c>
      <c r="E2461" s="16">
        <v>7.5</v>
      </c>
      <c r="F2461" s="7">
        <f t="shared" si="3"/>
        <v>92.5</v>
      </c>
      <c r="G2461" s="17" t="s">
        <v>3113</v>
      </c>
    </row>
    <row r="2462">
      <c r="A2462" s="12">
        <v>1055.0</v>
      </c>
      <c r="B2462" s="17" t="s">
        <v>5815</v>
      </c>
      <c r="C2462" s="17" t="s">
        <v>5816</v>
      </c>
      <c r="D2462" s="17" t="s">
        <v>5817</v>
      </c>
      <c r="E2462" s="16">
        <v>7.5</v>
      </c>
      <c r="F2462" s="7">
        <f t="shared" si="3"/>
        <v>92.5</v>
      </c>
      <c r="G2462" s="17" t="s">
        <v>3113</v>
      </c>
    </row>
    <row r="2463">
      <c r="A2463" s="12">
        <v>1056.0</v>
      </c>
      <c r="B2463" s="17" t="s">
        <v>5818</v>
      </c>
      <c r="C2463" s="17" t="s">
        <v>5819</v>
      </c>
      <c r="D2463" s="17" t="s">
        <v>5820</v>
      </c>
      <c r="E2463" s="16">
        <v>7.5</v>
      </c>
      <c r="F2463" s="7">
        <f t="shared" si="3"/>
        <v>92.5</v>
      </c>
      <c r="G2463" s="17" t="s">
        <v>3113</v>
      </c>
    </row>
    <row r="2464">
      <c r="A2464" s="12">
        <v>1057.0</v>
      </c>
      <c r="B2464" s="17" t="s">
        <v>5821</v>
      </c>
      <c r="C2464" s="17" t="s">
        <v>5822</v>
      </c>
      <c r="D2464" s="17" t="s">
        <v>5823</v>
      </c>
      <c r="E2464" s="16">
        <v>7.5</v>
      </c>
      <c r="F2464" s="7">
        <f t="shared" si="3"/>
        <v>92.5</v>
      </c>
      <c r="G2464" s="17" t="s">
        <v>3113</v>
      </c>
    </row>
    <row r="2465">
      <c r="A2465" s="12">
        <v>1058.0</v>
      </c>
      <c r="B2465" s="17" t="s">
        <v>5824</v>
      </c>
      <c r="C2465" s="17" t="s">
        <v>5825</v>
      </c>
      <c r="D2465" s="17" t="s">
        <v>5826</v>
      </c>
      <c r="E2465" s="16">
        <v>7.5</v>
      </c>
      <c r="F2465" s="7">
        <f t="shared" si="3"/>
        <v>92.5</v>
      </c>
      <c r="G2465" s="17" t="s">
        <v>3113</v>
      </c>
    </row>
    <row r="2466">
      <c r="A2466" s="12">
        <v>1059.0</v>
      </c>
      <c r="B2466" s="17" t="s">
        <v>5827</v>
      </c>
      <c r="C2466" s="17" t="s">
        <v>5828</v>
      </c>
      <c r="D2466" s="17" t="s">
        <v>5829</v>
      </c>
      <c r="E2466" s="16">
        <v>7.5</v>
      </c>
      <c r="F2466" s="7">
        <f t="shared" si="3"/>
        <v>92.5</v>
      </c>
      <c r="G2466" s="17" t="s">
        <v>3113</v>
      </c>
    </row>
    <row r="2467">
      <c r="A2467" s="12">
        <v>1060.0</v>
      </c>
      <c r="B2467" s="17" t="s">
        <v>5830</v>
      </c>
      <c r="C2467" s="17" t="s">
        <v>5831</v>
      </c>
      <c r="D2467" s="17" t="s">
        <v>5832</v>
      </c>
      <c r="E2467" s="16">
        <v>7.5</v>
      </c>
      <c r="F2467" s="7">
        <f t="shared" si="3"/>
        <v>92.5</v>
      </c>
      <c r="G2467" s="17" t="s">
        <v>3113</v>
      </c>
    </row>
    <row r="2468">
      <c r="A2468" s="12">
        <v>1061.0</v>
      </c>
      <c r="B2468" s="17" t="s">
        <v>5833</v>
      </c>
      <c r="C2468" s="17" t="s">
        <v>5834</v>
      </c>
      <c r="D2468" s="17" t="s">
        <v>5835</v>
      </c>
      <c r="E2468" s="16">
        <v>7.5</v>
      </c>
      <c r="F2468" s="7">
        <f t="shared" si="3"/>
        <v>92.5</v>
      </c>
      <c r="G2468" s="17" t="s">
        <v>3113</v>
      </c>
    </row>
    <row r="2469">
      <c r="A2469" s="12">
        <v>1062.0</v>
      </c>
      <c r="B2469" s="17" t="s">
        <v>5836</v>
      </c>
      <c r="C2469" s="17" t="s">
        <v>5837</v>
      </c>
      <c r="D2469" s="17" t="s">
        <v>5835</v>
      </c>
      <c r="E2469" s="16">
        <v>7.5</v>
      </c>
      <c r="F2469" s="7">
        <f t="shared" si="3"/>
        <v>92.5</v>
      </c>
      <c r="G2469" s="17" t="s">
        <v>3113</v>
      </c>
    </row>
    <row r="2470">
      <c r="A2470" s="12">
        <v>1063.0</v>
      </c>
      <c r="B2470" s="17" t="s">
        <v>5838</v>
      </c>
      <c r="C2470" s="17" t="s">
        <v>5839</v>
      </c>
      <c r="D2470" s="17" t="s">
        <v>5840</v>
      </c>
      <c r="E2470" s="16">
        <v>7.5</v>
      </c>
      <c r="F2470" s="7">
        <f t="shared" si="3"/>
        <v>92.5</v>
      </c>
      <c r="G2470" s="17" t="s">
        <v>3113</v>
      </c>
    </row>
    <row r="2471">
      <c r="A2471" s="12">
        <v>1064.0</v>
      </c>
      <c r="B2471" s="17" t="s">
        <v>5841</v>
      </c>
      <c r="C2471" s="17" t="s">
        <v>5842</v>
      </c>
      <c r="D2471" s="17" t="s">
        <v>5843</v>
      </c>
      <c r="E2471" s="16">
        <v>7.5</v>
      </c>
      <c r="F2471" s="7">
        <f t="shared" si="3"/>
        <v>92.5</v>
      </c>
      <c r="G2471" s="17" t="s">
        <v>3113</v>
      </c>
    </row>
    <row r="2472">
      <c r="A2472" s="12">
        <v>1065.0</v>
      </c>
      <c r="B2472" s="17" t="s">
        <v>5844</v>
      </c>
      <c r="C2472" s="17" t="s">
        <v>5845</v>
      </c>
      <c r="D2472" s="17" t="s">
        <v>5843</v>
      </c>
      <c r="E2472" s="16">
        <v>7.5</v>
      </c>
      <c r="F2472" s="7">
        <f t="shared" si="3"/>
        <v>92.5</v>
      </c>
      <c r="G2472" s="17" t="s">
        <v>3113</v>
      </c>
    </row>
    <row r="2473">
      <c r="A2473" s="12">
        <v>1066.0</v>
      </c>
      <c r="B2473" s="17" t="s">
        <v>5846</v>
      </c>
      <c r="C2473" s="17" t="s">
        <v>5847</v>
      </c>
      <c r="D2473" s="17" t="s">
        <v>5848</v>
      </c>
      <c r="E2473" s="16">
        <v>7.5</v>
      </c>
      <c r="F2473" s="7">
        <f t="shared" si="3"/>
        <v>92.5</v>
      </c>
      <c r="G2473" s="17" t="s">
        <v>3113</v>
      </c>
    </row>
    <row r="2474">
      <c r="A2474" s="12">
        <v>1067.0</v>
      </c>
      <c r="B2474" s="17" t="s">
        <v>5849</v>
      </c>
      <c r="C2474" s="17" t="s">
        <v>5850</v>
      </c>
      <c r="D2474" s="17" t="s">
        <v>5851</v>
      </c>
      <c r="E2474" s="16">
        <v>7.5</v>
      </c>
      <c r="F2474" s="7">
        <f t="shared" si="3"/>
        <v>92.5</v>
      </c>
      <c r="G2474" s="17" t="s">
        <v>3113</v>
      </c>
    </row>
    <row r="2475">
      <c r="A2475" s="12">
        <v>1068.0</v>
      </c>
      <c r="B2475" s="17" t="s">
        <v>5852</v>
      </c>
      <c r="C2475" s="17" t="s">
        <v>5853</v>
      </c>
      <c r="D2475" s="17" t="s">
        <v>5854</v>
      </c>
      <c r="E2475" s="16">
        <v>7.5</v>
      </c>
      <c r="F2475" s="7">
        <f t="shared" si="3"/>
        <v>92.5</v>
      </c>
      <c r="G2475" s="17" t="s">
        <v>3113</v>
      </c>
    </row>
    <row r="2476">
      <c r="A2476" s="12">
        <v>1069.0</v>
      </c>
      <c r="B2476" s="17" t="s">
        <v>5855</v>
      </c>
      <c r="C2476" s="17" t="s">
        <v>5856</v>
      </c>
      <c r="D2476" s="17" t="s">
        <v>5857</v>
      </c>
      <c r="E2476" s="16">
        <v>7.5</v>
      </c>
      <c r="F2476" s="7">
        <f t="shared" si="3"/>
        <v>92.5</v>
      </c>
      <c r="G2476" s="17" t="s">
        <v>3113</v>
      </c>
    </row>
    <row r="2477">
      <c r="A2477" s="12">
        <v>1070.0</v>
      </c>
      <c r="B2477" s="17" t="s">
        <v>5858</v>
      </c>
      <c r="C2477" s="17" t="s">
        <v>5859</v>
      </c>
      <c r="D2477" s="17" t="s">
        <v>5860</v>
      </c>
      <c r="E2477" s="16">
        <v>7.5</v>
      </c>
      <c r="F2477" s="7">
        <f t="shared" si="3"/>
        <v>92.5</v>
      </c>
      <c r="G2477" s="17" t="s">
        <v>3113</v>
      </c>
    </row>
    <row r="2478">
      <c r="A2478" s="12">
        <v>1071.0</v>
      </c>
      <c r="B2478" s="17" t="s">
        <v>5861</v>
      </c>
      <c r="C2478" s="17" t="s">
        <v>5862</v>
      </c>
      <c r="D2478" s="17" t="s">
        <v>5860</v>
      </c>
      <c r="E2478" s="16">
        <v>7.5</v>
      </c>
      <c r="F2478" s="7">
        <f t="shared" si="3"/>
        <v>92.5</v>
      </c>
      <c r="G2478" s="17" t="s">
        <v>3113</v>
      </c>
    </row>
    <row r="2479">
      <c r="A2479" s="12">
        <v>1072.0</v>
      </c>
      <c r="B2479" s="17" t="s">
        <v>5863</v>
      </c>
      <c r="C2479" s="17" t="s">
        <v>5864</v>
      </c>
      <c r="D2479" s="17" t="s">
        <v>5865</v>
      </c>
      <c r="E2479" s="16">
        <v>7.5</v>
      </c>
      <c r="F2479" s="7">
        <f t="shared" si="3"/>
        <v>92.5</v>
      </c>
      <c r="G2479" s="17" t="s">
        <v>3113</v>
      </c>
    </row>
    <row r="2480">
      <c r="A2480" s="12">
        <v>1073.0</v>
      </c>
      <c r="B2480" s="17" t="s">
        <v>5866</v>
      </c>
      <c r="C2480" s="17" t="s">
        <v>5867</v>
      </c>
      <c r="D2480" s="17" t="s">
        <v>5868</v>
      </c>
      <c r="E2480" s="16">
        <v>7.5</v>
      </c>
      <c r="F2480" s="7">
        <f t="shared" si="3"/>
        <v>92.5</v>
      </c>
      <c r="G2480" s="17" t="s">
        <v>3113</v>
      </c>
    </row>
    <row r="2481">
      <c r="A2481" s="12">
        <v>1074.0</v>
      </c>
      <c r="B2481" s="17" t="s">
        <v>5869</v>
      </c>
      <c r="C2481" s="17" t="s">
        <v>5870</v>
      </c>
      <c r="D2481" s="17" t="s">
        <v>5871</v>
      </c>
      <c r="E2481" s="16">
        <v>7.5</v>
      </c>
      <c r="F2481" s="7">
        <f t="shared" si="3"/>
        <v>92.5</v>
      </c>
      <c r="G2481" s="17" t="s">
        <v>3113</v>
      </c>
    </row>
    <row r="2482">
      <c r="A2482" s="12">
        <v>1075.0</v>
      </c>
      <c r="B2482" s="17" t="s">
        <v>5872</v>
      </c>
      <c r="C2482" s="17" t="s">
        <v>5873</v>
      </c>
      <c r="D2482" s="17" t="s">
        <v>5874</v>
      </c>
      <c r="E2482" s="16">
        <v>7.5</v>
      </c>
      <c r="F2482" s="7">
        <f t="shared" si="3"/>
        <v>92.5</v>
      </c>
      <c r="G2482" s="17" t="s">
        <v>3113</v>
      </c>
    </row>
    <row r="2483">
      <c r="A2483" s="12">
        <v>1076.0</v>
      </c>
      <c r="B2483" s="17" t="s">
        <v>5875</v>
      </c>
      <c r="C2483" s="17" t="s">
        <v>5876</v>
      </c>
      <c r="D2483" s="17" t="s">
        <v>5874</v>
      </c>
      <c r="E2483" s="16">
        <v>7.5</v>
      </c>
      <c r="F2483" s="7">
        <f t="shared" si="3"/>
        <v>92.5</v>
      </c>
      <c r="G2483" s="17" t="s">
        <v>3113</v>
      </c>
    </row>
    <row r="2484">
      <c r="A2484" s="12">
        <v>1077.0</v>
      </c>
      <c r="B2484" s="17" t="s">
        <v>5877</v>
      </c>
      <c r="C2484" s="17" t="s">
        <v>5878</v>
      </c>
      <c r="D2484" s="17" t="s">
        <v>5879</v>
      </c>
      <c r="E2484" s="16">
        <v>7.5</v>
      </c>
      <c r="F2484" s="7">
        <f t="shared" si="3"/>
        <v>92.5</v>
      </c>
      <c r="G2484" s="17" t="s">
        <v>3113</v>
      </c>
    </row>
    <row r="2485">
      <c r="A2485" s="12">
        <v>1078.0</v>
      </c>
      <c r="B2485" s="17" t="s">
        <v>5880</v>
      </c>
      <c r="C2485" s="17" t="s">
        <v>5881</v>
      </c>
      <c r="D2485" s="17" t="s">
        <v>5882</v>
      </c>
      <c r="E2485" s="16">
        <v>7.5</v>
      </c>
      <c r="F2485" s="7">
        <f t="shared" si="3"/>
        <v>92.5</v>
      </c>
      <c r="G2485" s="17" t="s">
        <v>3113</v>
      </c>
    </row>
    <row r="2486">
      <c r="A2486" s="12">
        <v>1079.0</v>
      </c>
      <c r="B2486" s="17" t="s">
        <v>5880</v>
      </c>
      <c r="C2486" s="17" t="s">
        <v>5883</v>
      </c>
      <c r="D2486" s="17" t="s">
        <v>5882</v>
      </c>
      <c r="E2486" s="16">
        <v>7.5</v>
      </c>
      <c r="F2486" s="7">
        <f t="shared" si="3"/>
        <v>92.5</v>
      </c>
      <c r="G2486" s="17" t="s">
        <v>3113</v>
      </c>
    </row>
    <row r="2487">
      <c r="A2487" s="12">
        <v>1080.0</v>
      </c>
      <c r="B2487" s="17" t="s">
        <v>5884</v>
      </c>
      <c r="C2487" s="17" t="s">
        <v>5885</v>
      </c>
      <c r="D2487" s="17" t="s">
        <v>5886</v>
      </c>
      <c r="E2487" s="16">
        <v>7.5</v>
      </c>
      <c r="F2487" s="7">
        <f t="shared" si="3"/>
        <v>92.5</v>
      </c>
      <c r="G2487" s="17" t="s">
        <v>3113</v>
      </c>
    </row>
    <row r="2488">
      <c r="A2488" s="12">
        <v>1081.0</v>
      </c>
      <c r="B2488" s="17" t="s">
        <v>5887</v>
      </c>
      <c r="C2488" s="17" t="s">
        <v>5888</v>
      </c>
      <c r="D2488" s="17" t="s">
        <v>5889</v>
      </c>
      <c r="E2488" s="16">
        <v>7.5</v>
      </c>
      <c r="F2488" s="7">
        <f t="shared" si="3"/>
        <v>92.5</v>
      </c>
      <c r="G2488" s="17" t="s">
        <v>3113</v>
      </c>
    </row>
    <row r="2489">
      <c r="A2489" s="12">
        <v>1082.0</v>
      </c>
      <c r="B2489" s="17" t="s">
        <v>5890</v>
      </c>
      <c r="C2489" s="17" t="s">
        <v>5891</v>
      </c>
      <c r="D2489" s="17" t="s">
        <v>5889</v>
      </c>
      <c r="E2489" s="16">
        <v>7.5</v>
      </c>
      <c r="F2489" s="7">
        <f t="shared" si="3"/>
        <v>92.5</v>
      </c>
      <c r="G2489" s="17" t="s">
        <v>3113</v>
      </c>
    </row>
    <row r="2490">
      <c r="A2490" s="12">
        <v>1083.0</v>
      </c>
      <c r="B2490" s="17" t="s">
        <v>5892</v>
      </c>
      <c r="C2490" s="17" t="s">
        <v>5893</v>
      </c>
      <c r="D2490" s="17" t="s">
        <v>5894</v>
      </c>
      <c r="E2490" s="16">
        <v>7.5</v>
      </c>
      <c r="F2490" s="7">
        <f t="shared" si="3"/>
        <v>92.5</v>
      </c>
      <c r="G2490" s="17" t="s">
        <v>3113</v>
      </c>
    </row>
    <row r="2491">
      <c r="A2491" s="12">
        <v>1084.0</v>
      </c>
      <c r="B2491" s="17" t="s">
        <v>5895</v>
      </c>
      <c r="C2491" s="17" t="s">
        <v>5896</v>
      </c>
      <c r="D2491" s="17" t="s">
        <v>5897</v>
      </c>
      <c r="E2491" s="16">
        <v>7.5</v>
      </c>
      <c r="F2491" s="7">
        <f t="shared" si="3"/>
        <v>92.5</v>
      </c>
      <c r="G2491" s="17" t="s">
        <v>3113</v>
      </c>
    </row>
    <row r="2492">
      <c r="A2492" s="12">
        <v>1085.0</v>
      </c>
      <c r="B2492" s="17" t="s">
        <v>5898</v>
      </c>
      <c r="C2492" s="17" t="s">
        <v>5899</v>
      </c>
      <c r="D2492" s="17" t="s">
        <v>5900</v>
      </c>
      <c r="E2492" s="16">
        <v>7.5</v>
      </c>
      <c r="F2492" s="7">
        <f t="shared" si="3"/>
        <v>92.5</v>
      </c>
      <c r="G2492" s="17" t="s">
        <v>3113</v>
      </c>
    </row>
    <row r="2493">
      <c r="A2493" s="12">
        <v>1086.0</v>
      </c>
      <c r="B2493" s="17" t="s">
        <v>5901</v>
      </c>
      <c r="C2493" s="17" t="s">
        <v>5902</v>
      </c>
      <c r="D2493" s="17" t="s">
        <v>5903</v>
      </c>
      <c r="E2493" s="16">
        <v>7.5</v>
      </c>
      <c r="F2493" s="7">
        <f t="shared" si="3"/>
        <v>92.5</v>
      </c>
      <c r="G2493" s="17" t="s">
        <v>3113</v>
      </c>
    </row>
    <row r="2494">
      <c r="A2494" s="12">
        <v>1087.0</v>
      </c>
      <c r="B2494" s="17" t="s">
        <v>5904</v>
      </c>
      <c r="C2494" s="17" t="s">
        <v>5905</v>
      </c>
      <c r="D2494" s="17" t="s">
        <v>5906</v>
      </c>
      <c r="E2494" s="16">
        <v>7.5</v>
      </c>
      <c r="F2494" s="7">
        <f t="shared" si="3"/>
        <v>92.5</v>
      </c>
      <c r="G2494" s="17" t="s">
        <v>3113</v>
      </c>
    </row>
    <row r="2495">
      <c r="A2495" s="12">
        <v>1088.0</v>
      </c>
      <c r="B2495" s="17" t="s">
        <v>5907</v>
      </c>
      <c r="C2495" s="17" t="s">
        <v>5908</v>
      </c>
      <c r="D2495" s="17" t="s">
        <v>5909</v>
      </c>
      <c r="E2495" s="16">
        <v>7.5</v>
      </c>
      <c r="F2495" s="7">
        <f t="shared" si="3"/>
        <v>92.5</v>
      </c>
      <c r="G2495" s="17" t="s">
        <v>3113</v>
      </c>
    </row>
    <row r="2496">
      <c r="A2496" s="12">
        <v>1089.0</v>
      </c>
      <c r="B2496" s="17" t="s">
        <v>5910</v>
      </c>
      <c r="C2496" s="17" t="s">
        <v>5911</v>
      </c>
      <c r="D2496" s="17" t="s">
        <v>5912</v>
      </c>
      <c r="E2496" s="16">
        <v>7.5</v>
      </c>
      <c r="F2496" s="7">
        <f t="shared" si="3"/>
        <v>92.5</v>
      </c>
      <c r="G2496" s="17" t="s">
        <v>3113</v>
      </c>
    </row>
    <row r="2497">
      <c r="A2497" s="12">
        <v>1090.0</v>
      </c>
      <c r="B2497" s="17" t="s">
        <v>5913</v>
      </c>
      <c r="C2497" s="17" t="s">
        <v>5914</v>
      </c>
      <c r="D2497" s="17" t="s">
        <v>5915</v>
      </c>
      <c r="E2497" s="16">
        <v>7.5</v>
      </c>
      <c r="F2497" s="7">
        <f t="shared" si="3"/>
        <v>92.5</v>
      </c>
      <c r="G2497" s="17" t="s">
        <v>3113</v>
      </c>
    </row>
    <row r="2498">
      <c r="A2498" s="12">
        <v>1091.0</v>
      </c>
      <c r="B2498" s="17" t="s">
        <v>5916</v>
      </c>
      <c r="C2498" s="17" t="s">
        <v>5917</v>
      </c>
      <c r="D2498" s="17" t="s">
        <v>5918</v>
      </c>
      <c r="E2498" s="16">
        <v>7.5</v>
      </c>
      <c r="F2498" s="7">
        <f t="shared" si="3"/>
        <v>92.5</v>
      </c>
      <c r="G2498" s="17" t="s">
        <v>3113</v>
      </c>
    </row>
    <row r="2499">
      <c r="A2499" s="12">
        <v>1092.0</v>
      </c>
      <c r="B2499" s="17" t="s">
        <v>5919</v>
      </c>
      <c r="C2499" s="17" t="s">
        <v>5920</v>
      </c>
      <c r="D2499" s="17" t="s">
        <v>5921</v>
      </c>
      <c r="E2499" s="16">
        <v>7.5</v>
      </c>
      <c r="F2499" s="7">
        <f t="shared" si="3"/>
        <v>92.5</v>
      </c>
      <c r="G2499" s="17" t="s">
        <v>3113</v>
      </c>
    </row>
    <row r="2500">
      <c r="A2500" s="12">
        <v>1093.0</v>
      </c>
      <c r="B2500" s="17" t="s">
        <v>5922</v>
      </c>
      <c r="C2500" s="17" t="s">
        <v>5923</v>
      </c>
      <c r="D2500" s="17" t="s">
        <v>5924</v>
      </c>
      <c r="E2500" s="16">
        <v>7.5</v>
      </c>
      <c r="F2500" s="7">
        <f t="shared" si="3"/>
        <v>92.5</v>
      </c>
      <c r="G2500" s="17" t="s">
        <v>3113</v>
      </c>
    </row>
    <row r="2501">
      <c r="A2501" s="12">
        <v>1094.0</v>
      </c>
      <c r="B2501" s="17" t="s">
        <v>5925</v>
      </c>
      <c r="C2501" s="17" t="s">
        <v>5926</v>
      </c>
      <c r="D2501" s="17" t="s">
        <v>5927</v>
      </c>
      <c r="E2501" s="16">
        <v>7.5</v>
      </c>
      <c r="F2501" s="7">
        <f t="shared" si="3"/>
        <v>92.5</v>
      </c>
      <c r="G2501" s="17" t="s">
        <v>3113</v>
      </c>
    </row>
    <row r="2502">
      <c r="A2502" s="12">
        <v>1095.0</v>
      </c>
      <c r="B2502" s="17" t="s">
        <v>5928</v>
      </c>
      <c r="C2502" s="17" t="s">
        <v>5929</v>
      </c>
      <c r="D2502" s="17" t="s">
        <v>5930</v>
      </c>
      <c r="E2502" s="16">
        <v>7.5</v>
      </c>
      <c r="F2502" s="7">
        <f t="shared" si="3"/>
        <v>92.5</v>
      </c>
      <c r="G2502" s="17" t="s">
        <v>3113</v>
      </c>
    </row>
    <row r="2503">
      <c r="A2503" s="12">
        <v>1096.0</v>
      </c>
      <c r="B2503" s="17" t="s">
        <v>5931</v>
      </c>
      <c r="C2503" s="17" t="s">
        <v>5932</v>
      </c>
      <c r="D2503" s="17" t="s">
        <v>5933</v>
      </c>
      <c r="E2503" s="16">
        <v>7.5</v>
      </c>
      <c r="F2503" s="7">
        <f t="shared" si="3"/>
        <v>92.5</v>
      </c>
      <c r="G2503" s="17" t="s">
        <v>3113</v>
      </c>
    </row>
    <row r="2504">
      <c r="A2504" s="12">
        <v>1097.0</v>
      </c>
      <c r="B2504" s="17" t="s">
        <v>5934</v>
      </c>
      <c r="C2504" s="17" t="s">
        <v>5935</v>
      </c>
      <c r="D2504" s="17" t="s">
        <v>5936</v>
      </c>
      <c r="E2504" s="16">
        <v>7.5</v>
      </c>
      <c r="F2504" s="7">
        <f t="shared" si="3"/>
        <v>92.5</v>
      </c>
      <c r="G2504" s="17" t="s">
        <v>3113</v>
      </c>
    </row>
    <row r="2505">
      <c r="A2505" s="12">
        <v>1098.0</v>
      </c>
      <c r="B2505" s="17" t="s">
        <v>5937</v>
      </c>
      <c r="C2505" s="17" t="s">
        <v>5938</v>
      </c>
      <c r="D2505" s="17" t="s">
        <v>5939</v>
      </c>
      <c r="E2505" s="16">
        <v>7.5</v>
      </c>
      <c r="F2505" s="7">
        <f t="shared" si="3"/>
        <v>92.5</v>
      </c>
      <c r="G2505" s="17" t="s">
        <v>3113</v>
      </c>
    </row>
    <row r="2506">
      <c r="A2506" s="12">
        <v>1099.0</v>
      </c>
      <c r="B2506" s="17" t="s">
        <v>5940</v>
      </c>
      <c r="C2506" s="17" t="s">
        <v>5941</v>
      </c>
      <c r="D2506" s="17" t="s">
        <v>5942</v>
      </c>
      <c r="E2506" s="16">
        <v>7.5</v>
      </c>
      <c r="F2506" s="7">
        <f t="shared" si="3"/>
        <v>92.5</v>
      </c>
      <c r="G2506" s="17" t="s">
        <v>3113</v>
      </c>
    </row>
    <row r="2507">
      <c r="A2507" s="12">
        <v>1100.0</v>
      </c>
      <c r="B2507" s="17" t="s">
        <v>5943</v>
      </c>
      <c r="C2507" s="17" t="s">
        <v>5944</v>
      </c>
      <c r="D2507" s="17" t="s">
        <v>5945</v>
      </c>
      <c r="E2507" s="16">
        <v>7.5</v>
      </c>
      <c r="F2507" s="7">
        <f t="shared" si="3"/>
        <v>92.5</v>
      </c>
      <c r="G2507" s="17" t="s">
        <v>3113</v>
      </c>
    </row>
    <row r="2508">
      <c r="A2508" s="12">
        <v>1101.0</v>
      </c>
      <c r="B2508" s="17" t="s">
        <v>5946</v>
      </c>
      <c r="C2508" s="17" t="s">
        <v>5947</v>
      </c>
      <c r="D2508" s="17" t="s">
        <v>5948</v>
      </c>
      <c r="E2508" s="16">
        <v>7.5</v>
      </c>
      <c r="F2508" s="7">
        <f t="shared" si="3"/>
        <v>92.5</v>
      </c>
      <c r="G2508" s="17" t="s">
        <v>3113</v>
      </c>
    </row>
    <row r="2509">
      <c r="A2509" s="12">
        <v>1102.0</v>
      </c>
      <c r="B2509" s="17" t="s">
        <v>5949</v>
      </c>
      <c r="C2509" s="17" t="s">
        <v>5950</v>
      </c>
      <c r="D2509" s="17" t="s">
        <v>5951</v>
      </c>
      <c r="E2509" s="16">
        <v>7.5</v>
      </c>
      <c r="F2509" s="7">
        <f t="shared" si="3"/>
        <v>92.5</v>
      </c>
      <c r="G2509" s="17" t="s">
        <v>3113</v>
      </c>
    </row>
    <row r="2510">
      <c r="A2510" s="12">
        <v>1103.0</v>
      </c>
      <c r="B2510" s="17" t="s">
        <v>5952</v>
      </c>
      <c r="C2510" s="17" t="s">
        <v>5953</v>
      </c>
      <c r="D2510" s="17" t="s">
        <v>5954</v>
      </c>
      <c r="E2510" s="16">
        <v>7.5</v>
      </c>
      <c r="F2510" s="7">
        <f t="shared" si="3"/>
        <v>92.5</v>
      </c>
      <c r="G2510" s="17" t="s">
        <v>3113</v>
      </c>
    </row>
    <row r="2511">
      <c r="A2511" s="12">
        <v>1104.0</v>
      </c>
      <c r="B2511" s="17" t="s">
        <v>5955</v>
      </c>
      <c r="C2511" s="17" t="s">
        <v>5956</v>
      </c>
      <c r="D2511" s="17" t="s">
        <v>5957</v>
      </c>
      <c r="E2511" s="16">
        <v>7.5</v>
      </c>
      <c r="F2511" s="7">
        <f t="shared" si="3"/>
        <v>92.5</v>
      </c>
      <c r="G2511" s="17" t="s">
        <v>3113</v>
      </c>
    </row>
    <row r="2512">
      <c r="A2512" s="12">
        <v>1105.0</v>
      </c>
      <c r="B2512" s="17" t="s">
        <v>5958</v>
      </c>
      <c r="C2512" s="17" t="s">
        <v>5959</v>
      </c>
      <c r="D2512" s="17" t="s">
        <v>5960</v>
      </c>
      <c r="E2512" s="16">
        <v>7.5</v>
      </c>
      <c r="F2512" s="7">
        <f t="shared" si="3"/>
        <v>92.5</v>
      </c>
      <c r="G2512" s="17" t="s">
        <v>3113</v>
      </c>
    </row>
    <row r="2513">
      <c r="A2513" s="12">
        <v>1106.0</v>
      </c>
      <c r="B2513" s="17" t="s">
        <v>5961</v>
      </c>
      <c r="C2513" s="17" t="s">
        <v>5962</v>
      </c>
      <c r="D2513" s="17" t="s">
        <v>5960</v>
      </c>
      <c r="E2513" s="16">
        <v>7.5</v>
      </c>
      <c r="F2513" s="7">
        <f t="shared" si="3"/>
        <v>92.5</v>
      </c>
      <c r="G2513" s="17" t="s">
        <v>3113</v>
      </c>
    </row>
    <row r="2514">
      <c r="A2514" s="12">
        <v>1107.0</v>
      </c>
      <c r="B2514" s="17" t="s">
        <v>5963</v>
      </c>
      <c r="C2514" s="17" t="s">
        <v>5964</v>
      </c>
      <c r="D2514" s="17" t="s">
        <v>5965</v>
      </c>
      <c r="E2514" s="16">
        <v>7.5</v>
      </c>
      <c r="F2514" s="7">
        <f t="shared" si="3"/>
        <v>92.5</v>
      </c>
      <c r="G2514" s="17" t="s">
        <v>3113</v>
      </c>
    </row>
    <row r="2515">
      <c r="A2515" s="12">
        <v>1108.0</v>
      </c>
      <c r="B2515" s="17" t="s">
        <v>5966</v>
      </c>
      <c r="C2515" s="17" t="s">
        <v>5967</v>
      </c>
      <c r="D2515" s="17" t="s">
        <v>5968</v>
      </c>
      <c r="E2515" s="16">
        <v>7.5</v>
      </c>
      <c r="F2515" s="7">
        <f t="shared" si="3"/>
        <v>92.5</v>
      </c>
      <c r="G2515" s="17" t="s">
        <v>3113</v>
      </c>
    </row>
    <row r="2516">
      <c r="A2516" s="12">
        <v>1109.0</v>
      </c>
      <c r="B2516" s="17" t="s">
        <v>5969</v>
      </c>
      <c r="C2516" s="17" t="s">
        <v>5970</v>
      </c>
      <c r="D2516" s="17" t="s">
        <v>5968</v>
      </c>
      <c r="E2516" s="16">
        <v>7.5</v>
      </c>
      <c r="F2516" s="7">
        <f t="shared" si="3"/>
        <v>92.5</v>
      </c>
      <c r="G2516" s="17" t="s">
        <v>3113</v>
      </c>
    </row>
    <row r="2517">
      <c r="A2517" s="12">
        <v>1110.0</v>
      </c>
      <c r="B2517" s="17" t="s">
        <v>5971</v>
      </c>
      <c r="C2517" s="17" t="s">
        <v>5972</v>
      </c>
      <c r="D2517" s="17" t="s">
        <v>5973</v>
      </c>
      <c r="E2517" s="16">
        <v>7.5</v>
      </c>
      <c r="F2517" s="7">
        <f t="shared" si="3"/>
        <v>92.5</v>
      </c>
      <c r="G2517" s="17" t="s">
        <v>3113</v>
      </c>
    </row>
    <row r="2518">
      <c r="A2518" s="12">
        <v>1111.0</v>
      </c>
      <c r="B2518" s="17" t="s">
        <v>5974</v>
      </c>
      <c r="C2518" s="17" t="s">
        <v>5975</v>
      </c>
      <c r="D2518" s="17" t="s">
        <v>5976</v>
      </c>
      <c r="E2518" s="16">
        <v>7.5</v>
      </c>
      <c r="F2518" s="7">
        <f t="shared" si="3"/>
        <v>92.5</v>
      </c>
      <c r="G2518" s="17" t="s">
        <v>3113</v>
      </c>
    </row>
    <row r="2519">
      <c r="A2519" s="12">
        <v>1112.0</v>
      </c>
      <c r="B2519" s="17" t="s">
        <v>5977</v>
      </c>
      <c r="C2519" s="17" t="s">
        <v>5978</v>
      </c>
      <c r="D2519" s="17" t="s">
        <v>5979</v>
      </c>
      <c r="E2519" s="16">
        <v>7.5</v>
      </c>
      <c r="F2519" s="7">
        <f t="shared" si="3"/>
        <v>92.5</v>
      </c>
      <c r="G2519" s="17" t="s">
        <v>3113</v>
      </c>
    </row>
    <row r="2520">
      <c r="A2520" s="12">
        <v>1113.0</v>
      </c>
      <c r="B2520" s="17" t="s">
        <v>5980</v>
      </c>
      <c r="C2520" s="17" t="s">
        <v>5981</v>
      </c>
      <c r="D2520" s="17" t="s">
        <v>5982</v>
      </c>
      <c r="E2520" s="16">
        <v>7.5</v>
      </c>
      <c r="F2520" s="7">
        <f t="shared" si="3"/>
        <v>92.5</v>
      </c>
      <c r="G2520" s="17" t="s">
        <v>3113</v>
      </c>
    </row>
    <row r="2521">
      <c r="A2521" s="12">
        <v>1114.0</v>
      </c>
      <c r="B2521" s="17" t="s">
        <v>5983</v>
      </c>
      <c r="C2521" s="17" t="s">
        <v>5984</v>
      </c>
      <c r="D2521" s="17" t="s">
        <v>5985</v>
      </c>
      <c r="E2521" s="16">
        <v>7.5</v>
      </c>
      <c r="F2521" s="7">
        <f t="shared" si="3"/>
        <v>92.5</v>
      </c>
      <c r="G2521" s="17" t="s">
        <v>3113</v>
      </c>
    </row>
    <row r="2522">
      <c r="A2522" s="12">
        <v>1115.0</v>
      </c>
      <c r="B2522" s="17" t="s">
        <v>5986</v>
      </c>
      <c r="C2522" s="17" t="s">
        <v>5987</v>
      </c>
      <c r="D2522" s="17" t="s">
        <v>5988</v>
      </c>
      <c r="E2522" s="16">
        <v>7.5</v>
      </c>
      <c r="F2522" s="7">
        <f t="shared" si="3"/>
        <v>92.5</v>
      </c>
      <c r="G2522" s="17" t="s">
        <v>3113</v>
      </c>
    </row>
    <row r="2523">
      <c r="A2523" s="12">
        <v>1116.0</v>
      </c>
      <c r="B2523" s="17" t="s">
        <v>5989</v>
      </c>
      <c r="C2523" s="17" t="s">
        <v>5990</v>
      </c>
      <c r="D2523" s="17" t="s">
        <v>5991</v>
      </c>
      <c r="E2523" s="16">
        <v>7.5</v>
      </c>
      <c r="F2523" s="7">
        <f t="shared" si="3"/>
        <v>92.5</v>
      </c>
      <c r="G2523" s="17" t="s">
        <v>3113</v>
      </c>
    </row>
    <row r="2524">
      <c r="A2524" s="12">
        <v>1117.0</v>
      </c>
      <c r="B2524" s="17" t="s">
        <v>5992</v>
      </c>
      <c r="C2524" s="17" t="s">
        <v>5993</v>
      </c>
      <c r="D2524" s="17" t="s">
        <v>5994</v>
      </c>
      <c r="E2524" s="16">
        <v>7.5</v>
      </c>
      <c r="F2524" s="7">
        <f t="shared" si="3"/>
        <v>92.5</v>
      </c>
      <c r="G2524" s="17" t="s">
        <v>3113</v>
      </c>
    </row>
    <row r="2525">
      <c r="A2525" s="12">
        <v>1118.0</v>
      </c>
      <c r="B2525" s="17" t="s">
        <v>5995</v>
      </c>
      <c r="C2525" s="17" t="s">
        <v>5996</v>
      </c>
      <c r="D2525" s="17" t="s">
        <v>5997</v>
      </c>
      <c r="E2525" s="16">
        <v>7.5</v>
      </c>
      <c r="F2525" s="7">
        <f t="shared" si="3"/>
        <v>92.5</v>
      </c>
      <c r="G2525" s="17" t="s">
        <v>3113</v>
      </c>
    </row>
    <row r="2526">
      <c r="A2526" s="12">
        <v>1119.0</v>
      </c>
      <c r="B2526" s="17" t="s">
        <v>5998</v>
      </c>
      <c r="C2526" s="17" t="s">
        <v>5999</v>
      </c>
      <c r="D2526" s="17" t="s">
        <v>6000</v>
      </c>
      <c r="E2526" s="16">
        <v>7.5</v>
      </c>
      <c r="F2526" s="7">
        <f t="shared" si="3"/>
        <v>92.5</v>
      </c>
      <c r="G2526" s="17" t="s">
        <v>3113</v>
      </c>
    </row>
    <row r="2527">
      <c r="A2527" s="12">
        <v>1120.0</v>
      </c>
      <c r="B2527" s="17" t="s">
        <v>6001</v>
      </c>
      <c r="C2527" s="17" t="s">
        <v>6002</v>
      </c>
      <c r="D2527" s="17" t="s">
        <v>6003</v>
      </c>
      <c r="E2527" s="16">
        <v>7.5</v>
      </c>
      <c r="F2527" s="7">
        <f t="shared" si="3"/>
        <v>92.5</v>
      </c>
      <c r="G2527" s="17" t="s">
        <v>3113</v>
      </c>
    </row>
    <row r="2528">
      <c r="A2528" s="12">
        <v>1121.0</v>
      </c>
      <c r="B2528" s="17" t="s">
        <v>6004</v>
      </c>
      <c r="C2528" s="17" t="s">
        <v>6005</v>
      </c>
      <c r="D2528" s="17" t="s">
        <v>6006</v>
      </c>
      <c r="E2528" s="16">
        <v>7.5</v>
      </c>
      <c r="F2528" s="7">
        <f t="shared" si="3"/>
        <v>92.5</v>
      </c>
      <c r="G2528" s="17" t="s">
        <v>3113</v>
      </c>
    </row>
    <row r="2529">
      <c r="A2529" s="12">
        <v>1122.0</v>
      </c>
      <c r="B2529" s="17" t="s">
        <v>6007</v>
      </c>
      <c r="C2529" s="17" t="s">
        <v>6008</v>
      </c>
      <c r="D2529" s="17" t="s">
        <v>6009</v>
      </c>
      <c r="E2529" s="16">
        <v>7.5</v>
      </c>
      <c r="F2529" s="7">
        <f t="shared" si="3"/>
        <v>92.5</v>
      </c>
      <c r="G2529" s="17" t="s">
        <v>3113</v>
      </c>
    </row>
    <row r="2530">
      <c r="A2530" s="12">
        <v>1123.0</v>
      </c>
      <c r="B2530" s="17" t="s">
        <v>6010</v>
      </c>
      <c r="C2530" s="17" t="s">
        <v>6011</v>
      </c>
      <c r="D2530" s="17" t="s">
        <v>6012</v>
      </c>
      <c r="E2530" s="16">
        <v>7.5</v>
      </c>
      <c r="F2530" s="7">
        <f t="shared" si="3"/>
        <v>92.5</v>
      </c>
      <c r="G2530" s="17" t="s">
        <v>3113</v>
      </c>
    </row>
    <row r="2531">
      <c r="A2531" s="12">
        <v>1124.0</v>
      </c>
      <c r="B2531" s="17" t="s">
        <v>6013</v>
      </c>
      <c r="C2531" s="17" t="s">
        <v>6014</v>
      </c>
      <c r="D2531" s="17" t="s">
        <v>6015</v>
      </c>
      <c r="E2531" s="16">
        <v>7.5</v>
      </c>
      <c r="F2531" s="7">
        <f t="shared" si="3"/>
        <v>92.5</v>
      </c>
      <c r="G2531" s="17" t="s">
        <v>3113</v>
      </c>
    </row>
    <row r="2532">
      <c r="A2532" s="12">
        <v>1125.0</v>
      </c>
      <c r="B2532" s="17" t="s">
        <v>6016</v>
      </c>
      <c r="C2532" s="17" t="s">
        <v>6017</v>
      </c>
      <c r="D2532" s="17" t="s">
        <v>6018</v>
      </c>
      <c r="E2532" s="16">
        <v>7.5</v>
      </c>
      <c r="F2532" s="7">
        <f t="shared" si="3"/>
        <v>92.5</v>
      </c>
      <c r="G2532" s="17" t="s">
        <v>3113</v>
      </c>
    </row>
    <row r="2533">
      <c r="A2533" s="12">
        <v>1126.0</v>
      </c>
      <c r="B2533" s="17" t="s">
        <v>6019</v>
      </c>
      <c r="C2533" s="17" t="s">
        <v>6020</v>
      </c>
      <c r="D2533" s="17" t="s">
        <v>6021</v>
      </c>
      <c r="E2533" s="16">
        <v>7.5</v>
      </c>
      <c r="F2533" s="7">
        <f t="shared" si="3"/>
        <v>92.5</v>
      </c>
      <c r="G2533" s="17" t="s">
        <v>3113</v>
      </c>
    </row>
    <row r="2534">
      <c r="A2534" s="12">
        <v>1127.0</v>
      </c>
      <c r="B2534" s="17" t="s">
        <v>6022</v>
      </c>
      <c r="C2534" s="17" t="s">
        <v>6023</v>
      </c>
      <c r="D2534" s="17" t="s">
        <v>6024</v>
      </c>
      <c r="E2534" s="16">
        <v>7.5</v>
      </c>
      <c r="F2534" s="7">
        <f t="shared" si="3"/>
        <v>92.5</v>
      </c>
      <c r="G2534" s="17" t="s">
        <v>3113</v>
      </c>
    </row>
    <row r="2535">
      <c r="A2535" s="12">
        <v>1128.0</v>
      </c>
      <c r="B2535" s="17" t="s">
        <v>6022</v>
      </c>
      <c r="C2535" s="17" t="s">
        <v>6025</v>
      </c>
      <c r="D2535" s="17" t="s">
        <v>6026</v>
      </c>
      <c r="E2535" s="16">
        <v>7.5</v>
      </c>
      <c r="F2535" s="7">
        <f t="shared" si="3"/>
        <v>92.5</v>
      </c>
      <c r="G2535" s="17" t="s">
        <v>3113</v>
      </c>
    </row>
    <row r="2536">
      <c r="A2536" s="12">
        <v>1129.0</v>
      </c>
      <c r="B2536" s="17" t="s">
        <v>6027</v>
      </c>
      <c r="C2536" s="17" t="s">
        <v>6028</v>
      </c>
      <c r="D2536" s="17" t="s">
        <v>6029</v>
      </c>
      <c r="E2536" s="16">
        <v>7.5</v>
      </c>
      <c r="F2536" s="7">
        <f t="shared" si="3"/>
        <v>92.5</v>
      </c>
      <c r="G2536" s="17" t="s">
        <v>3113</v>
      </c>
    </row>
    <row r="2537">
      <c r="A2537" s="12">
        <v>1130.0</v>
      </c>
      <c r="B2537" s="17" t="s">
        <v>6030</v>
      </c>
      <c r="C2537" s="17" t="s">
        <v>6031</v>
      </c>
      <c r="D2537" s="17" t="s">
        <v>6032</v>
      </c>
      <c r="E2537" s="16">
        <v>7.5</v>
      </c>
      <c r="F2537" s="7">
        <f t="shared" si="3"/>
        <v>92.5</v>
      </c>
      <c r="G2537" s="17" t="s">
        <v>3113</v>
      </c>
    </row>
    <row r="2538">
      <c r="A2538" s="12">
        <v>1131.0</v>
      </c>
      <c r="B2538" s="17" t="s">
        <v>6033</v>
      </c>
      <c r="C2538" s="17" t="s">
        <v>6034</v>
      </c>
      <c r="D2538" s="17" t="s">
        <v>6035</v>
      </c>
      <c r="E2538" s="16">
        <v>7.5</v>
      </c>
      <c r="F2538" s="7">
        <f t="shared" si="3"/>
        <v>92.5</v>
      </c>
      <c r="G2538" s="17" t="s">
        <v>3113</v>
      </c>
    </row>
    <row r="2539">
      <c r="A2539" s="12">
        <v>1132.0</v>
      </c>
      <c r="B2539" s="17" t="s">
        <v>6036</v>
      </c>
      <c r="C2539" s="17" t="s">
        <v>6037</v>
      </c>
      <c r="D2539" s="17" t="s">
        <v>6038</v>
      </c>
      <c r="E2539" s="16">
        <v>7.5</v>
      </c>
      <c r="F2539" s="7">
        <f t="shared" si="3"/>
        <v>92.5</v>
      </c>
      <c r="G2539" s="17" t="s">
        <v>3113</v>
      </c>
    </row>
    <row r="2540">
      <c r="A2540" s="12">
        <v>1133.0</v>
      </c>
      <c r="B2540" s="17" t="s">
        <v>6039</v>
      </c>
      <c r="C2540" s="17" t="s">
        <v>6040</v>
      </c>
      <c r="D2540" s="17" t="s">
        <v>6041</v>
      </c>
      <c r="E2540" s="16">
        <v>7.5</v>
      </c>
      <c r="F2540" s="7">
        <f t="shared" si="3"/>
        <v>92.5</v>
      </c>
      <c r="G2540" s="17" t="s">
        <v>3113</v>
      </c>
    </row>
    <row r="2541">
      <c r="A2541" s="12">
        <v>1134.0</v>
      </c>
      <c r="B2541" s="17" t="s">
        <v>6042</v>
      </c>
      <c r="C2541" s="17" t="s">
        <v>6043</v>
      </c>
      <c r="D2541" s="17" t="s">
        <v>6044</v>
      </c>
      <c r="E2541" s="16">
        <v>7.5</v>
      </c>
      <c r="F2541" s="7">
        <f t="shared" si="3"/>
        <v>92.5</v>
      </c>
      <c r="G2541" s="17" t="s">
        <v>3113</v>
      </c>
    </row>
    <row r="2542">
      <c r="A2542" s="12">
        <v>1135.0</v>
      </c>
      <c r="B2542" s="17" t="s">
        <v>6045</v>
      </c>
      <c r="C2542" s="17" t="s">
        <v>6046</v>
      </c>
      <c r="D2542" s="17" t="s">
        <v>6047</v>
      </c>
      <c r="E2542" s="16">
        <v>7.5</v>
      </c>
      <c r="F2542" s="7">
        <f t="shared" si="3"/>
        <v>92.5</v>
      </c>
      <c r="G2542" s="17" t="s">
        <v>3113</v>
      </c>
    </row>
    <row r="2543">
      <c r="A2543" s="12">
        <v>1136.0</v>
      </c>
      <c r="B2543" s="17" t="s">
        <v>6048</v>
      </c>
      <c r="C2543" s="17" t="s">
        <v>6049</v>
      </c>
      <c r="D2543" s="17" t="s">
        <v>6050</v>
      </c>
      <c r="E2543" s="16">
        <v>7.5</v>
      </c>
      <c r="F2543" s="7">
        <f t="shared" si="3"/>
        <v>92.5</v>
      </c>
      <c r="G2543" s="17" t="s">
        <v>3113</v>
      </c>
    </row>
    <row r="2544">
      <c r="A2544" s="12">
        <v>1137.0</v>
      </c>
      <c r="B2544" s="17" t="s">
        <v>6051</v>
      </c>
      <c r="C2544" s="17" t="s">
        <v>6052</v>
      </c>
      <c r="D2544" s="17" t="s">
        <v>6053</v>
      </c>
      <c r="E2544" s="16">
        <v>7.5</v>
      </c>
      <c r="F2544" s="7">
        <f t="shared" si="3"/>
        <v>92.5</v>
      </c>
      <c r="G2544" s="17" t="s">
        <v>3113</v>
      </c>
    </row>
    <row r="2545">
      <c r="A2545" s="12">
        <v>1138.0</v>
      </c>
      <c r="B2545" s="17" t="s">
        <v>6054</v>
      </c>
      <c r="C2545" s="17" t="s">
        <v>6055</v>
      </c>
      <c r="D2545" s="17" t="s">
        <v>6056</v>
      </c>
      <c r="E2545" s="16">
        <v>7.5</v>
      </c>
      <c r="F2545" s="7">
        <f t="shared" si="3"/>
        <v>92.5</v>
      </c>
      <c r="G2545" s="17" t="s">
        <v>3113</v>
      </c>
    </row>
    <row r="2546">
      <c r="A2546" s="12">
        <v>1139.0</v>
      </c>
      <c r="B2546" s="17" t="s">
        <v>6057</v>
      </c>
      <c r="C2546" s="17" t="s">
        <v>6058</v>
      </c>
      <c r="D2546" s="17" t="s">
        <v>6059</v>
      </c>
      <c r="E2546" s="16">
        <v>7.5</v>
      </c>
      <c r="F2546" s="7">
        <f t="shared" si="3"/>
        <v>92.5</v>
      </c>
      <c r="G2546" s="17" t="s">
        <v>3113</v>
      </c>
    </row>
    <row r="2547">
      <c r="A2547" s="12">
        <v>1140.0</v>
      </c>
      <c r="B2547" s="17" t="s">
        <v>6060</v>
      </c>
      <c r="C2547" s="17" t="s">
        <v>6061</v>
      </c>
      <c r="D2547" s="17" t="s">
        <v>6062</v>
      </c>
      <c r="E2547" s="16">
        <v>7.5</v>
      </c>
      <c r="F2547" s="7">
        <f t="shared" si="3"/>
        <v>92.5</v>
      </c>
      <c r="G2547" s="17" t="s">
        <v>3113</v>
      </c>
    </row>
    <row r="2548">
      <c r="A2548" s="12">
        <v>1141.0</v>
      </c>
      <c r="B2548" s="17" t="s">
        <v>6063</v>
      </c>
      <c r="C2548" s="17" t="s">
        <v>6064</v>
      </c>
      <c r="D2548" s="17" t="s">
        <v>6065</v>
      </c>
      <c r="E2548" s="16">
        <v>7.5</v>
      </c>
      <c r="F2548" s="7">
        <f t="shared" si="3"/>
        <v>92.5</v>
      </c>
      <c r="G2548" s="17" t="s">
        <v>3113</v>
      </c>
    </row>
    <row r="2549">
      <c r="A2549" s="12">
        <v>1142.0</v>
      </c>
      <c r="B2549" s="17" t="s">
        <v>6066</v>
      </c>
      <c r="C2549" s="17" t="s">
        <v>6067</v>
      </c>
      <c r="D2549" s="17" t="s">
        <v>6068</v>
      </c>
      <c r="E2549" s="16">
        <v>7.5</v>
      </c>
      <c r="F2549" s="7">
        <f t="shared" si="3"/>
        <v>92.5</v>
      </c>
      <c r="G2549" s="17" t="s">
        <v>3113</v>
      </c>
    </row>
    <row r="2550">
      <c r="A2550" s="12">
        <v>1143.0</v>
      </c>
      <c r="B2550" s="17" t="s">
        <v>6069</v>
      </c>
      <c r="C2550" s="17" t="s">
        <v>6070</v>
      </c>
      <c r="D2550" s="17" t="s">
        <v>6071</v>
      </c>
      <c r="E2550" s="16">
        <v>7.5</v>
      </c>
      <c r="F2550" s="7">
        <f t="shared" si="3"/>
        <v>92.5</v>
      </c>
      <c r="G2550" s="17" t="s">
        <v>3113</v>
      </c>
    </row>
    <row r="2551">
      <c r="A2551" s="12">
        <v>1144.0</v>
      </c>
      <c r="B2551" s="17" t="s">
        <v>6072</v>
      </c>
      <c r="C2551" s="17" t="s">
        <v>6073</v>
      </c>
      <c r="D2551" s="17" t="s">
        <v>6074</v>
      </c>
      <c r="E2551" s="16">
        <v>7.5</v>
      </c>
      <c r="F2551" s="7">
        <f t="shared" si="3"/>
        <v>92.5</v>
      </c>
      <c r="G2551" s="17" t="s">
        <v>3113</v>
      </c>
    </row>
    <row r="2552">
      <c r="A2552" s="12">
        <v>1145.0</v>
      </c>
      <c r="B2552" s="17" t="s">
        <v>6075</v>
      </c>
      <c r="C2552" s="17" t="s">
        <v>6076</v>
      </c>
      <c r="D2552" s="17" t="s">
        <v>6077</v>
      </c>
      <c r="E2552" s="16">
        <v>7.5</v>
      </c>
      <c r="F2552" s="7">
        <f t="shared" si="3"/>
        <v>92.5</v>
      </c>
      <c r="G2552" s="17" t="s">
        <v>3113</v>
      </c>
    </row>
    <row r="2553">
      <c r="A2553" s="12">
        <v>1146.0</v>
      </c>
      <c r="B2553" s="17" t="s">
        <v>6078</v>
      </c>
      <c r="C2553" s="17" t="s">
        <v>6079</v>
      </c>
      <c r="D2553" s="17" t="s">
        <v>6080</v>
      </c>
      <c r="E2553" s="16">
        <v>7.5</v>
      </c>
      <c r="F2553" s="7">
        <f t="shared" si="3"/>
        <v>92.5</v>
      </c>
      <c r="G2553" s="17" t="s">
        <v>3113</v>
      </c>
    </row>
    <row r="2554">
      <c r="A2554" s="12">
        <v>1147.0</v>
      </c>
      <c r="B2554" s="17" t="s">
        <v>6081</v>
      </c>
      <c r="C2554" s="17" t="s">
        <v>6082</v>
      </c>
      <c r="D2554" s="17" t="s">
        <v>6083</v>
      </c>
      <c r="E2554" s="16">
        <v>7.5</v>
      </c>
      <c r="F2554" s="7">
        <f t="shared" si="3"/>
        <v>92.5</v>
      </c>
      <c r="G2554" s="17" t="s">
        <v>3113</v>
      </c>
    </row>
    <row r="2555">
      <c r="A2555" s="12">
        <v>1148.0</v>
      </c>
      <c r="B2555" s="17" t="s">
        <v>6084</v>
      </c>
      <c r="C2555" s="17" t="s">
        <v>6085</v>
      </c>
      <c r="D2555" s="17" t="s">
        <v>6086</v>
      </c>
      <c r="E2555" s="16">
        <v>7.5</v>
      </c>
      <c r="F2555" s="7">
        <f t="shared" si="3"/>
        <v>92.5</v>
      </c>
      <c r="G2555" s="17" t="s">
        <v>3113</v>
      </c>
    </row>
    <row r="2556">
      <c r="A2556" s="12">
        <v>1149.0</v>
      </c>
      <c r="B2556" s="17" t="s">
        <v>6087</v>
      </c>
      <c r="C2556" s="17" t="s">
        <v>6088</v>
      </c>
      <c r="D2556" s="17" t="s">
        <v>6089</v>
      </c>
      <c r="E2556" s="16">
        <v>7.5</v>
      </c>
      <c r="F2556" s="7">
        <f t="shared" si="3"/>
        <v>92.5</v>
      </c>
      <c r="G2556" s="17" t="s">
        <v>3113</v>
      </c>
    </row>
    <row r="2557">
      <c r="A2557" s="12">
        <v>1150.0</v>
      </c>
      <c r="B2557" s="17" t="s">
        <v>6090</v>
      </c>
      <c r="C2557" s="17" t="s">
        <v>6091</v>
      </c>
      <c r="D2557" s="17" t="s">
        <v>6092</v>
      </c>
      <c r="E2557" s="16">
        <v>7.5</v>
      </c>
      <c r="F2557" s="7">
        <f t="shared" si="3"/>
        <v>92.5</v>
      </c>
      <c r="G2557" s="17" t="s">
        <v>3113</v>
      </c>
    </row>
    <row r="2558">
      <c r="A2558" s="12">
        <v>1151.0</v>
      </c>
      <c r="B2558" s="17" t="s">
        <v>6093</v>
      </c>
      <c r="C2558" s="17" t="s">
        <v>6094</v>
      </c>
      <c r="D2558" s="17" t="s">
        <v>6095</v>
      </c>
      <c r="E2558" s="16">
        <v>7.5</v>
      </c>
      <c r="F2558" s="7">
        <f t="shared" si="3"/>
        <v>92.5</v>
      </c>
      <c r="G2558" s="17" t="s">
        <v>3113</v>
      </c>
    </row>
    <row r="2559">
      <c r="A2559" s="12">
        <v>1152.0</v>
      </c>
      <c r="B2559" s="17" t="s">
        <v>6096</v>
      </c>
      <c r="C2559" s="17" t="s">
        <v>6097</v>
      </c>
      <c r="D2559" s="17" t="s">
        <v>6098</v>
      </c>
      <c r="E2559" s="16">
        <v>7.5</v>
      </c>
      <c r="F2559" s="7">
        <f t="shared" si="3"/>
        <v>92.5</v>
      </c>
      <c r="G2559" s="17" t="s">
        <v>3113</v>
      </c>
    </row>
    <row r="2560">
      <c r="A2560" s="12">
        <v>1153.0</v>
      </c>
      <c r="B2560" s="17" t="s">
        <v>6099</v>
      </c>
      <c r="C2560" s="17" t="s">
        <v>6100</v>
      </c>
      <c r="D2560" s="17" t="s">
        <v>6098</v>
      </c>
      <c r="E2560" s="16">
        <v>7.5</v>
      </c>
      <c r="F2560" s="7">
        <f t="shared" si="3"/>
        <v>92.5</v>
      </c>
      <c r="G2560" s="17" t="s">
        <v>3113</v>
      </c>
    </row>
    <row r="2561">
      <c r="A2561" s="12">
        <v>1154.0</v>
      </c>
      <c r="B2561" s="17" t="s">
        <v>6101</v>
      </c>
      <c r="C2561" s="17" t="s">
        <v>6102</v>
      </c>
      <c r="D2561" s="17" t="s">
        <v>6103</v>
      </c>
      <c r="E2561" s="16">
        <v>7.5</v>
      </c>
      <c r="F2561" s="7">
        <f t="shared" si="3"/>
        <v>92.5</v>
      </c>
      <c r="G2561" s="17" t="s">
        <v>3113</v>
      </c>
    </row>
    <row r="2562">
      <c r="A2562" s="12">
        <v>1155.0</v>
      </c>
      <c r="B2562" s="17" t="s">
        <v>6104</v>
      </c>
      <c r="C2562" s="17" t="s">
        <v>6105</v>
      </c>
      <c r="D2562" s="17" t="s">
        <v>6106</v>
      </c>
      <c r="E2562" s="16">
        <v>7.5</v>
      </c>
      <c r="F2562" s="7">
        <f t="shared" si="3"/>
        <v>92.5</v>
      </c>
      <c r="G2562" s="17" t="s">
        <v>3113</v>
      </c>
    </row>
    <row r="2563">
      <c r="A2563" s="12">
        <v>1156.0</v>
      </c>
      <c r="B2563" s="17" t="s">
        <v>6107</v>
      </c>
      <c r="C2563" s="17" t="s">
        <v>6108</v>
      </c>
      <c r="D2563" s="17" t="s">
        <v>6106</v>
      </c>
      <c r="E2563" s="16">
        <v>7.5</v>
      </c>
      <c r="F2563" s="7">
        <f t="shared" si="3"/>
        <v>92.5</v>
      </c>
      <c r="G2563" s="17" t="s">
        <v>3113</v>
      </c>
    </row>
    <row r="2564">
      <c r="A2564" s="12">
        <v>1157.0</v>
      </c>
      <c r="B2564" s="17" t="s">
        <v>6109</v>
      </c>
      <c r="C2564" s="17" t="s">
        <v>6110</v>
      </c>
      <c r="D2564" s="17" t="s">
        <v>6111</v>
      </c>
      <c r="E2564" s="16">
        <v>7.5</v>
      </c>
      <c r="F2564" s="7">
        <f t="shared" si="3"/>
        <v>92.5</v>
      </c>
      <c r="G2564" s="17" t="s">
        <v>3113</v>
      </c>
    </row>
    <row r="2565">
      <c r="A2565" s="12">
        <v>1158.0</v>
      </c>
      <c r="B2565" s="17" t="s">
        <v>6109</v>
      </c>
      <c r="C2565" s="17" t="s">
        <v>6112</v>
      </c>
      <c r="D2565" s="17" t="s">
        <v>6113</v>
      </c>
      <c r="E2565" s="16">
        <v>7.5</v>
      </c>
      <c r="F2565" s="7">
        <f t="shared" si="3"/>
        <v>92.5</v>
      </c>
      <c r="G2565" s="17" t="s">
        <v>3113</v>
      </c>
    </row>
    <row r="2566">
      <c r="A2566" s="12">
        <v>1159.0</v>
      </c>
      <c r="B2566" s="17" t="s">
        <v>6114</v>
      </c>
      <c r="C2566" s="17" t="s">
        <v>6115</v>
      </c>
      <c r="D2566" s="17" t="s">
        <v>6116</v>
      </c>
      <c r="E2566" s="16">
        <v>7.5</v>
      </c>
      <c r="F2566" s="7">
        <f t="shared" si="3"/>
        <v>92.5</v>
      </c>
      <c r="G2566" s="17" t="s">
        <v>3113</v>
      </c>
    </row>
    <row r="2567">
      <c r="A2567" s="12">
        <v>1160.0</v>
      </c>
      <c r="B2567" s="17" t="s">
        <v>6117</v>
      </c>
      <c r="C2567" s="17" t="s">
        <v>6118</v>
      </c>
      <c r="D2567" s="17" t="s">
        <v>6119</v>
      </c>
      <c r="E2567" s="16">
        <v>7.5</v>
      </c>
      <c r="F2567" s="7">
        <f t="shared" si="3"/>
        <v>92.5</v>
      </c>
      <c r="G2567" s="17" t="s">
        <v>3113</v>
      </c>
    </row>
    <row r="2568">
      <c r="A2568" s="12">
        <v>1161.0</v>
      </c>
      <c r="B2568" s="17" t="s">
        <v>6120</v>
      </c>
      <c r="C2568" s="17" t="s">
        <v>6121</v>
      </c>
      <c r="D2568" s="17" t="s">
        <v>6122</v>
      </c>
      <c r="E2568" s="16">
        <v>7.5</v>
      </c>
      <c r="F2568" s="7">
        <f t="shared" si="3"/>
        <v>92.5</v>
      </c>
      <c r="G2568" s="17" t="s">
        <v>3113</v>
      </c>
    </row>
    <row r="2569">
      <c r="A2569" s="12">
        <v>1162.0</v>
      </c>
      <c r="B2569" s="17" t="s">
        <v>6123</v>
      </c>
      <c r="C2569" s="17" t="s">
        <v>6124</v>
      </c>
      <c r="D2569" s="17" t="s">
        <v>6125</v>
      </c>
      <c r="E2569" s="16">
        <v>7.5</v>
      </c>
      <c r="F2569" s="7">
        <f t="shared" si="3"/>
        <v>92.5</v>
      </c>
      <c r="G2569" s="17" t="s">
        <v>3113</v>
      </c>
    </row>
    <row r="2570">
      <c r="A2570" s="12">
        <v>1163.0</v>
      </c>
      <c r="B2570" s="17" t="s">
        <v>6126</v>
      </c>
      <c r="C2570" s="17" t="s">
        <v>6127</v>
      </c>
      <c r="D2570" s="17" t="s">
        <v>6128</v>
      </c>
      <c r="E2570" s="16">
        <v>7.5</v>
      </c>
      <c r="F2570" s="7">
        <f t="shared" si="3"/>
        <v>92.5</v>
      </c>
      <c r="G2570" s="17" t="s">
        <v>3113</v>
      </c>
    </row>
    <row r="2571">
      <c r="A2571" s="12">
        <v>1164.0</v>
      </c>
      <c r="B2571" s="17" t="s">
        <v>6129</v>
      </c>
      <c r="C2571" s="17" t="s">
        <v>6130</v>
      </c>
      <c r="D2571" s="17" t="s">
        <v>6131</v>
      </c>
      <c r="E2571" s="16">
        <v>7.5</v>
      </c>
      <c r="F2571" s="7">
        <f t="shared" si="3"/>
        <v>92.5</v>
      </c>
      <c r="G2571" s="17" t="s">
        <v>3113</v>
      </c>
    </row>
    <row r="2572">
      <c r="A2572" s="12">
        <v>1165.0</v>
      </c>
      <c r="B2572" s="17" t="s">
        <v>6132</v>
      </c>
      <c r="C2572" s="17" t="s">
        <v>6133</v>
      </c>
      <c r="D2572" s="17" t="s">
        <v>6134</v>
      </c>
      <c r="E2572" s="16">
        <v>7.5</v>
      </c>
      <c r="F2572" s="7">
        <f t="shared" si="3"/>
        <v>92.5</v>
      </c>
      <c r="G2572" s="17" t="s">
        <v>3113</v>
      </c>
    </row>
    <row r="2573">
      <c r="A2573" s="12">
        <v>1166.0</v>
      </c>
      <c r="B2573" s="17" t="s">
        <v>6135</v>
      </c>
      <c r="C2573" s="17" t="s">
        <v>6136</v>
      </c>
      <c r="D2573" s="17" t="s">
        <v>6137</v>
      </c>
      <c r="E2573" s="16">
        <v>7.5</v>
      </c>
      <c r="F2573" s="7">
        <f t="shared" si="3"/>
        <v>92.5</v>
      </c>
      <c r="G2573" s="17" t="s">
        <v>3113</v>
      </c>
    </row>
    <row r="2574">
      <c r="A2574" s="12">
        <v>1167.0</v>
      </c>
      <c r="B2574" s="17" t="s">
        <v>6138</v>
      </c>
      <c r="C2574" s="17" t="s">
        <v>6139</v>
      </c>
      <c r="D2574" s="17" t="s">
        <v>6140</v>
      </c>
      <c r="E2574" s="16">
        <v>7.5</v>
      </c>
      <c r="F2574" s="7">
        <f t="shared" si="3"/>
        <v>92.5</v>
      </c>
      <c r="G2574" s="17" t="s">
        <v>3113</v>
      </c>
    </row>
    <row r="2575">
      <c r="A2575" s="12">
        <v>1168.0</v>
      </c>
      <c r="B2575" s="17" t="s">
        <v>6141</v>
      </c>
      <c r="C2575" s="17" t="s">
        <v>6142</v>
      </c>
      <c r="D2575" s="17" t="s">
        <v>6143</v>
      </c>
      <c r="E2575" s="16">
        <v>7.5</v>
      </c>
      <c r="F2575" s="7">
        <f t="shared" si="3"/>
        <v>92.5</v>
      </c>
      <c r="G2575" s="17" t="s">
        <v>3113</v>
      </c>
    </row>
    <row r="2576">
      <c r="A2576" s="12">
        <v>1169.0</v>
      </c>
      <c r="B2576" s="17" t="s">
        <v>6144</v>
      </c>
      <c r="C2576" s="17" t="s">
        <v>6145</v>
      </c>
      <c r="D2576" s="17" t="s">
        <v>6146</v>
      </c>
      <c r="E2576" s="16">
        <v>7.5</v>
      </c>
      <c r="F2576" s="7">
        <f t="shared" si="3"/>
        <v>92.5</v>
      </c>
      <c r="G2576" s="17" t="s">
        <v>3113</v>
      </c>
    </row>
    <row r="2577">
      <c r="A2577" s="12">
        <v>1170.0</v>
      </c>
      <c r="B2577" s="17" t="s">
        <v>6147</v>
      </c>
      <c r="C2577" s="17" t="s">
        <v>6148</v>
      </c>
      <c r="D2577" s="17" t="s">
        <v>6149</v>
      </c>
      <c r="E2577" s="16">
        <v>7.5</v>
      </c>
      <c r="F2577" s="7">
        <f t="shared" si="3"/>
        <v>92.5</v>
      </c>
      <c r="G2577" s="17" t="s">
        <v>3113</v>
      </c>
    </row>
    <row r="2578">
      <c r="A2578" s="12">
        <v>1171.0</v>
      </c>
      <c r="B2578" s="17" t="s">
        <v>6150</v>
      </c>
      <c r="C2578" s="17" t="s">
        <v>6151</v>
      </c>
      <c r="D2578" s="17" t="s">
        <v>6152</v>
      </c>
      <c r="E2578" s="16">
        <v>7.5</v>
      </c>
      <c r="F2578" s="7">
        <f t="shared" si="3"/>
        <v>92.5</v>
      </c>
      <c r="G2578" s="17" t="s">
        <v>3113</v>
      </c>
    </row>
    <row r="2579">
      <c r="A2579" s="12">
        <v>1172.0</v>
      </c>
      <c r="B2579" s="17" t="s">
        <v>6153</v>
      </c>
      <c r="C2579" s="17" t="s">
        <v>6154</v>
      </c>
      <c r="D2579" s="17" t="s">
        <v>6155</v>
      </c>
      <c r="E2579" s="16">
        <v>7.5</v>
      </c>
      <c r="F2579" s="7">
        <f t="shared" si="3"/>
        <v>92.5</v>
      </c>
      <c r="G2579" s="17" t="s">
        <v>3113</v>
      </c>
    </row>
    <row r="2580">
      <c r="A2580" s="12">
        <v>1173.0</v>
      </c>
      <c r="B2580" s="17" t="s">
        <v>6156</v>
      </c>
      <c r="C2580" s="17" t="s">
        <v>6157</v>
      </c>
      <c r="D2580" s="17" t="s">
        <v>6158</v>
      </c>
      <c r="E2580" s="16">
        <v>7.5</v>
      </c>
      <c r="F2580" s="7">
        <f t="shared" si="3"/>
        <v>92.5</v>
      </c>
      <c r="G2580" s="17" t="s">
        <v>3113</v>
      </c>
    </row>
    <row r="2581">
      <c r="A2581" s="12">
        <v>1174.0</v>
      </c>
      <c r="B2581" s="17" t="s">
        <v>6159</v>
      </c>
      <c r="C2581" s="17" t="s">
        <v>6160</v>
      </c>
      <c r="D2581" s="17" t="s">
        <v>6161</v>
      </c>
      <c r="E2581" s="16">
        <v>7.5</v>
      </c>
      <c r="F2581" s="7">
        <f t="shared" si="3"/>
        <v>92.5</v>
      </c>
      <c r="G2581" s="17" t="s">
        <v>3113</v>
      </c>
    </row>
    <row r="2582">
      <c r="A2582" s="12">
        <v>1175.0</v>
      </c>
      <c r="B2582" s="17" t="s">
        <v>6162</v>
      </c>
      <c r="C2582" s="17" t="s">
        <v>6163</v>
      </c>
      <c r="D2582" s="17" t="s">
        <v>6164</v>
      </c>
      <c r="E2582" s="16">
        <v>7.5</v>
      </c>
      <c r="F2582" s="7">
        <f t="shared" si="3"/>
        <v>92.5</v>
      </c>
      <c r="G2582" s="17" t="s">
        <v>3113</v>
      </c>
    </row>
    <row r="2583">
      <c r="A2583" s="12">
        <v>1176.0</v>
      </c>
      <c r="B2583" s="17" t="s">
        <v>6165</v>
      </c>
      <c r="C2583" s="17" t="s">
        <v>6166</v>
      </c>
      <c r="D2583" s="17" t="s">
        <v>6167</v>
      </c>
      <c r="E2583" s="16">
        <v>7.5</v>
      </c>
      <c r="F2583" s="7">
        <f t="shared" si="3"/>
        <v>92.5</v>
      </c>
      <c r="G2583" s="17" t="s">
        <v>3113</v>
      </c>
    </row>
    <row r="2584">
      <c r="A2584" s="12">
        <v>1177.0</v>
      </c>
      <c r="B2584" s="17" t="s">
        <v>6168</v>
      </c>
      <c r="C2584" s="17" t="s">
        <v>6169</v>
      </c>
      <c r="D2584" s="17" t="s">
        <v>6170</v>
      </c>
      <c r="E2584" s="16">
        <v>7.5</v>
      </c>
      <c r="F2584" s="7">
        <f t="shared" si="3"/>
        <v>92.5</v>
      </c>
      <c r="G2584" s="17" t="s">
        <v>3113</v>
      </c>
    </row>
    <row r="2585">
      <c r="A2585" s="12">
        <v>1178.0</v>
      </c>
      <c r="B2585" s="17" t="s">
        <v>6171</v>
      </c>
      <c r="C2585" s="17" t="s">
        <v>6172</v>
      </c>
      <c r="D2585" s="17" t="s">
        <v>6173</v>
      </c>
      <c r="E2585" s="16">
        <v>7.5</v>
      </c>
      <c r="F2585" s="7">
        <f t="shared" si="3"/>
        <v>92.5</v>
      </c>
      <c r="G2585" s="17" t="s">
        <v>3113</v>
      </c>
    </row>
    <row r="2586">
      <c r="A2586" s="12">
        <v>1179.0</v>
      </c>
      <c r="B2586" s="17" t="s">
        <v>6174</v>
      </c>
      <c r="C2586" s="17" t="s">
        <v>6175</v>
      </c>
      <c r="D2586" s="17" t="s">
        <v>6176</v>
      </c>
      <c r="E2586" s="16">
        <v>7.5</v>
      </c>
      <c r="F2586" s="7">
        <f t="shared" si="3"/>
        <v>92.5</v>
      </c>
      <c r="G2586" s="17" t="s">
        <v>3113</v>
      </c>
    </row>
    <row r="2587">
      <c r="A2587" s="12">
        <v>1180.0</v>
      </c>
      <c r="B2587" s="17" t="s">
        <v>6177</v>
      </c>
      <c r="C2587" s="17" t="s">
        <v>6178</v>
      </c>
      <c r="D2587" s="17" t="s">
        <v>6179</v>
      </c>
      <c r="E2587" s="16">
        <v>7.5</v>
      </c>
      <c r="F2587" s="7">
        <f t="shared" si="3"/>
        <v>92.5</v>
      </c>
      <c r="G2587" s="17" t="s">
        <v>3113</v>
      </c>
    </row>
    <row r="2588">
      <c r="A2588" s="12">
        <v>1181.0</v>
      </c>
      <c r="B2588" s="17" t="s">
        <v>6180</v>
      </c>
      <c r="C2588" s="17" t="s">
        <v>6181</v>
      </c>
      <c r="D2588" s="17" t="s">
        <v>6182</v>
      </c>
      <c r="E2588" s="16">
        <v>7.5</v>
      </c>
      <c r="F2588" s="7">
        <f t="shared" si="3"/>
        <v>92.5</v>
      </c>
      <c r="G2588" s="17" t="s">
        <v>3113</v>
      </c>
    </row>
    <row r="2589">
      <c r="A2589" s="12">
        <v>1182.0</v>
      </c>
      <c r="B2589" s="17" t="s">
        <v>6183</v>
      </c>
      <c r="C2589" s="17" t="s">
        <v>6184</v>
      </c>
      <c r="D2589" s="17" t="s">
        <v>6185</v>
      </c>
      <c r="E2589" s="16">
        <v>7.5</v>
      </c>
      <c r="F2589" s="7">
        <f t="shared" si="3"/>
        <v>92.5</v>
      </c>
      <c r="G2589" s="17" t="s">
        <v>3113</v>
      </c>
    </row>
    <row r="2590">
      <c r="A2590" s="12">
        <v>1183.0</v>
      </c>
      <c r="B2590" s="17" t="s">
        <v>6186</v>
      </c>
      <c r="C2590" s="17" t="s">
        <v>6187</v>
      </c>
      <c r="D2590" s="17" t="s">
        <v>6188</v>
      </c>
      <c r="E2590" s="16">
        <v>7.5</v>
      </c>
      <c r="F2590" s="7">
        <f t="shared" si="3"/>
        <v>92.5</v>
      </c>
      <c r="G2590" s="17" t="s">
        <v>3113</v>
      </c>
    </row>
    <row r="2591">
      <c r="A2591" s="12">
        <v>1184.0</v>
      </c>
      <c r="B2591" s="17" t="s">
        <v>6189</v>
      </c>
      <c r="C2591" s="17" t="s">
        <v>6190</v>
      </c>
      <c r="D2591" s="17" t="s">
        <v>6191</v>
      </c>
      <c r="E2591" s="16">
        <v>7.5</v>
      </c>
      <c r="F2591" s="7">
        <f t="shared" si="3"/>
        <v>92.5</v>
      </c>
      <c r="G2591" s="17" t="s">
        <v>3113</v>
      </c>
    </row>
    <row r="2592">
      <c r="A2592" s="12">
        <v>1185.0</v>
      </c>
      <c r="B2592" s="17" t="s">
        <v>6192</v>
      </c>
      <c r="C2592" s="17" t="s">
        <v>6193</v>
      </c>
      <c r="D2592" s="17" t="s">
        <v>6194</v>
      </c>
      <c r="E2592" s="16">
        <v>7.5</v>
      </c>
      <c r="F2592" s="7">
        <f t="shared" si="3"/>
        <v>92.5</v>
      </c>
      <c r="G2592" s="17" t="s">
        <v>3113</v>
      </c>
    </row>
    <row r="2593">
      <c r="A2593" s="12">
        <v>1186.0</v>
      </c>
      <c r="B2593" s="17" t="s">
        <v>6195</v>
      </c>
      <c r="C2593" s="17" t="s">
        <v>6196</v>
      </c>
      <c r="D2593" s="17" t="s">
        <v>6197</v>
      </c>
      <c r="E2593" s="16">
        <v>7.5</v>
      </c>
      <c r="F2593" s="7">
        <f t="shared" si="3"/>
        <v>92.5</v>
      </c>
      <c r="G2593" s="17" t="s">
        <v>3113</v>
      </c>
    </row>
    <row r="2594">
      <c r="A2594" s="12">
        <v>1187.0</v>
      </c>
      <c r="B2594" s="17" t="s">
        <v>6198</v>
      </c>
      <c r="C2594" s="17" t="s">
        <v>6199</v>
      </c>
      <c r="D2594" s="17" t="s">
        <v>6200</v>
      </c>
      <c r="E2594" s="16">
        <v>7.5</v>
      </c>
      <c r="F2594" s="7">
        <f t="shared" si="3"/>
        <v>92.5</v>
      </c>
      <c r="G2594" s="17" t="s">
        <v>3113</v>
      </c>
    </row>
    <row r="2595">
      <c r="A2595" s="12">
        <v>1188.0</v>
      </c>
      <c r="B2595" s="17" t="s">
        <v>6201</v>
      </c>
      <c r="C2595" s="17" t="s">
        <v>6202</v>
      </c>
      <c r="D2595" s="17" t="s">
        <v>6203</v>
      </c>
      <c r="E2595" s="16">
        <v>7.5</v>
      </c>
      <c r="F2595" s="7">
        <f t="shared" si="3"/>
        <v>92.5</v>
      </c>
      <c r="G2595" s="17" t="s">
        <v>3113</v>
      </c>
    </row>
    <row r="2596">
      <c r="A2596" s="12">
        <v>1189.0</v>
      </c>
      <c r="B2596" s="17" t="s">
        <v>6204</v>
      </c>
      <c r="C2596" s="17" t="s">
        <v>6205</v>
      </c>
      <c r="D2596" s="17" t="s">
        <v>6206</v>
      </c>
      <c r="E2596" s="16">
        <v>7.5</v>
      </c>
      <c r="F2596" s="7">
        <f t="shared" si="3"/>
        <v>92.5</v>
      </c>
      <c r="G2596" s="17" t="s">
        <v>3113</v>
      </c>
    </row>
    <row r="2597">
      <c r="A2597" s="12">
        <v>1190.0</v>
      </c>
      <c r="B2597" s="17" t="s">
        <v>6207</v>
      </c>
      <c r="C2597" s="17" t="s">
        <v>6208</v>
      </c>
      <c r="D2597" s="17" t="s">
        <v>6209</v>
      </c>
      <c r="E2597" s="16">
        <v>7.5</v>
      </c>
      <c r="F2597" s="7">
        <f t="shared" si="3"/>
        <v>92.5</v>
      </c>
      <c r="G2597" s="17" t="s">
        <v>3113</v>
      </c>
    </row>
    <row r="2598">
      <c r="A2598" s="12">
        <v>1191.0</v>
      </c>
      <c r="B2598" s="17" t="s">
        <v>6210</v>
      </c>
      <c r="C2598" s="17" t="s">
        <v>6211</v>
      </c>
      <c r="D2598" s="17" t="s">
        <v>6212</v>
      </c>
      <c r="E2598" s="16">
        <v>7.5</v>
      </c>
      <c r="F2598" s="7">
        <f t="shared" si="3"/>
        <v>92.5</v>
      </c>
      <c r="G2598" s="17" t="s">
        <v>3113</v>
      </c>
    </row>
    <row r="2599">
      <c r="A2599" s="12">
        <v>1192.0</v>
      </c>
      <c r="B2599" s="17" t="s">
        <v>6213</v>
      </c>
      <c r="C2599" s="17" t="s">
        <v>6214</v>
      </c>
      <c r="D2599" s="17" t="s">
        <v>6215</v>
      </c>
      <c r="E2599" s="16">
        <v>7.5</v>
      </c>
      <c r="F2599" s="7">
        <f t="shared" si="3"/>
        <v>92.5</v>
      </c>
      <c r="G2599" s="17" t="s">
        <v>3113</v>
      </c>
    </row>
    <row r="2600">
      <c r="A2600" s="12">
        <v>1193.0</v>
      </c>
      <c r="B2600" s="17" t="s">
        <v>6216</v>
      </c>
      <c r="C2600" s="17" t="s">
        <v>6217</v>
      </c>
      <c r="D2600" s="17" t="s">
        <v>6218</v>
      </c>
      <c r="E2600" s="16">
        <v>7.5</v>
      </c>
      <c r="F2600" s="7">
        <f t="shared" si="3"/>
        <v>92.5</v>
      </c>
      <c r="G2600" s="17" t="s">
        <v>3113</v>
      </c>
    </row>
    <row r="2601">
      <c r="A2601" s="12">
        <v>1194.0</v>
      </c>
      <c r="B2601" s="17" t="s">
        <v>6219</v>
      </c>
      <c r="C2601" s="17" t="s">
        <v>6220</v>
      </c>
      <c r="D2601" s="17" t="s">
        <v>6221</v>
      </c>
      <c r="E2601" s="16">
        <v>7.5</v>
      </c>
      <c r="F2601" s="7">
        <f t="shared" si="3"/>
        <v>92.5</v>
      </c>
      <c r="G2601" s="17" t="s">
        <v>3113</v>
      </c>
    </row>
    <row r="2602">
      <c r="A2602" s="12">
        <v>1195.0</v>
      </c>
      <c r="B2602" s="17" t="s">
        <v>6222</v>
      </c>
      <c r="C2602" s="17" t="s">
        <v>6223</v>
      </c>
      <c r="D2602" s="17" t="s">
        <v>6224</v>
      </c>
      <c r="E2602" s="16">
        <v>7.5</v>
      </c>
      <c r="F2602" s="7">
        <f t="shared" si="3"/>
        <v>92.5</v>
      </c>
      <c r="G2602" s="17" t="s">
        <v>3113</v>
      </c>
    </row>
    <row r="2603">
      <c r="A2603" s="12">
        <v>1196.0</v>
      </c>
      <c r="B2603" s="17" t="s">
        <v>6225</v>
      </c>
      <c r="C2603" s="17" t="s">
        <v>6226</v>
      </c>
      <c r="D2603" s="17" t="s">
        <v>6227</v>
      </c>
      <c r="E2603" s="16">
        <v>7.5</v>
      </c>
      <c r="F2603" s="7">
        <f t="shared" si="3"/>
        <v>92.5</v>
      </c>
      <c r="G2603" s="17" t="s">
        <v>3113</v>
      </c>
    </row>
    <row r="2604">
      <c r="A2604" s="12">
        <v>1197.0</v>
      </c>
      <c r="B2604" s="17" t="s">
        <v>6228</v>
      </c>
      <c r="C2604" s="17" t="s">
        <v>6229</v>
      </c>
      <c r="D2604" s="17" t="s">
        <v>6230</v>
      </c>
      <c r="E2604" s="16">
        <v>7.5</v>
      </c>
      <c r="F2604" s="7">
        <f t="shared" si="3"/>
        <v>92.5</v>
      </c>
      <c r="G2604" s="17" t="s">
        <v>3113</v>
      </c>
    </row>
    <row r="2605">
      <c r="A2605" s="12">
        <v>1198.0</v>
      </c>
      <c r="B2605" s="17" t="s">
        <v>6231</v>
      </c>
      <c r="C2605" s="17" t="s">
        <v>6232</v>
      </c>
      <c r="D2605" s="17" t="s">
        <v>6233</v>
      </c>
      <c r="E2605" s="16">
        <v>7.5</v>
      </c>
      <c r="F2605" s="7">
        <f t="shared" si="3"/>
        <v>92.5</v>
      </c>
      <c r="G2605" s="17" t="s">
        <v>3113</v>
      </c>
    </row>
    <row r="2606">
      <c r="A2606" s="12">
        <v>1199.0</v>
      </c>
      <c r="B2606" s="17" t="s">
        <v>6234</v>
      </c>
      <c r="C2606" s="17" t="s">
        <v>6235</v>
      </c>
      <c r="D2606" s="17" t="s">
        <v>6236</v>
      </c>
      <c r="E2606" s="16">
        <v>7.5</v>
      </c>
      <c r="F2606" s="7">
        <f t="shared" si="3"/>
        <v>92.5</v>
      </c>
      <c r="G2606" s="17" t="s">
        <v>3113</v>
      </c>
    </row>
    <row r="2607">
      <c r="A2607" s="12">
        <v>1200.0</v>
      </c>
      <c r="B2607" s="17" t="s">
        <v>6237</v>
      </c>
      <c r="C2607" s="17" t="s">
        <v>6238</v>
      </c>
      <c r="D2607" s="17" t="s">
        <v>6239</v>
      </c>
      <c r="E2607" s="16">
        <v>7.5</v>
      </c>
      <c r="F2607" s="7">
        <f t="shared" si="3"/>
        <v>92.5</v>
      </c>
      <c r="G2607" s="17" t="s">
        <v>3113</v>
      </c>
    </row>
    <row r="2608">
      <c r="A2608" s="12">
        <v>1201.0</v>
      </c>
      <c r="B2608" s="17" t="s">
        <v>6240</v>
      </c>
      <c r="C2608" s="17" t="s">
        <v>6241</v>
      </c>
      <c r="D2608" s="17" t="s">
        <v>6242</v>
      </c>
      <c r="E2608" s="16">
        <v>7.5</v>
      </c>
      <c r="F2608" s="7">
        <f t="shared" si="3"/>
        <v>92.5</v>
      </c>
      <c r="G2608" s="17" t="s">
        <v>3113</v>
      </c>
    </row>
    <row r="2609">
      <c r="A2609" s="12">
        <v>1202.0</v>
      </c>
      <c r="B2609" s="17" t="s">
        <v>6243</v>
      </c>
      <c r="C2609" s="17" t="s">
        <v>6244</v>
      </c>
      <c r="D2609" s="17" t="s">
        <v>6245</v>
      </c>
      <c r="E2609" s="16">
        <v>7.5</v>
      </c>
      <c r="F2609" s="7">
        <f t="shared" si="3"/>
        <v>92.5</v>
      </c>
      <c r="G2609" s="17" t="s">
        <v>3113</v>
      </c>
    </row>
    <row r="2610">
      <c r="A2610" s="12">
        <v>1203.0</v>
      </c>
      <c r="B2610" s="17" t="s">
        <v>6246</v>
      </c>
      <c r="C2610" s="17" t="s">
        <v>6247</v>
      </c>
      <c r="D2610" s="17" t="s">
        <v>6248</v>
      </c>
      <c r="E2610" s="16">
        <v>7.5</v>
      </c>
      <c r="F2610" s="7">
        <f t="shared" si="3"/>
        <v>92.5</v>
      </c>
      <c r="G2610" s="17" t="s">
        <v>3113</v>
      </c>
    </row>
    <row r="2611">
      <c r="A2611" s="12">
        <v>1204.0</v>
      </c>
      <c r="B2611" s="17" t="s">
        <v>6249</v>
      </c>
      <c r="C2611" s="17" t="s">
        <v>6250</v>
      </c>
      <c r="D2611" s="17" t="s">
        <v>6251</v>
      </c>
      <c r="E2611" s="16">
        <v>7.5</v>
      </c>
      <c r="F2611" s="7">
        <f t="shared" si="3"/>
        <v>92.5</v>
      </c>
      <c r="G2611" s="17" t="s">
        <v>3113</v>
      </c>
    </row>
    <row r="2612">
      <c r="A2612" s="12">
        <v>1205.0</v>
      </c>
      <c r="B2612" s="17" t="s">
        <v>6252</v>
      </c>
      <c r="C2612" s="17" t="s">
        <v>6253</v>
      </c>
      <c r="D2612" s="17" t="s">
        <v>6254</v>
      </c>
      <c r="E2612" s="16">
        <v>7.5</v>
      </c>
      <c r="F2612" s="7">
        <f t="shared" si="3"/>
        <v>92.5</v>
      </c>
      <c r="G2612" s="17" t="s">
        <v>3113</v>
      </c>
    </row>
    <row r="2613">
      <c r="A2613" s="12">
        <v>1206.0</v>
      </c>
      <c r="B2613" s="17" t="s">
        <v>6255</v>
      </c>
      <c r="C2613" s="17" t="s">
        <v>6256</v>
      </c>
      <c r="D2613" s="17" t="s">
        <v>6257</v>
      </c>
      <c r="E2613" s="16">
        <v>7.5</v>
      </c>
      <c r="F2613" s="7">
        <f t="shared" si="3"/>
        <v>92.5</v>
      </c>
      <c r="G2613" s="17" t="s">
        <v>3113</v>
      </c>
    </row>
    <row r="2614">
      <c r="A2614" s="12">
        <v>1207.0</v>
      </c>
      <c r="B2614" s="17" t="s">
        <v>6258</v>
      </c>
      <c r="C2614" s="17" t="s">
        <v>6259</v>
      </c>
      <c r="D2614" s="17" t="s">
        <v>6260</v>
      </c>
      <c r="E2614" s="16">
        <v>7.5</v>
      </c>
      <c r="F2614" s="7">
        <f t="shared" si="3"/>
        <v>92.5</v>
      </c>
      <c r="G2614" s="17" t="s">
        <v>3113</v>
      </c>
    </row>
    <row r="2615">
      <c r="A2615" s="12">
        <v>1208.0</v>
      </c>
      <c r="B2615" s="17" t="s">
        <v>6261</v>
      </c>
      <c r="C2615" s="17" t="s">
        <v>6262</v>
      </c>
      <c r="D2615" s="17" t="s">
        <v>6263</v>
      </c>
      <c r="E2615" s="16">
        <v>7.5</v>
      </c>
      <c r="F2615" s="7">
        <f t="shared" si="3"/>
        <v>92.5</v>
      </c>
      <c r="G2615" s="17" t="s">
        <v>3113</v>
      </c>
    </row>
    <row r="2616">
      <c r="A2616" s="12">
        <v>1209.0</v>
      </c>
      <c r="B2616" s="17" t="s">
        <v>6264</v>
      </c>
      <c r="C2616" s="17" t="s">
        <v>6265</v>
      </c>
      <c r="D2616" s="17" t="s">
        <v>6266</v>
      </c>
      <c r="E2616" s="16">
        <v>7.5</v>
      </c>
      <c r="F2616" s="7">
        <f t="shared" si="3"/>
        <v>92.5</v>
      </c>
      <c r="G2616" s="17" t="s">
        <v>3113</v>
      </c>
    </row>
    <row r="2617">
      <c r="A2617" s="12">
        <v>1210.0</v>
      </c>
      <c r="B2617" s="17" t="s">
        <v>6267</v>
      </c>
      <c r="C2617" s="17" t="s">
        <v>6268</v>
      </c>
      <c r="D2617" s="17" t="s">
        <v>6269</v>
      </c>
      <c r="E2617" s="16">
        <v>7.5</v>
      </c>
      <c r="F2617" s="7">
        <f t="shared" si="3"/>
        <v>92.5</v>
      </c>
      <c r="G2617" s="17" t="s">
        <v>3113</v>
      </c>
    </row>
    <row r="2618">
      <c r="A2618" s="12">
        <v>1211.0</v>
      </c>
      <c r="B2618" s="17" t="s">
        <v>6270</v>
      </c>
      <c r="C2618" s="17" t="s">
        <v>6271</v>
      </c>
      <c r="D2618" s="17" t="s">
        <v>6272</v>
      </c>
      <c r="E2618" s="16">
        <v>7.5</v>
      </c>
      <c r="F2618" s="7">
        <f t="shared" si="3"/>
        <v>92.5</v>
      </c>
      <c r="G2618" s="17" t="s">
        <v>3113</v>
      </c>
    </row>
    <row r="2619">
      <c r="A2619" s="12">
        <v>1212.0</v>
      </c>
      <c r="B2619" s="17" t="s">
        <v>6273</v>
      </c>
      <c r="C2619" s="17" t="s">
        <v>6274</v>
      </c>
      <c r="D2619" s="17" t="s">
        <v>6275</v>
      </c>
      <c r="E2619" s="16">
        <v>7.5</v>
      </c>
      <c r="F2619" s="7">
        <f t="shared" si="3"/>
        <v>92.5</v>
      </c>
      <c r="G2619" s="17" t="s">
        <v>3113</v>
      </c>
    </row>
    <row r="2620">
      <c r="A2620" s="12">
        <v>1213.0</v>
      </c>
      <c r="B2620" s="17" t="s">
        <v>6276</v>
      </c>
      <c r="C2620" s="17" t="s">
        <v>6277</v>
      </c>
      <c r="D2620" s="17" t="s">
        <v>6278</v>
      </c>
      <c r="E2620" s="16">
        <v>7.5</v>
      </c>
      <c r="F2620" s="7">
        <f t="shared" si="3"/>
        <v>92.5</v>
      </c>
      <c r="G2620" s="17" t="s">
        <v>3113</v>
      </c>
    </row>
    <row r="2621">
      <c r="A2621" s="12">
        <v>1214.0</v>
      </c>
      <c r="B2621" s="17" t="s">
        <v>6279</v>
      </c>
      <c r="C2621" s="17" t="s">
        <v>6280</v>
      </c>
      <c r="D2621" s="17" t="s">
        <v>6281</v>
      </c>
      <c r="E2621" s="16">
        <v>7.5</v>
      </c>
      <c r="F2621" s="7">
        <f t="shared" si="3"/>
        <v>92.5</v>
      </c>
      <c r="G2621" s="17" t="s">
        <v>3113</v>
      </c>
    </row>
    <row r="2622">
      <c r="A2622" s="12">
        <v>1215.0</v>
      </c>
      <c r="B2622" s="17" t="s">
        <v>6279</v>
      </c>
      <c r="C2622" s="17" t="s">
        <v>6282</v>
      </c>
      <c r="D2622" s="17" t="s">
        <v>6283</v>
      </c>
      <c r="E2622" s="16">
        <v>7.5</v>
      </c>
      <c r="F2622" s="7">
        <f t="shared" si="3"/>
        <v>92.5</v>
      </c>
      <c r="G2622" s="17" t="s">
        <v>3113</v>
      </c>
    </row>
    <row r="2623">
      <c r="A2623" s="12">
        <v>1216.0</v>
      </c>
      <c r="B2623" s="17" t="s">
        <v>6279</v>
      </c>
      <c r="C2623" s="17" t="s">
        <v>6284</v>
      </c>
      <c r="D2623" s="17" t="s">
        <v>6283</v>
      </c>
      <c r="E2623" s="16">
        <v>7.5</v>
      </c>
      <c r="F2623" s="7">
        <f t="shared" si="3"/>
        <v>92.5</v>
      </c>
      <c r="G2623" s="17" t="s">
        <v>3113</v>
      </c>
    </row>
    <row r="2624">
      <c r="A2624" s="12">
        <v>1217.0</v>
      </c>
      <c r="B2624" s="17" t="s">
        <v>6285</v>
      </c>
      <c r="C2624" s="17" t="s">
        <v>6286</v>
      </c>
      <c r="D2624" s="17" t="s">
        <v>6287</v>
      </c>
      <c r="E2624" s="16">
        <v>7.5</v>
      </c>
      <c r="F2624" s="7">
        <f t="shared" si="3"/>
        <v>92.5</v>
      </c>
      <c r="G2624" s="17" t="s">
        <v>3113</v>
      </c>
    </row>
    <row r="2625">
      <c r="A2625" s="12">
        <v>1218.0</v>
      </c>
      <c r="B2625" s="17" t="s">
        <v>6288</v>
      </c>
      <c r="C2625" s="17" t="s">
        <v>6289</v>
      </c>
      <c r="D2625" s="17" t="s">
        <v>6290</v>
      </c>
      <c r="E2625" s="16">
        <v>7.5</v>
      </c>
      <c r="F2625" s="7">
        <f t="shared" si="3"/>
        <v>92.5</v>
      </c>
      <c r="G2625" s="17" t="s">
        <v>3113</v>
      </c>
    </row>
    <row r="2626">
      <c r="A2626" s="12">
        <v>1219.0</v>
      </c>
      <c r="B2626" s="17" t="s">
        <v>6291</v>
      </c>
      <c r="C2626" s="17" t="s">
        <v>6292</v>
      </c>
      <c r="D2626" s="17" t="s">
        <v>6293</v>
      </c>
      <c r="E2626" s="16">
        <v>7.5</v>
      </c>
      <c r="F2626" s="7">
        <f t="shared" si="3"/>
        <v>92.5</v>
      </c>
      <c r="G2626" s="17" t="s">
        <v>3113</v>
      </c>
    </row>
    <row r="2627">
      <c r="A2627" s="12">
        <v>1220.0</v>
      </c>
      <c r="B2627" s="17" t="s">
        <v>6294</v>
      </c>
      <c r="C2627" s="17" t="s">
        <v>6295</v>
      </c>
      <c r="D2627" s="17" t="s">
        <v>6296</v>
      </c>
      <c r="E2627" s="16">
        <v>7.5</v>
      </c>
      <c r="F2627" s="7">
        <f t="shared" si="3"/>
        <v>92.5</v>
      </c>
      <c r="G2627" s="17" t="s">
        <v>3113</v>
      </c>
    </row>
    <row r="2628">
      <c r="A2628" s="12">
        <v>1221.0</v>
      </c>
      <c r="B2628" s="17" t="s">
        <v>6297</v>
      </c>
      <c r="C2628" s="17" t="s">
        <v>6298</v>
      </c>
      <c r="D2628" s="17" t="s">
        <v>6299</v>
      </c>
      <c r="E2628" s="16">
        <v>7.5</v>
      </c>
      <c r="F2628" s="7">
        <f t="shared" si="3"/>
        <v>92.5</v>
      </c>
      <c r="G2628" s="17" t="s">
        <v>3113</v>
      </c>
    </row>
    <row r="2629">
      <c r="A2629" s="12">
        <v>1222.0</v>
      </c>
      <c r="B2629" s="17" t="s">
        <v>6300</v>
      </c>
      <c r="C2629" s="17" t="s">
        <v>6301</v>
      </c>
      <c r="D2629" s="17" t="s">
        <v>6299</v>
      </c>
      <c r="E2629" s="16">
        <v>7.5</v>
      </c>
      <c r="F2629" s="7">
        <f t="shared" si="3"/>
        <v>92.5</v>
      </c>
      <c r="G2629" s="17" t="s">
        <v>3113</v>
      </c>
    </row>
    <row r="2630">
      <c r="A2630" s="12">
        <v>1223.0</v>
      </c>
      <c r="B2630" s="17" t="s">
        <v>6302</v>
      </c>
      <c r="C2630" s="17" t="s">
        <v>6303</v>
      </c>
      <c r="D2630" s="17" t="s">
        <v>6304</v>
      </c>
      <c r="E2630" s="16">
        <v>7.5</v>
      </c>
      <c r="F2630" s="7">
        <f t="shared" si="3"/>
        <v>92.5</v>
      </c>
      <c r="G2630" s="17" t="s">
        <v>3113</v>
      </c>
    </row>
    <row r="2631">
      <c r="A2631" s="12">
        <v>1224.0</v>
      </c>
      <c r="B2631" s="17" t="s">
        <v>6305</v>
      </c>
      <c r="C2631" s="17" t="s">
        <v>6306</v>
      </c>
      <c r="D2631" s="17" t="s">
        <v>6304</v>
      </c>
      <c r="E2631" s="16">
        <v>7.5</v>
      </c>
      <c r="F2631" s="7">
        <f t="shared" si="3"/>
        <v>92.5</v>
      </c>
      <c r="G2631" s="17" t="s">
        <v>3113</v>
      </c>
    </row>
    <row r="2632">
      <c r="A2632" s="12">
        <v>1225.0</v>
      </c>
      <c r="B2632" s="17" t="s">
        <v>6307</v>
      </c>
      <c r="C2632" s="17" t="s">
        <v>6308</v>
      </c>
      <c r="D2632" s="17" t="s">
        <v>6309</v>
      </c>
      <c r="E2632" s="16">
        <v>7.5</v>
      </c>
      <c r="F2632" s="7">
        <f t="shared" si="3"/>
        <v>92.5</v>
      </c>
      <c r="G2632" s="17" t="s">
        <v>3113</v>
      </c>
    </row>
    <row r="2633">
      <c r="A2633" s="12">
        <v>1226.0</v>
      </c>
      <c r="B2633" s="17" t="s">
        <v>6310</v>
      </c>
      <c r="C2633" s="17" t="s">
        <v>6311</v>
      </c>
      <c r="D2633" s="17" t="s">
        <v>6312</v>
      </c>
      <c r="E2633" s="16">
        <v>7.5</v>
      </c>
      <c r="F2633" s="7">
        <f t="shared" si="3"/>
        <v>92.5</v>
      </c>
      <c r="G2633" s="17" t="s">
        <v>3113</v>
      </c>
    </row>
    <row r="2634">
      <c r="A2634" s="12">
        <v>1227.0</v>
      </c>
      <c r="B2634" s="17" t="s">
        <v>6313</v>
      </c>
      <c r="C2634" s="17" t="s">
        <v>6314</v>
      </c>
      <c r="D2634" s="17" t="s">
        <v>6315</v>
      </c>
      <c r="E2634" s="16">
        <v>7.5</v>
      </c>
      <c r="F2634" s="7">
        <f t="shared" si="3"/>
        <v>92.5</v>
      </c>
      <c r="G2634" s="17" t="s">
        <v>3113</v>
      </c>
    </row>
    <row r="2635">
      <c r="A2635" s="12">
        <v>1228.0</v>
      </c>
      <c r="B2635" s="17" t="s">
        <v>6316</v>
      </c>
      <c r="C2635" s="17" t="s">
        <v>6317</v>
      </c>
      <c r="D2635" s="17" t="s">
        <v>6318</v>
      </c>
      <c r="E2635" s="16">
        <v>7.5</v>
      </c>
      <c r="F2635" s="7">
        <f t="shared" si="3"/>
        <v>92.5</v>
      </c>
      <c r="G2635" s="17" t="s">
        <v>3113</v>
      </c>
    </row>
    <row r="2636">
      <c r="A2636" s="12">
        <v>1229.0</v>
      </c>
      <c r="B2636" s="17" t="s">
        <v>6319</v>
      </c>
      <c r="C2636" s="17" t="s">
        <v>6320</v>
      </c>
      <c r="D2636" s="17" t="s">
        <v>6321</v>
      </c>
      <c r="E2636" s="16">
        <v>7.5</v>
      </c>
      <c r="F2636" s="7">
        <f t="shared" si="3"/>
        <v>92.5</v>
      </c>
      <c r="G2636" s="17" t="s">
        <v>3113</v>
      </c>
    </row>
    <row r="2637">
      <c r="A2637" s="12">
        <v>1230.0</v>
      </c>
      <c r="B2637" s="17" t="s">
        <v>6322</v>
      </c>
      <c r="C2637" s="17" t="s">
        <v>6323</v>
      </c>
      <c r="D2637" s="17" t="s">
        <v>6321</v>
      </c>
      <c r="E2637" s="16">
        <v>7.5</v>
      </c>
      <c r="F2637" s="7">
        <f t="shared" si="3"/>
        <v>92.5</v>
      </c>
      <c r="G2637" s="17" t="s">
        <v>3113</v>
      </c>
    </row>
    <row r="2638">
      <c r="A2638" s="12">
        <v>1231.0</v>
      </c>
      <c r="B2638" s="17" t="s">
        <v>6324</v>
      </c>
      <c r="C2638" s="17" t="s">
        <v>6325</v>
      </c>
      <c r="D2638" s="17" t="s">
        <v>6326</v>
      </c>
      <c r="E2638" s="16">
        <v>7.5</v>
      </c>
      <c r="F2638" s="7">
        <f t="shared" si="3"/>
        <v>92.5</v>
      </c>
      <c r="G2638" s="17" t="s">
        <v>3113</v>
      </c>
    </row>
    <row r="2639">
      <c r="A2639" s="12">
        <v>1232.0</v>
      </c>
      <c r="B2639" s="17" t="s">
        <v>6327</v>
      </c>
      <c r="C2639" s="17" t="s">
        <v>6328</v>
      </c>
      <c r="D2639" s="17" t="s">
        <v>6329</v>
      </c>
      <c r="E2639" s="16">
        <v>7.5</v>
      </c>
      <c r="F2639" s="7">
        <f t="shared" si="3"/>
        <v>92.5</v>
      </c>
      <c r="G2639" s="17" t="s">
        <v>3113</v>
      </c>
    </row>
    <row r="2640">
      <c r="A2640" s="12">
        <v>1233.0</v>
      </c>
      <c r="B2640" s="17" t="s">
        <v>6330</v>
      </c>
      <c r="C2640" s="17" t="s">
        <v>6331</v>
      </c>
      <c r="D2640" s="17" t="s">
        <v>6332</v>
      </c>
      <c r="E2640" s="16">
        <v>7.5</v>
      </c>
      <c r="F2640" s="7">
        <f t="shared" si="3"/>
        <v>92.5</v>
      </c>
      <c r="G2640" s="17" t="s">
        <v>3113</v>
      </c>
    </row>
    <row r="2641">
      <c r="A2641" s="12">
        <v>1234.0</v>
      </c>
      <c r="B2641" s="17" t="s">
        <v>6333</v>
      </c>
      <c r="C2641" s="17" t="s">
        <v>6334</v>
      </c>
      <c r="D2641" s="17" t="s">
        <v>6335</v>
      </c>
      <c r="E2641" s="16">
        <v>7.5</v>
      </c>
      <c r="F2641" s="7">
        <f t="shared" si="3"/>
        <v>92.5</v>
      </c>
      <c r="G2641" s="17" t="s">
        <v>3113</v>
      </c>
    </row>
    <row r="2642">
      <c r="A2642" s="12">
        <v>1235.0</v>
      </c>
      <c r="B2642" s="17" t="s">
        <v>6336</v>
      </c>
      <c r="C2642" s="17" t="s">
        <v>6337</v>
      </c>
      <c r="D2642" s="17" t="s">
        <v>6338</v>
      </c>
      <c r="E2642" s="16">
        <v>7.5</v>
      </c>
      <c r="F2642" s="7">
        <f t="shared" si="3"/>
        <v>92.5</v>
      </c>
      <c r="G2642" s="17" t="s">
        <v>3113</v>
      </c>
    </row>
    <row r="2643">
      <c r="A2643" s="12">
        <v>1236.0</v>
      </c>
      <c r="B2643" s="17" t="s">
        <v>6339</v>
      </c>
      <c r="C2643" s="17" t="s">
        <v>6340</v>
      </c>
      <c r="D2643" s="17" t="s">
        <v>6341</v>
      </c>
      <c r="E2643" s="16">
        <v>7.5</v>
      </c>
      <c r="F2643" s="7">
        <f t="shared" si="3"/>
        <v>92.5</v>
      </c>
      <c r="G2643" s="17" t="s">
        <v>3113</v>
      </c>
    </row>
    <row r="2644">
      <c r="A2644" s="12">
        <v>1237.0</v>
      </c>
      <c r="B2644" s="17" t="s">
        <v>6342</v>
      </c>
      <c r="C2644" s="17" t="s">
        <v>6343</v>
      </c>
      <c r="D2644" s="17" t="s">
        <v>6344</v>
      </c>
      <c r="E2644" s="16">
        <v>7.5</v>
      </c>
      <c r="F2644" s="7">
        <f t="shared" si="3"/>
        <v>92.5</v>
      </c>
      <c r="G2644" s="17" t="s">
        <v>3113</v>
      </c>
    </row>
    <row r="2645">
      <c r="A2645" s="12">
        <v>1238.0</v>
      </c>
      <c r="B2645" s="17" t="s">
        <v>6345</v>
      </c>
      <c r="C2645" s="17" t="s">
        <v>6346</v>
      </c>
      <c r="D2645" s="17" t="s">
        <v>6347</v>
      </c>
      <c r="E2645" s="16">
        <v>7.5</v>
      </c>
      <c r="F2645" s="7">
        <f t="shared" si="3"/>
        <v>92.5</v>
      </c>
      <c r="G2645" s="17" t="s">
        <v>3113</v>
      </c>
    </row>
    <row r="2646">
      <c r="A2646" s="12">
        <v>1239.0</v>
      </c>
      <c r="B2646" s="17" t="s">
        <v>6348</v>
      </c>
      <c r="C2646" s="17" t="s">
        <v>6349</v>
      </c>
      <c r="D2646" s="17" t="s">
        <v>6350</v>
      </c>
      <c r="E2646" s="16">
        <v>7.5</v>
      </c>
      <c r="F2646" s="7">
        <f t="shared" si="3"/>
        <v>92.5</v>
      </c>
      <c r="G2646" s="17" t="s">
        <v>3113</v>
      </c>
    </row>
    <row r="2647">
      <c r="A2647" s="12">
        <v>1240.0</v>
      </c>
      <c r="B2647" s="17" t="s">
        <v>6351</v>
      </c>
      <c r="C2647" s="17" t="s">
        <v>6352</v>
      </c>
      <c r="D2647" s="17" t="s">
        <v>6350</v>
      </c>
      <c r="E2647" s="16">
        <v>7.5</v>
      </c>
      <c r="F2647" s="7">
        <f t="shared" si="3"/>
        <v>92.5</v>
      </c>
      <c r="G2647" s="17" t="s">
        <v>3113</v>
      </c>
    </row>
    <row r="2648">
      <c r="A2648" s="12">
        <v>1241.0</v>
      </c>
      <c r="B2648" s="17" t="s">
        <v>6353</v>
      </c>
      <c r="C2648" s="17" t="s">
        <v>6354</v>
      </c>
      <c r="D2648" s="17" t="s">
        <v>6355</v>
      </c>
      <c r="E2648" s="16">
        <v>7.5</v>
      </c>
      <c r="F2648" s="7">
        <f t="shared" si="3"/>
        <v>92.5</v>
      </c>
      <c r="G2648" s="17" t="s">
        <v>3113</v>
      </c>
    </row>
    <row r="2649">
      <c r="A2649" s="12">
        <v>1242.0</v>
      </c>
      <c r="B2649" s="17" t="s">
        <v>6356</v>
      </c>
      <c r="C2649" s="17" t="s">
        <v>6357</v>
      </c>
      <c r="D2649" s="17" t="s">
        <v>6358</v>
      </c>
      <c r="E2649" s="16">
        <v>7.5</v>
      </c>
      <c r="F2649" s="7">
        <f t="shared" si="3"/>
        <v>92.5</v>
      </c>
      <c r="G2649" s="17" t="s">
        <v>3113</v>
      </c>
    </row>
    <row r="2650">
      <c r="A2650" s="12">
        <v>1243.0</v>
      </c>
      <c r="B2650" s="17" t="s">
        <v>6359</v>
      </c>
      <c r="C2650" s="17" t="s">
        <v>6360</v>
      </c>
      <c r="D2650" s="17" t="s">
        <v>6361</v>
      </c>
      <c r="E2650" s="16">
        <v>7.5</v>
      </c>
      <c r="F2650" s="7">
        <f t="shared" si="3"/>
        <v>92.5</v>
      </c>
      <c r="G2650" s="17" t="s">
        <v>3113</v>
      </c>
    </row>
    <row r="2651">
      <c r="A2651" s="12">
        <v>1244.0</v>
      </c>
      <c r="B2651" s="17" t="s">
        <v>6362</v>
      </c>
      <c r="C2651" s="17" t="s">
        <v>6363</v>
      </c>
      <c r="D2651" s="17" t="s">
        <v>6335</v>
      </c>
      <c r="E2651" s="16">
        <v>7.5</v>
      </c>
      <c r="F2651" s="7">
        <f t="shared" si="3"/>
        <v>92.5</v>
      </c>
      <c r="G2651" s="17" t="s">
        <v>3113</v>
      </c>
    </row>
    <row r="2652">
      <c r="A2652" s="12">
        <v>1245.0</v>
      </c>
      <c r="B2652" s="17" t="s">
        <v>6364</v>
      </c>
      <c r="C2652" s="17" t="s">
        <v>6365</v>
      </c>
      <c r="D2652" s="17" t="s">
        <v>6332</v>
      </c>
      <c r="E2652" s="16">
        <v>7.5</v>
      </c>
      <c r="F2652" s="7">
        <f t="shared" si="3"/>
        <v>92.5</v>
      </c>
      <c r="G2652" s="17" t="s">
        <v>3113</v>
      </c>
    </row>
    <row r="2653">
      <c r="A2653" s="12">
        <v>1246.0</v>
      </c>
      <c r="B2653" s="17" t="s">
        <v>6366</v>
      </c>
      <c r="C2653" s="17" t="s">
        <v>6367</v>
      </c>
      <c r="D2653" s="17" t="s">
        <v>6338</v>
      </c>
      <c r="E2653" s="16">
        <v>7.5</v>
      </c>
      <c r="F2653" s="7">
        <f t="shared" si="3"/>
        <v>92.5</v>
      </c>
      <c r="G2653" s="17" t="s">
        <v>3113</v>
      </c>
    </row>
    <row r="2654">
      <c r="A2654" s="12">
        <v>1247.0</v>
      </c>
      <c r="B2654" s="17" t="s">
        <v>6368</v>
      </c>
      <c r="C2654" s="17" t="s">
        <v>6369</v>
      </c>
      <c r="D2654" s="17" t="s">
        <v>6370</v>
      </c>
      <c r="E2654" s="16">
        <v>7.5</v>
      </c>
      <c r="F2654" s="7">
        <f t="shared" si="3"/>
        <v>92.5</v>
      </c>
      <c r="G2654" s="17" t="s">
        <v>3113</v>
      </c>
    </row>
    <row r="2655">
      <c r="A2655" s="12">
        <v>1248.0</v>
      </c>
      <c r="B2655" s="17" t="s">
        <v>6371</v>
      </c>
      <c r="C2655" s="17" t="s">
        <v>6372</v>
      </c>
      <c r="D2655" s="17" t="s">
        <v>6373</v>
      </c>
      <c r="E2655" s="16">
        <v>7.5</v>
      </c>
      <c r="F2655" s="7">
        <f t="shared" si="3"/>
        <v>92.5</v>
      </c>
      <c r="G2655" s="17" t="s">
        <v>3113</v>
      </c>
    </row>
    <row r="2656">
      <c r="A2656" s="12">
        <v>1249.0</v>
      </c>
      <c r="B2656" s="17" t="s">
        <v>6374</v>
      </c>
      <c r="C2656" s="17" t="s">
        <v>6375</v>
      </c>
      <c r="D2656" s="17" t="s">
        <v>6376</v>
      </c>
      <c r="E2656" s="16">
        <v>7.5</v>
      </c>
      <c r="F2656" s="7">
        <f t="shared" si="3"/>
        <v>92.5</v>
      </c>
      <c r="G2656" s="17" t="s">
        <v>3113</v>
      </c>
    </row>
    <row r="2657">
      <c r="A2657" s="12">
        <v>1250.0</v>
      </c>
      <c r="B2657" s="17" t="s">
        <v>6377</v>
      </c>
      <c r="C2657" s="17" t="s">
        <v>6378</v>
      </c>
      <c r="D2657" s="17" t="s">
        <v>6379</v>
      </c>
      <c r="E2657" s="16">
        <v>7.5</v>
      </c>
      <c r="F2657" s="7">
        <f t="shared" si="3"/>
        <v>92.5</v>
      </c>
      <c r="G2657" s="17" t="s">
        <v>3113</v>
      </c>
    </row>
    <row r="2658">
      <c r="A2658" s="12">
        <v>1251.0</v>
      </c>
      <c r="B2658" s="17" t="s">
        <v>6380</v>
      </c>
      <c r="C2658" s="17" t="s">
        <v>6381</v>
      </c>
      <c r="D2658" s="17" t="s">
        <v>6382</v>
      </c>
      <c r="E2658" s="16">
        <v>7.5</v>
      </c>
      <c r="F2658" s="7">
        <f t="shared" si="3"/>
        <v>92.5</v>
      </c>
      <c r="G2658" s="17" t="s">
        <v>3113</v>
      </c>
    </row>
    <row r="2659">
      <c r="A2659" s="12">
        <v>1252.0</v>
      </c>
      <c r="B2659" s="17" t="s">
        <v>6383</v>
      </c>
      <c r="C2659" s="17" t="s">
        <v>6384</v>
      </c>
      <c r="D2659" s="17" t="s">
        <v>6385</v>
      </c>
      <c r="E2659" s="16">
        <v>7.5</v>
      </c>
      <c r="F2659" s="7">
        <f t="shared" si="3"/>
        <v>92.5</v>
      </c>
      <c r="G2659" s="17" t="s">
        <v>3113</v>
      </c>
    </row>
    <row r="2660">
      <c r="A2660" s="12">
        <v>1253.0</v>
      </c>
      <c r="B2660" s="17" t="s">
        <v>6386</v>
      </c>
      <c r="C2660" s="17" t="s">
        <v>6387</v>
      </c>
      <c r="D2660" s="17" t="s">
        <v>6388</v>
      </c>
      <c r="E2660" s="16">
        <v>7.5</v>
      </c>
      <c r="F2660" s="7">
        <f t="shared" si="3"/>
        <v>92.5</v>
      </c>
      <c r="G2660" s="17" t="s">
        <v>3113</v>
      </c>
    </row>
    <row r="2661">
      <c r="A2661" s="12">
        <v>1254.0</v>
      </c>
      <c r="B2661" s="17" t="s">
        <v>6389</v>
      </c>
      <c r="C2661" s="17" t="s">
        <v>6390</v>
      </c>
      <c r="D2661" s="17" t="s">
        <v>6391</v>
      </c>
      <c r="E2661" s="16">
        <v>7.5</v>
      </c>
      <c r="F2661" s="7">
        <f t="shared" si="3"/>
        <v>92.5</v>
      </c>
      <c r="G2661" s="17" t="s">
        <v>3113</v>
      </c>
    </row>
    <row r="2662">
      <c r="A2662" s="12">
        <v>1255.0</v>
      </c>
      <c r="B2662" s="17" t="s">
        <v>6392</v>
      </c>
      <c r="C2662" s="17" t="s">
        <v>6393</v>
      </c>
      <c r="D2662" s="17" t="s">
        <v>6394</v>
      </c>
      <c r="E2662" s="16">
        <v>7.5</v>
      </c>
      <c r="F2662" s="7">
        <f t="shared" si="3"/>
        <v>92.5</v>
      </c>
      <c r="G2662" s="17" t="s">
        <v>3113</v>
      </c>
    </row>
    <row r="2663">
      <c r="A2663" s="12">
        <v>1256.0</v>
      </c>
      <c r="B2663" s="17" t="s">
        <v>6395</v>
      </c>
      <c r="C2663" s="17" t="s">
        <v>6396</v>
      </c>
      <c r="D2663" s="17" t="s">
        <v>6397</v>
      </c>
      <c r="E2663" s="16">
        <v>7.5</v>
      </c>
      <c r="F2663" s="7">
        <f t="shared" si="3"/>
        <v>92.5</v>
      </c>
      <c r="G2663" s="17" t="s">
        <v>3113</v>
      </c>
    </row>
    <row r="2664">
      <c r="A2664" s="12">
        <v>1257.0</v>
      </c>
      <c r="B2664" s="17" t="s">
        <v>6398</v>
      </c>
      <c r="C2664" s="17" t="s">
        <v>6399</v>
      </c>
      <c r="D2664" s="17" t="s">
        <v>6400</v>
      </c>
      <c r="E2664" s="16">
        <v>7.5</v>
      </c>
      <c r="F2664" s="7">
        <f t="shared" si="3"/>
        <v>92.5</v>
      </c>
      <c r="G2664" s="17" t="s">
        <v>3113</v>
      </c>
    </row>
    <row r="2665">
      <c r="A2665" s="12">
        <v>1258.0</v>
      </c>
      <c r="B2665" s="17" t="s">
        <v>6401</v>
      </c>
      <c r="C2665" s="17" t="s">
        <v>6402</v>
      </c>
      <c r="D2665" s="17" t="s">
        <v>6403</v>
      </c>
      <c r="E2665" s="16">
        <v>7.5</v>
      </c>
      <c r="F2665" s="7">
        <f t="shared" si="3"/>
        <v>92.5</v>
      </c>
      <c r="G2665" s="17" t="s">
        <v>3113</v>
      </c>
    </row>
    <row r="2666">
      <c r="A2666" s="12">
        <v>1259.0</v>
      </c>
      <c r="B2666" s="17" t="s">
        <v>6404</v>
      </c>
      <c r="C2666" s="17" t="s">
        <v>6405</v>
      </c>
      <c r="D2666" s="17" t="s">
        <v>6406</v>
      </c>
      <c r="E2666" s="16">
        <v>7.5</v>
      </c>
      <c r="F2666" s="7">
        <f t="shared" si="3"/>
        <v>92.5</v>
      </c>
      <c r="G2666" s="17" t="s">
        <v>3113</v>
      </c>
    </row>
    <row r="2667">
      <c r="A2667" s="12">
        <v>1260.0</v>
      </c>
      <c r="B2667" s="17" t="s">
        <v>6407</v>
      </c>
      <c r="C2667" s="17" t="s">
        <v>6408</v>
      </c>
      <c r="D2667" s="17" t="s">
        <v>6409</v>
      </c>
      <c r="E2667" s="16">
        <v>7.5</v>
      </c>
      <c r="F2667" s="7">
        <f t="shared" si="3"/>
        <v>92.5</v>
      </c>
      <c r="G2667" s="17" t="s">
        <v>3113</v>
      </c>
    </row>
    <row r="2668">
      <c r="A2668" s="12">
        <v>1261.0</v>
      </c>
      <c r="B2668" s="17" t="s">
        <v>6410</v>
      </c>
      <c r="C2668" s="17" t="s">
        <v>6411</v>
      </c>
      <c r="D2668" s="17" t="s">
        <v>6412</v>
      </c>
      <c r="E2668" s="16">
        <v>7.5</v>
      </c>
      <c r="F2668" s="7">
        <f t="shared" si="3"/>
        <v>92.5</v>
      </c>
      <c r="G2668" s="17" t="s">
        <v>3113</v>
      </c>
    </row>
    <row r="2669">
      <c r="A2669" s="12">
        <v>1262.0</v>
      </c>
      <c r="B2669" s="17" t="s">
        <v>6413</v>
      </c>
      <c r="C2669" s="17" t="s">
        <v>6414</v>
      </c>
      <c r="D2669" s="17" t="s">
        <v>6415</v>
      </c>
      <c r="E2669" s="16">
        <v>7.5</v>
      </c>
      <c r="F2669" s="7">
        <f t="shared" si="3"/>
        <v>92.5</v>
      </c>
      <c r="G2669" s="17" t="s">
        <v>3113</v>
      </c>
    </row>
    <row r="2670">
      <c r="A2670" s="12">
        <v>1263.0</v>
      </c>
      <c r="B2670" s="17" t="s">
        <v>6416</v>
      </c>
      <c r="C2670" s="17" t="s">
        <v>6417</v>
      </c>
      <c r="D2670" s="17" t="s">
        <v>6418</v>
      </c>
      <c r="E2670" s="16">
        <v>7.5</v>
      </c>
      <c r="F2670" s="7">
        <f t="shared" si="3"/>
        <v>92.5</v>
      </c>
      <c r="G2670" s="17" t="s">
        <v>3113</v>
      </c>
    </row>
    <row r="2671">
      <c r="A2671" s="12">
        <v>1264.0</v>
      </c>
      <c r="B2671" s="17" t="s">
        <v>6419</v>
      </c>
      <c r="C2671" s="17" t="s">
        <v>6420</v>
      </c>
      <c r="D2671" s="17" t="s">
        <v>6421</v>
      </c>
      <c r="E2671" s="16">
        <v>7.5</v>
      </c>
      <c r="F2671" s="7">
        <f t="shared" si="3"/>
        <v>92.5</v>
      </c>
      <c r="G2671" s="17" t="s">
        <v>3113</v>
      </c>
    </row>
    <row r="2672">
      <c r="A2672" s="12">
        <v>1265.0</v>
      </c>
      <c r="B2672" s="17" t="s">
        <v>6422</v>
      </c>
      <c r="C2672" s="17" t="s">
        <v>6423</v>
      </c>
      <c r="D2672" s="17" t="s">
        <v>6424</v>
      </c>
      <c r="E2672" s="16">
        <v>7.5</v>
      </c>
      <c r="F2672" s="7">
        <f t="shared" si="3"/>
        <v>92.5</v>
      </c>
      <c r="G2672" s="17" t="s">
        <v>3113</v>
      </c>
    </row>
    <row r="2673">
      <c r="A2673" s="12">
        <v>1266.0</v>
      </c>
      <c r="B2673" s="17" t="s">
        <v>6425</v>
      </c>
      <c r="C2673" s="17" t="s">
        <v>6426</v>
      </c>
      <c r="D2673" s="17" t="s">
        <v>6427</v>
      </c>
      <c r="E2673" s="16">
        <v>7.5</v>
      </c>
      <c r="F2673" s="7">
        <f t="shared" si="3"/>
        <v>92.5</v>
      </c>
      <c r="G2673" s="17" t="s">
        <v>3113</v>
      </c>
    </row>
    <row r="2674">
      <c r="A2674" s="12">
        <v>1267.0</v>
      </c>
      <c r="B2674" s="17" t="s">
        <v>6428</v>
      </c>
      <c r="C2674" s="17" t="s">
        <v>6429</v>
      </c>
      <c r="D2674" s="17" t="s">
        <v>6430</v>
      </c>
      <c r="E2674" s="16">
        <v>7.5</v>
      </c>
      <c r="F2674" s="7">
        <f t="shared" si="3"/>
        <v>92.5</v>
      </c>
      <c r="G2674" s="17" t="s">
        <v>3113</v>
      </c>
    </row>
    <row r="2675">
      <c r="A2675" s="12">
        <v>1268.0</v>
      </c>
      <c r="B2675" s="17" t="s">
        <v>6431</v>
      </c>
      <c r="C2675" s="17" t="s">
        <v>6432</v>
      </c>
      <c r="D2675" s="17" t="s">
        <v>6433</v>
      </c>
      <c r="E2675" s="16">
        <v>7.5</v>
      </c>
      <c r="F2675" s="7">
        <f t="shared" si="3"/>
        <v>92.5</v>
      </c>
      <c r="G2675" s="17" t="s">
        <v>3113</v>
      </c>
    </row>
    <row r="2676">
      <c r="A2676" s="12">
        <v>1269.0</v>
      </c>
      <c r="B2676" s="17" t="s">
        <v>6434</v>
      </c>
      <c r="C2676" s="17" t="s">
        <v>6435</v>
      </c>
      <c r="D2676" s="17" t="s">
        <v>6436</v>
      </c>
      <c r="E2676" s="16">
        <v>7.5</v>
      </c>
      <c r="F2676" s="7">
        <f t="shared" si="3"/>
        <v>92.5</v>
      </c>
      <c r="G2676" s="17" t="s">
        <v>3113</v>
      </c>
    </row>
    <row r="2677">
      <c r="A2677" s="12">
        <v>1270.0</v>
      </c>
      <c r="B2677" s="17" t="s">
        <v>6437</v>
      </c>
      <c r="C2677" s="17" t="s">
        <v>6438</v>
      </c>
      <c r="D2677" s="17" t="s">
        <v>6439</v>
      </c>
      <c r="E2677" s="16">
        <v>7.5</v>
      </c>
      <c r="F2677" s="7">
        <f t="shared" si="3"/>
        <v>92.5</v>
      </c>
      <c r="G2677" s="17" t="s">
        <v>3113</v>
      </c>
    </row>
    <row r="2678">
      <c r="A2678" s="12">
        <v>1271.0</v>
      </c>
      <c r="B2678" s="17" t="s">
        <v>6440</v>
      </c>
      <c r="C2678" s="17" t="s">
        <v>6441</v>
      </c>
      <c r="D2678" s="17" t="s">
        <v>6355</v>
      </c>
      <c r="E2678" s="16">
        <v>7.5</v>
      </c>
      <c r="F2678" s="7">
        <f t="shared" si="3"/>
        <v>92.5</v>
      </c>
      <c r="G2678" s="17" t="s">
        <v>3113</v>
      </c>
    </row>
    <row r="2679">
      <c r="A2679" s="12">
        <v>1272.0</v>
      </c>
      <c r="B2679" s="17" t="s">
        <v>6442</v>
      </c>
      <c r="C2679" s="17" t="s">
        <v>6443</v>
      </c>
      <c r="D2679" s="17" t="s">
        <v>6444</v>
      </c>
      <c r="E2679" s="16">
        <v>7.5</v>
      </c>
      <c r="F2679" s="7">
        <f t="shared" si="3"/>
        <v>92.5</v>
      </c>
      <c r="G2679" s="17" t="s">
        <v>3113</v>
      </c>
    </row>
    <row r="2680">
      <c r="A2680" s="12">
        <v>1273.0</v>
      </c>
      <c r="B2680" s="17" t="s">
        <v>6445</v>
      </c>
      <c r="C2680" s="17" t="s">
        <v>6446</v>
      </c>
      <c r="D2680" s="17" t="s">
        <v>6290</v>
      </c>
      <c r="E2680" s="16">
        <v>7.5</v>
      </c>
      <c r="F2680" s="7">
        <f t="shared" si="3"/>
        <v>92.5</v>
      </c>
      <c r="G2680" s="17" t="s">
        <v>3113</v>
      </c>
    </row>
    <row r="2681">
      <c r="A2681" s="12">
        <v>1274.0</v>
      </c>
      <c r="B2681" s="17" t="s">
        <v>6447</v>
      </c>
      <c r="C2681" s="17" t="s">
        <v>6448</v>
      </c>
      <c r="D2681" s="17" t="s">
        <v>6433</v>
      </c>
      <c r="E2681" s="16">
        <v>7.5</v>
      </c>
      <c r="F2681" s="7">
        <f t="shared" si="3"/>
        <v>92.5</v>
      </c>
      <c r="G2681" s="17" t="s">
        <v>3113</v>
      </c>
    </row>
    <row r="2682">
      <c r="A2682" s="12">
        <v>1275.0</v>
      </c>
      <c r="B2682" s="17" t="s">
        <v>6449</v>
      </c>
      <c r="C2682" s="17" t="s">
        <v>6450</v>
      </c>
      <c r="D2682" s="17" t="s">
        <v>6415</v>
      </c>
      <c r="E2682" s="16">
        <v>7.5</v>
      </c>
      <c r="F2682" s="7">
        <f t="shared" si="3"/>
        <v>92.5</v>
      </c>
      <c r="G2682" s="17" t="s">
        <v>3113</v>
      </c>
    </row>
    <row r="2683">
      <c r="A2683" s="12">
        <v>1276.0</v>
      </c>
      <c r="B2683" s="17" t="s">
        <v>6451</v>
      </c>
      <c r="C2683" s="17" t="s">
        <v>6452</v>
      </c>
      <c r="D2683" s="17" t="s">
        <v>6453</v>
      </c>
      <c r="E2683" s="16">
        <v>7.5</v>
      </c>
      <c r="F2683" s="7">
        <f t="shared" si="3"/>
        <v>92.5</v>
      </c>
      <c r="G2683" s="17" t="s">
        <v>3113</v>
      </c>
    </row>
    <row r="2684">
      <c r="A2684" s="12">
        <v>1277.0</v>
      </c>
      <c r="B2684" s="17" t="s">
        <v>6454</v>
      </c>
      <c r="C2684" s="17" t="s">
        <v>6455</v>
      </c>
      <c r="D2684" s="17" t="s">
        <v>6456</v>
      </c>
      <c r="E2684" s="16">
        <v>7.5</v>
      </c>
      <c r="F2684" s="7">
        <f t="shared" si="3"/>
        <v>92.5</v>
      </c>
      <c r="G2684" s="17" t="s">
        <v>3113</v>
      </c>
    </row>
    <row r="2685">
      <c r="A2685" s="12">
        <v>1278.0</v>
      </c>
      <c r="B2685" s="17" t="s">
        <v>6457</v>
      </c>
      <c r="C2685" s="17" t="s">
        <v>6458</v>
      </c>
      <c r="D2685" s="17" t="s">
        <v>6459</v>
      </c>
      <c r="E2685" s="16">
        <v>7.5</v>
      </c>
      <c r="F2685" s="7">
        <f t="shared" si="3"/>
        <v>92.5</v>
      </c>
      <c r="G2685" s="17" t="s">
        <v>3113</v>
      </c>
    </row>
    <row r="2686">
      <c r="A2686" s="12">
        <v>1279.0</v>
      </c>
      <c r="B2686" s="17" t="s">
        <v>6460</v>
      </c>
      <c r="C2686" s="17" t="s">
        <v>6461</v>
      </c>
      <c r="D2686" s="17" t="s">
        <v>6459</v>
      </c>
      <c r="E2686" s="16">
        <v>7.5</v>
      </c>
      <c r="F2686" s="7">
        <f t="shared" si="3"/>
        <v>92.5</v>
      </c>
      <c r="G2686" s="17" t="s">
        <v>3113</v>
      </c>
    </row>
    <row r="2687">
      <c r="A2687" s="12">
        <v>1280.0</v>
      </c>
      <c r="B2687" s="17" t="s">
        <v>6462</v>
      </c>
      <c r="C2687" s="17" t="s">
        <v>6463</v>
      </c>
      <c r="D2687" s="17" t="s">
        <v>6464</v>
      </c>
      <c r="E2687" s="16">
        <v>7.5</v>
      </c>
      <c r="F2687" s="7">
        <f t="shared" si="3"/>
        <v>92.5</v>
      </c>
      <c r="G2687" s="17" t="s">
        <v>3113</v>
      </c>
    </row>
    <row r="2688">
      <c r="A2688" s="12">
        <v>1281.0</v>
      </c>
      <c r="B2688" s="17" t="s">
        <v>6465</v>
      </c>
      <c r="C2688" s="17" t="s">
        <v>6466</v>
      </c>
      <c r="D2688" s="17" t="s">
        <v>6464</v>
      </c>
      <c r="E2688" s="16">
        <v>7.5</v>
      </c>
      <c r="F2688" s="7">
        <f t="shared" si="3"/>
        <v>92.5</v>
      </c>
      <c r="G2688" s="17" t="s">
        <v>3113</v>
      </c>
    </row>
    <row r="2689">
      <c r="A2689" s="12">
        <v>1282.0</v>
      </c>
      <c r="B2689" s="17" t="s">
        <v>6467</v>
      </c>
      <c r="C2689" s="17" t="s">
        <v>6468</v>
      </c>
      <c r="D2689" s="17" t="s">
        <v>6421</v>
      </c>
      <c r="E2689" s="16">
        <v>7.5</v>
      </c>
      <c r="F2689" s="7">
        <f t="shared" si="3"/>
        <v>92.5</v>
      </c>
      <c r="G2689" s="17" t="s">
        <v>3113</v>
      </c>
    </row>
    <row r="2690">
      <c r="A2690" s="12">
        <v>1283.0</v>
      </c>
      <c r="B2690" s="17" t="s">
        <v>6469</v>
      </c>
      <c r="C2690" s="17" t="s">
        <v>6470</v>
      </c>
      <c r="D2690" s="17" t="s">
        <v>6471</v>
      </c>
      <c r="E2690" s="16">
        <v>7.5</v>
      </c>
      <c r="F2690" s="7">
        <f t="shared" si="3"/>
        <v>92.5</v>
      </c>
      <c r="G2690" s="17" t="s">
        <v>3113</v>
      </c>
    </row>
    <row r="2691">
      <c r="A2691" s="12">
        <v>1284.0</v>
      </c>
      <c r="B2691" s="17" t="s">
        <v>6472</v>
      </c>
      <c r="C2691" s="17" t="s">
        <v>6473</v>
      </c>
      <c r="D2691" s="17" t="s">
        <v>6474</v>
      </c>
      <c r="E2691" s="16">
        <v>7.5</v>
      </c>
      <c r="F2691" s="7">
        <f t="shared" si="3"/>
        <v>92.5</v>
      </c>
      <c r="G2691" s="17" t="s">
        <v>3113</v>
      </c>
    </row>
    <row r="2692">
      <c r="A2692" s="12">
        <v>1285.0</v>
      </c>
      <c r="B2692" s="17" t="s">
        <v>6475</v>
      </c>
      <c r="C2692" s="17" t="s">
        <v>6476</v>
      </c>
      <c r="D2692" s="17" t="s">
        <v>2892</v>
      </c>
      <c r="E2692" s="16">
        <v>7.5</v>
      </c>
      <c r="F2692" s="7">
        <f t="shared" si="3"/>
        <v>92.5</v>
      </c>
      <c r="G2692" s="17" t="s">
        <v>3113</v>
      </c>
    </row>
    <row r="2693">
      <c r="A2693" s="12">
        <v>1286.0</v>
      </c>
      <c r="B2693" s="17" t="s">
        <v>6477</v>
      </c>
      <c r="C2693" s="17" t="s">
        <v>6478</v>
      </c>
      <c r="D2693" s="17" t="s">
        <v>6479</v>
      </c>
      <c r="E2693" s="16">
        <v>7.5</v>
      </c>
      <c r="F2693" s="7">
        <f t="shared" si="3"/>
        <v>92.5</v>
      </c>
      <c r="G2693" s="17" t="s">
        <v>3113</v>
      </c>
    </row>
    <row r="2694">
      <c r="A2694" s="12">
        <v>1287.0</v>
      </c>
      <c r="B2694" s="17" t="s">
        <v>6480</v>
      </c>
      <c r="C2694" s="17" t="s">
        <v>6481</v>
      </c>
      <c r="D2694" s="17" t="s">
        <v>6482</v>
      </c>
      <c r="E2694" s="16">
        <v>7.5</v>
      </c>
      <c r="F2694" s="7">
        <f t="shared" si="3"/>
        <v>92.5</v>
      </c>
      <c r="G2694" s="17" t="s">
        <v>3113</v>
      </c>
    </row>
    <row r="2695">
      <c r="A2695" s="12">
        <v>1288.0</v>
      </c>
      <c r="B2695" s="17" t="s">
        <v>6483</v>
      </c>
      <c r="C2695" s="17" t="s">
        <v>6484</v>
      </c>
      <c r="D2695" s="17" t="s">
        <v>6482</v>
      </c>
      <c r="E2695" s="16">
        <v>7.5</v>
      </c>
      <c r="F2695" s="7">
        <f t="shared" si="3"/>
        <v>92.5</v>
      </c>
      <c r="G2695" s="17" t="s">
        <v>3113</v>
      </c>
    </row>
    <row r="2696">
      <c r="A2696" s="12">
        <v>1289.0</v>
      </c>
      <c r="B2696" s="17" t="s">
        <v>6485</v>
      </c>
      <c r="C2696" s="17" t="s">
        <v>6486</v>
      </c>
      <c r="D2696" s="17" t="s">
        <v>6487</v>
      </c>
      <c r="E2696" s="16">
        <v>7.5</v>
      </c>
      <c r="F2696" s="7">
        <f t="shared" si="3"/>
        <v>92.5</v>
      </c>
      <c r="G2696" s="17" t="s">
        <v>3113</v>
      </c>
    </row>
    <row r="2697">
      <c r="A2697" s="12">
        <v>1290.0</v>
      </c>
      <c r="B2697" s="17" t="s">
        <v>6488</v>
      </c>
      <c r="C2697" s="17" t="s">
        <v>6489</v>
      </c>
      <c r="D2697" s="17" t="s">
        <v>6487</v>
      </c>
      <c r="E2697" s="16">
        <v>7.5</v>
      </c>
      <c r="F2697" s="7">
        <f t="shared" si="3"/>
        <v>92.5</v>
      </c>
      <c r="G2697" s="17" t="s">
        <v>3113</v>
      </c>
    </row>
    <row r="2698">
      <c r="A2698" s="12">
        <v>1291.0</v>
      </c>
      <c r="B2698" s="17" t="s">
        <v>6490</v>
      </c>
      <c r="C2698" s="17" t="s">
        <v>6491</v>
      </c>
      <c r="D2698" s="17" t="s">
        <v>6391</v>
      </c>
      <c r="E2698" s="16">
        <v>7.5</v>
      </c>
      <c r="F2698" s="7">
        <f t="shared" si="3"/>
        <v>92.5</v>
      </c>
      <c r="G2698" s="17" t="s">
        <v>3113</v>
      </c>
    </row>
    <row r="2699">
      <c r="A2699" s="12">
        <v>1292.0</v>
      </c>
      <c r="B2699" s="17" t="s">
        <v>6492</v>
      </c>
      <c r="C2699" s="17" t="s">
        <v>6493</v>
      </c>
      <c r="D2699" s="17" t="s">
        <v>6315</v>
      </c>
      <c r="E2699" s="16">
        <v>7.5</v>
      </c>
      <c r="F2699" s="7">
        <f t="shared" si="3"/>
        <v>92.5</v>
      </c>
      <c r="G2699" s="17" t="s">
        <v>3113</v>
      </c>
    </row>
    <row r="2700">
      <c r="A2700" s="12">
        <v>1293.0</v>
      </c>
      <c r="B2700" s="17" t="s">
        <v>6494</v>
      </c>
      <c r="C2700" s="17" t="s">
        <v>6495</v>
      </c>
      <c r="D2700" s="17" t="s">
        <v>6496</v>
      </c>
      <c r="E2700" s="16">
        <v>7.5</v>
      </c>
      <c r="F2700" s="7">
        <f t="shared" si="3"/>
        <v>92.5</v>
      </c>
      <c r="G2700" s="17" t="s">
        <v>3113</v>
      </c>
    </row>
    <row r="2701">
      <c r="A2701" s="12">
        <v>1294.0</v>
      </c>
      <c r="B2701" s="17" t="s">
        <v>6497</v>
      </c>
      <c r="C2701" s="17" t="s">
        <v>6498</v>
      </c>
      <c r="D2701" s="17" t="s">
        <v>6499</v>
      </c>
      <c r="E2701" s="16">
        <v>7.5</v>
      </c>
      <c r="F2701" s="7">
        <f t="shared" si="3"/>
        <v>92.5</v>
      </c>
      <c r="G2701" s="17" t="s">
        <v>3113</v>
      </c>
    </row>
    <row r="2702">
      <c r="A2702" s="12">
        <v>1295.0</v>
      </c>
      <c r="B2702" s="17" t="s">
        <v>6500</v>
      </c>
      <c r="C2702" s="17" t="s">
        <v>6501</v>
      </c>
      <c r="D2702" s="17" t="s">
        <v>6499</v>
      </c>
      <c r="E2702" s="16">
        <v>7.5</v>
      </c>
      <c r="F2702" s="7">
        <f t="shared" si="3"/>
        <v>92.5</v>
      </c>
      <c r="G2702" s="17" t="s">
        <v>3113</v>
      </c>
    </row>
    <row r="2703">
      <c r="A2703" s="12">
        <v>1296.0</v>
      </c>
      <c r="B2703" s="17" t="s">
        <v>6502</v>
      </c>
      <c r="C2703" s="17" t="s">
        <v>6503</v>
      </c>
      <c r="D2703" s="17" t="s">
        <v>6504</v>
      </c>
      <c r="E2703" s="16">
        <v>7.5</v>
      </c>
      <c r="F2703" s="7">
        <f t="shared" si="3"/>
        <v>92.5</v>
      </c>
      <c r="G2703" s="17" t="s">
        <v>3113</v>
      </c>
    </row>
    <row r="2704">
      <c r="A2704" s="12">
        <v>1297.0</v>
      </c>
      <c r="B2704" s="17" t="s">
        <v>6505</v>
      </c>
      <c r="C2704" s="17" t="s">
        <v>6506</v>
      </c>
      <c r="D2704" s="17" t="s">
        <v>6504</v>
      </c>
      <c r="E2704" s="16">
        <v>7.5</v>
      </c>
      <c r="F2704" s="7">
        <f t="shared" si="3"/>
        <v>92.5</v>
      </c>
      <c r="G2704" s="17" t="s">
        <v>3113</v>
      </c>
    </row>
    <row r="2705">
      <c r="A2705" s="12">
        <v>1298.0</v>
      </c>
      <c r="B2705" s="17" t="s">
        <v>6507</v>
      </c>
      <c r="C2705" s="17" t="s">
        <v>6508</v>
      </c>
      <c r="D2705" s="17" t="s">
        <v>6509</v>
      </c>
      <c r="E2705" s="16">
        <v>7.5</v>
      </c>
      <c r="F2705" s="7">
        <f t="shared" si="3"/>
        <v>92.5</v>
      </c>
      <c r="G2705" s="17" t="s">
        <v>3113</v>
      </c>
    </row>
    <row r="2706">
      <c r="A2706" s="12">
        <v>1299.0</v>
      </c>
      <c r="B2706" s="17" t="s">
        <v>6510</v>
      </c>
      <c r="C2706" s="17" t="s">
        <v>6511</v>
      </c>
      <c r="D2706" s="17" t="s">
        <v>6509</v>
      </c>
      <c r="E2706" s="16">
        <v>7.5</v>
      </c>
      <c r="F2706" s="7">
        <f t="shared" si="3"/>
        <v>92.5</v>
      </c>
      <c r="G2706" s="17" t="s">
        <v>3113</v>
      </c>
    </row>
    <row r="2707">
      <c r="A2707" s="12">
        <v>1300.0</v>
      </c>
      <c r="B2707" s="17" t="s">
        <v>6512</v>
      </c>
      <c r="C2707" s="17" t="s">
        <v>6513</v>
      </c>
      <c r="D2707" s="17" t="s">
        <v>6514</v>
      </c>
      <c r="E2707" s="16">
        <v>7.5</v>
      </c>
      <c r="F2707" s="7">
        <f t="shared" si="3"/>
        <v>92.5</v>
      </c>
      <c r="G2707" s="17" t="s">
        <v>3113</v>
      </c>
    </row>
    <row r="2708">
      <c r="A2708" s="12">
        <v>1301.0</v>
      </c>
      <c r="B2708" s="17" t="s">
        <v>6515</v>
      </c>
      <c r="C2708" s="17" t="s">
        <v>6516</v>
      </c>
      <c r="D2708" s="17" t="s">
        <v>6517</v>
      </c>
      <c r="E2708" s="16">
        <v>7.5</v>
      </c>
      <c r="F2708" s="7">
        <f t="shared" si="3"/>
        <v>92.5</v>
      </c>
      <c r="G2708" s="17" t="s">
        <v>3113</v>
      </c>
    </row>
    <row r="2709">
      <c r="A2709" s="12">
        <v>1302.0</v>
      </c>
      <c r="B2709" s="17" t="s">
        <v>6518</v>
      </c>
      <c r="C2709" s="17" t="s">
        <v>6519</v>
      </c>
      <c r="D2709" s="17" t="s">
        <v>6517</v>
      </c>
      <c r="E2709" s="16">
        <v>7.5</v>
      </c>
      <c r="F2709" s="7">
        <f t="shared" si="3"/>
        <v>92.5</v>
      </c>
      <c r="G2709" s="17" t="s">
        <v>3113</v>
      </c>
    </row>
    <row r="2710">
      <c r="A2710" s="12">
        <v>1303.0</v>
      </c>
      <c r="B2710" s="17" t="s">
        <v>6520</v>
      </c>
      <c r="C2710" s="17" t="s">
        <v>6521</v>
      </c>
      <c r="D2710" s="17" t="s">
        <v>6522</v>
      </c>
      <c r="E2710" s="16">
        <v>7.5</v>
      </c>
      <c r="F2710" s="7">
        <f t="shared" si="3"/>
        <v>92.5</v>
      </c>
      <c r="G2710" s="17" t="s">
        <v>3113</v>
      </c>
    </row>
    <row r="2711">
      <c r="A2711" s="12">
        <v>1304.0</v>
      </c>
      <c r="B2711" s="17" t="s">
        <v>6523</v>
      </c>
      <c r="C2711" s="17" t="s">
        <v>6524</v>
      </c>
      <c r="D2711" s="17" t="s">
        <v>6525</v>
      </c>
      <c r="E2711" s="16">
        <v>7.5</v>
      </c>
      <c r="F2711" s="7">
        <f t="shared" si="3"/>
        <v>92.5</v>
      </c>
      <c r="G2711" s="17" t="s">
        <v>3113</v>
      </c>
    </row>
    <row r="2712">
      <c r="A2712" s="12">
        <v>1305.0</v>
      </c>
      <c r="B2712" s="17" t="s">
        <v>6526</v>
      </c>
      <c r="C2712" s="17" t="s">
        <v>6527</v>
      </c>
      <c r="D2712" s="17" t="s">
        <v>6525</v>
      </c>
      <c r="E2712" s="16">
        <v>7.5</v>
      </c>
      <c r="F2712" s="7">
        <f t="shared" si="3"/>
        <v>92.5</v>
      </c>
      <c r="G2712" s="17" t="s">
        <v>3113</v>
      </c>
    </row>
    <row r="2713">
      <c r="A2713" s="12">
        <v>1306.0</v>
      </c>
      <c r="B2713" s="17" t="s">
        <v>6528</v>
      </c>
      <c r="C2713" s="17" t="s">
        <v>6529</v>
      </c>
      <c r="D2713" s="17" t="s">
        <v>6530</v>
      </c>
      <c r="E2713" s="16">
        <v>7.5</v>
      </c>
      <c r="F2713" s="7">
        <f t="shared" si="3"/>
        <v>92.5</v>
      </c>
      <c r="G2713" s="17" t="s">
        <v>3113</v>
      </c>
    </row>
    <row r="2714">
      <c r="A2714" s="12">
        <v>1307.0</v>
      </c>
      <c r="B2714" s="17" t="s">
        <v>6531</v>
      </c>
      <c r="C2714" s="17" t="s">
        <v>6532</v>
      </c>
      <c r="D2714" s="17" t="s">
        <v>6530</v>
      </c>
      <c r="E2714" s="16">
        <v>7.5</v>
      </c>
      <c r="F2714" s="7">
        <f t="shared" si="3"/>
        <v>92.5</v>
      </c>
      <c r="G2714" s="17" t="s">
        <v>3113</v>
      </c>
    </row>
    <row r="2715">
      <c r="A2715" s="12">
        <v>1308.0</v>
      </c>
      <c r="B2715" s="17" t="s">
        <v>6533</v>
      </c>
      <c r="C2715" s="17" t="s">
        <v>6534</v>
      </c>
      <c r="D2715" s="17" t="s">
        <v>6535</v>
      </c>
      <c r="E2715" s="16">
        <v>7.5</v>
      </c>
      <c r="F2715" s="7">
        <f t="shared" si="3"/>
        <v>92.5</v>
      </c>
      <c r="G2715" s="17" t="s">
        <v>3113</v>
      </c>
    </row>
    <row r="2716">
      <c r="A2716" s="12">
        <v>1309.0</v>
      </c>
      <c r="B2716" s="17" t="s">
        <v>6536</v>
      </c>
      <c r="C2716" s="17" t="s">
        <v>6537</v>
      </c>
      <c r="D2716" s="17" t="s">
        <v>6535</v>
      </c>
      <c r="E2716" s="16">
        <v>7.5</v>
      </c>
      <c r="F2716" s="7">
        <f t="shared" si="3"/>
        <v>92.5</v>
      </c>
      <c r="G2716" s="17" t="s">
        <v>3113</v>
      </c>
    </row>
    <row r="2717">
      <c r="A2717" s="12">
        <v>1310.0</v>
      </c>
      <c r="B2717" s="17" t="s">
        <v>6538</v>
      </c>
      <c r="C2717" s="17" t="s">
        <v>6539</v>
      </c>
      <c r="D2717" s="17" t="s">
        <v>6540</v>
      </c>
      <c r="E2717" s="16">
        <v>7.5</v>
      </c>
      <c r="F2717" s="7">
        <f t="shared" si="3"/>
        <v>92.5</v>
      </c>
      <c r="G2717" s="17" t="s">
        <v>3113</v>
      </c>
    </row>
    <row r="2718">
      <c r="A2718" s="12">
        <v>1311.0</v>
      </c>
      <c r="B2718" s="17" t="s">
        <v>6541</v>
      </c>
      <c r="C2718" s="17" t="s">
        <v>6542</v>
      </c>
      <c r="D2718" s="17" t="s">
        <v>6540</v>
      </c>
      <c r="E2718" s="16">
        <v>7.5</v>
      </c>
      <c r="F2718" s="7">
        <f t="shared" si="3"/>
        <v>92.5</v>
      </c>
      <c r="G2718" s="17" t="s">
        <v>3113</v>
      </c>
    </row>
    <row r="2719">
      <c r="A2719" s="12">
        <v>1312.0</v>
      </c>
      <c r="B2719" s="17" t="s">
        <v>6543</v>
      </c>
      <c r="C2719" s="17" t="s">
        <v>6544</v>
      </c>
      <c r="D2719" s="17" t="s">
        <v>6545</v>
      </c>
      <c r="E2719" s="16">
        <v>7.5</v>
      </c>
      <c r="F2719" s="7">
        <f t="shared" si="3"/>
        <v>92.5</v>
      </c>
      <c r="G2719" s="17" t="s">
        <v>3113</v>
      </c>
    </row>
    <row r="2720">
      <c r="A2720" s="12">
        <v>1313.0</v>
      </c>
      <c r="B2720" s="17" t="s">
        <v>6546</v>
      </c>
      <c r="C2720" s="17" t="s">
        <v>6547</v>
      </c>
      <c r="D2720" s="17" t="s">
        <v>6545</v>
      </c>
      <c r="E2720" s="16">
        <v>7.5</v>
      </c>
      <c r="F2720" s="7">
        <f t="shared" si="3"/>
        <v>92.5</v>
      </c>
      <c r="G2720" s="17" t="s">
        <v>3113</v>
      </c>
    </row>
    <row r="2721">
      <c r="A2721" s="12">
        <v>1314.0</v>
      </c>
      <c r="B2721" s="17" t="s">
        <v>6548</v>
      </c>
      <c r="C2721" s="17" t="s">
        <v>6549</v>
      </c>
      <c r="D2721" s="17" t="s">
        <v>6550</v>
      </c>
      <c r="E2721" s="16">
        <v>7.5</v>
      </c>
      <c r="F2721" s="7">
        <f t="shared" si="3"/>
        <v>92.5</v>
      </c>
      <c r="G2721" s="17" t="s">
        <v>3113</v>
      </c>
    </row>
    <row r="2722">
      <c r="A2722" s="12">
        <v>1315.0</v>
      </c>
      <c r="B2722" s="17" t="s">
        <v>6551</v>
      </c>
      <c r="C2722" s="17" t="s">
        <v>6552</v>
      </c>
      <c r="D2722" s="17" t="s">
        <v>6550</v>
      </c>
      <c r="E2722" s="16">
        <v>7.5</v>
      </c>
      <c r="F2722" s="7">
        <f t="shared" si="3"/>
        <v>92.5</v>
      </c>
      <c r="G2722" s="17" t="s">
        <v>3113</v>
      </c>
    </row>
    <row r="2723">
      <c r="A2723" s="12">
        <v>1316.0</v>
      </c>
      <c r="B2723" s="17" t="s">
        <v>6553</v>
      </c>
      <c r="C2723" s="17" t="s">
        <v>6554</v>
      </c>
      <c r="D2723" s="17" t="s">
        <v>6555</v>
      </c>
      <c r="E2723" s="16">
        <v>7.5</v>
      </c>
      <c r="F2723" s="7">
        <f t="shared" si="3"/>
        <v>92.5</v>
      </c>
      <c r="G2723" s="17" t="s">
        <v>3113</v>
      </c>
    </row>
    <row r="2724">
      <c r="A2724" s="12">
        <v>1317.0</v>
      </c>
      <c r="B2724" s="17" t="s">
        <v>6556</v>
      </c>
      <c r="C2724" s="17" t="s">
        <v>6557</v>
      </c>
      <c r="D2724" s="17" t="s">
        <v>6555</v>
      </c>
      <c r="E2724" s="16">
        <v>7.5</v>
      </c>
      <c r="F2724" s="7">
        <f t="shared" si="3"/>
        <v>92.5</v>
      </c>
      <c r="G2724" s="17" t="s">
        <v>3113</v>
      </c>
    </row>
    <row r="2725">
      <c r="A2725" s="12">
        <v>1318.0</v>
      </c>
      <c r="B2725" s="17" t="s">
        <v>6558</v>
      </c>
      <c r="C2725" s="17" t="s">
        <v>6559</v>
      </c>
      <c r="D2725" s="17" t="s">
        <v>6358</v>
      </c>
      <c r="E2725" s="16">
        <v>7.5</v>
      </c>
      <c r="F2725" s="7">
        <f t="shared" si="3"/>
        <v>92.5</v>
      </c>
      <c r="G2725" s="17" t="s">
        <v>3113</v>
      </c>
    </row>
    <row r="2726">
      <c r="A2726" s="12">
        <v>1319.0</v>
      </c>
      <c r="B2726" s="17" t="s">
        <v>6560</v>
      </c>
      <c r="C2726" s="17" t="s">
        <v>6561</v>
      </c>
      <c r="D2726" s="17" t="s">
        <v>6562</v>
      </c>
      <c r="E2726" s="16">
        <v>7.5</v>
      </c>
      <c r="F2726" s="7">
        <f t="shared" si="3"/>
        <v>92.5</v>
      </c>
      <c r="G2726" s="17" t="s">
        <v>3113</v>
      </c>
    </row>
    <row r="2727">
      <c r="A2727" s="12">
        <v>1320.0</v>
      </c>
      <c r="B2727" s="17" t="s">
        <v>6563</v>
      </c>
      <c r="C2727" s="17" t="s">
        <v>6564</v>
      </c>
      <c r="D2727" s="17" t="s">
        <v>6565</v>
      </c>
      <c r="E2727" s="16">
        <v>7.5</v>
      </c>
      <c r="F2727" s="7">
        <f t="shared" si="3"/>
        <v>92.5</v>
      </c>
      <c r="G2727" s="17" t="s">
        <v>3113</v>
      </c>
    </row>
    <row r="2728">
      <c r="A2728" s="12">
        <v>1321.0</v>
      </c>
      <c r="B2728" s="17" t="s">
        <v>6566</v>
      </c>
      <c r="C2728" s="17" t="s">
        <v>6567</v>
      </c>
      <c r="D2728" s="17" t="s">
        <v>6568</v>
      </c>
      <c r="E2728" s="16">
        <v>7.5</v>
      </c>
      <c r="F2728" s="7">
        <f t="shared" si="3"/>
        <v>92.5</v>
      </c>
      <c r="G2728" s="17" t="s">
        <v>3113</v>
      </c>
    </row>
    <row r="2729">
      <c r="A2729" s="12">
        <v>1322.0</v>
      </c>
      <c r="B2729" s="17" t="s">
        <v>6569</v>
      </c>
      <c r="C2729" s="17" t="s">
        <v>6570</v>
      </c>
      <c r="D2729" s="17" t="s">
        <v>6571</v>
      </c>
      <c r="E2729" s="16">
        <v>7.5</v>
      </c>
      <c r="F2729" s="7">
        <f t="shared" si="3"/>
        <v>92.5</v>
      </c>
      <c r="G2729" s="17" t="s">
        <v>3113</v>
      </c>
    </row>
    <row r="2730">
      <c r="A2730" s="12">
        <v>1323.0</v>
      </c>
      <c r="B2730" s="17" t="s">
        <v>6572</v>
      </c>
      <c r="C2730" s="17" t="s">
        <v>6573</v>
      </c>
      <c r="D2730" s="17" t="s">
        <v>6574</v>
      </c>
      <c r="E2730" s="16">
        <v>7.5</v>
      </c>
      <c r="F2730" s="7">
        <f t="shared" si="3"/>
        <v>92.5</v>
      </c>
      <c r="G2730" s="17" t="s">
        <v>3113</v>
      </c>
    </row>
    <row r="2731">
      <c r="A2731" s="12">
        <v>1324.0</v>
      </c>
      <c r="B2731" s="17" t="s">
        <v>6575</v>
      </c>
      <c r="C2731" s="17" t="s">
        <v>6576</v>
      </c>
      <c r="D2731" s="17" t="s">
        <v>6577</v>
      </c>
      <c r="E2731" s="16">
        <v>7.5</v>
      </c>
      <c r="F2731" s="7">
        <f t="shared" si="3"/>
        <v>92.5</v>
      </c>
      <c r="G2731" s="17" t="s">
        <v>3113</v>
      </c>
    </row>
    <row r="2732">
      <c r="A2732" s="12">
        <v>1325.0</v>
      </c>
      <c r="B2732" s="17" t="s">
        <v>6578</v>
      </c>
      <c r="C2732" s="17" t="s">
        <v>6579</v>
      </c>
      <c r="D2732" s="17" t="s">
        <v>6577</v>
      </c>
      <c r="E2732" s="16">
        <v>7.5</v>
      </c>
      <c r="F2732" s="7">
        <f t="shared" si="3"/>
        <v>92.5</v>
      </c>
      <c r="G2732" s="17" t="s">
        <v>3113</v>
      </c>
    </row>
    <row r="2733">
      <c r="A2733" s="12">
        <v>1326.0</v>
      </c>
      <c r="B2733" s="17" t="s">
        <v>6580</v>
      </c>
      <c r="C2733" s="17" t="s">
        <v>6581</v>
      </c>
      <c r="D2733" s="17" t="s">
        <v>6582</v>
      </c>
      <c r="E2733" s="16">
        <v>7.5</v>
      </c>
      <c r="F2733" s="7">
        <f t="shared" si="3"/>
        <v>92.5</v>
      </c>
      <c r="G2733" s="17" t="s">
        <v>3113</v>
      </c>
    </row>
    <row r="2734">
      <c r="A2734" s="12">
        <v>1327.0</v>
      </c>
      <c r="B2734" s="17" t="s">
        <v>6583</v>
      </c>
      <c r="C2734" s="17" t="s">
        <v>6584</v>
      </c>
      <c r="D2734" s="17" t="s">
        <v>6582</v>
      </c>
      <c r="E2734" s="16">
        <v>7.5</v>
      </c>
      <c r="F2734" s="7">
        <f t="shared" si="3"/>
        <v>92.5</v>
      </c>
      <c r="G2734" s="17" t="s">
        <v>3113</v>
      </c>
    </row>
    <row r="2735">
      <c r="A2735" s="12">
        <v>1328.0</v>
      </c>
      <c r="B2735" s="17" t="s">
        <v>6585</v>
      </c>
      <c r="C2735" s="17" t="s">
        <v>6586</v>
      </c>
      <c r="D2735" s="17" t="s">
        <v>6587</v>
      </c>
      <c r="E2735" s="16">
        <v>7.5</v>
      </c>
      <c r="F2735" s="7">
        <f t="shared" si="3"/>
        <v>92.5</v>
      </c>
      <c r="G2735" s="17" t="s">
        <v>3113</v>
      </c>
    </row>
    <row r="2736">
      <c r="A2736" s="12">
        <v>1329.0</v>
      </c>
      <c r="B2736" s="17" t="s">
        <v>6588</v>
      </c>
      <c r="C2736" s="17" t="s">
        <v>6589</v>
      </c>
      <c r="D2736" s="17" t="s">
        <v>6587</v>
      </c>
      <c r="E2736" s="16">
        <v>7.5</v>
      </c>
      <c r="F2736" s="7">
        <f t="shared" si="3"/>
        <v>92.5</v>
      </c>
      <c r="G2736" s="17" t="s">
        <v>3113</v>
      </c>
    </row>
    <row r="2737">
      <c r="A2737" s="12">
        <v>1330.0</v>
      </c>
      <c r="B2737" s="17" t="s">
        <v>6590</v>
      </c>
      <c r="C2737" s="17" t="s">
        <v>6591</v>
      </c>
      <c r="D2737" s="17" t="s">
        <v>6592</v>
      </c>
      <c r="E2737" s="16">
        <v>7.5</v>
      </c>
      <c r="F2737" s="7">
        <f t="shared" si="3"/>
        <v>92.5</v>
      </c>
      <c r="G2737" s="17" t="s">
        <v>3113</v>
      </c>
    </row>
    <row r="2738">
      <c r="A2738" s="12">
        <v>1331.0</v>
      </c>
      <c r="B2738" s="17" t="s">
        <v>6593</v>
      </c>
      <c r="C2738" s="17" t="s">
        <v>6594</v>
      </c>
      <c r="D2738" s="17" t="s">
        <v>6592</v>
      </c>
      <c r="E2738" s="16">
        <v>7.5</v>
      </c>
      <c r="F2738" s="7">
        <f t="shared" si="3"/>
        <v>92.5</v>
      </c>
      <c r="G2738" s="17" t="s">
        <v>3113</v>
      </c>
    </row>
    <row r="2739">
      <c r="A2739" s="12">
        <v>1332.0</v>
      </c>
      <c r="B2739" s="17" t="s">
        <v>6595</v>
      </c>
      <c r="C2739" s="17" t="s">
        <v>6596</v>
      </c>
      <c r="D2739" s="17" t="s">
        <v>6597</v>
      </c>
      <c r="E2739" s="16">
        <v>7.5</v>
      </c>
      <c r="F2739" s="7">
        <f t="shared" si="3"/>
        <v>92.5</v>
      </c>
      <c r="G2739" s="17" t="s">
        <v>3113</v>
      </c>
    </row>
    <row r="2740">
      <c r="A2740" s="12">
        <v>1333.0</v>
      </c>
      <c r="B2740" s="17" t="s">
        <v>6598</v>
      </c>
      <c r="C2740" s="17" t="s">
        <v>6599</v>
      </c>
      <c r="D2740" s="17" t="s">
        <v>6600</v>
      </c>
      <c r="E2740" s="16">
        <v>7.5</v>
      </c>
      <c r="F2740" s="7">
        <f t="shared" si="3"/>
        <v>92.5</v>
      </c>
      <c r="G2740" s="17" t="s">
        <v>3113</v>
      </c>
    </row>
    <row r="2741">
      <c r="A2741" s="12">
        <v>1334.0</v>
      </c>
      <c r="B2741" s="17" t="s">
        <v>6601</v>
      </c>
      <c r="C2741" s="17" t="s">
        <v>6602</v>
      </c>
      <c r="D2741" s="17" t="s">
        <v>6600</v>
      </c>
      <c r="E2741" s="16">
        <v>7.5</v>
      </c>
      <c r="F2741" s="7">
        <f t="shared" si="3"/>
        <v>92.5</v>
      </c>
      <c r="G2741" s="17" t="s">
        <v>3113</v>
      </c>
    </row>
    <row r="2742">
      <c r="A2742" s="12">
        <v>1335.0</v>
      </c>
      <c r="B2742" s="17" t="s">
        <v>6603</v>
      </c>
      <c r="C2742" s="17" t="s">
        <v>6604</v>
      </c>
      <c r="D2742" s="17" t="s">
        <v>6605</v>
      </c>
      <c r="E2742" s="16">
        <v>7.5</v>
      </c>
      <c r="F2742" s="7">
        <f t="shared" si="3"/>
        <v>92.5</v>
      </c>
      <c r="G2742" s="17" t="s">
        <v>3113</v>
      </c>
    </row>
    <row r="2743">
      <c r="A2743" s="12">
        <v>1336.0</v>
      </c>
      <c r="B2743" s="17" t="s">
        <v>6606</v>
      </c>
      <c r="C2743" s="17" t="s">
        <v>6607</v>
      </c>
      <c r="D2743" s="17" t="s">
        <v>6605</v>
      </c>
      <c r="E2743" s="16">
        <v>7.5</v>
      </c>
      <c r="F2743" s="7">
        <f t="shared" si="3"/>
        <v>92.5</v>
      </c>
      <c r="G2743" s="17" t="s">
        <v>3113</v>
      </c>
    </row>
    <row r="2744">
      <c r="A2744" s="12">
        <v>1337.0</v>
      </c>
      <c r="B2744" s="17" t="s">
        <v>6608</v>
      </c>
      <c r="C2744" s="17" t="s">
        <v>6609</v>
      </c>
      <c r="D2744" s="17" t="s">
        <v>6610</v>
      </c>
      <c r="E2744" s="16">
        <v>7.5</v>
      </c>
      <c r="F2744" s="7">
        <f t="shared" si="3"/>
        <v>92.5</v>
      </c>
      <c r="G2744" s="17" t="s">
        <v>3113</v>
      </c>
    </row>
    <row r="2745">
      <c r="A2745" s="12">
        <v>1338.0</v>
      </c>
      <c r="B2745" s="17" t="s">
        <v>6611</v>
      </c>
      <c r="C2745" s="17" t="s">
        <v>6612</v>
      </c>
      <c r="D2745" s="17" t="s">
        <v>6610</v>
      </c>
      <c r="E2745" s="16">
        <v>7.5</v>
      </c>
      <c r="F2745" s="7">
        <f t="shared" si="3"/>
        <v>92.5</v>
      </c>
      <c r="G2745" s="17" t="s">
        <v>3113</v>
      </c>
    </row>
    <row r="2746">
      <c r="A2746" s="12">
        <v>1339.0</v>
      </c>
      <c r="B2746" s="17" t="s">
        <v>6613</v>
      </c>
      <c r="C2746" s="17" t="s">
        <v>6614</v>
      </c>
      <c r="D2746" s="17" t="s">
        <v>6615</v>
      </c>
      <c r="E2746" s="16">
        <v>7.5</v>
      </c>
      <c r="F2746" s="7">
        <f t="shared" si="3"/>
        <v>92.5</v>
      </c>
      <c r="G2746" s="17" t="s">
        <v>3113</v>
      </c>
    </row>
    <row r="2747">
      <c r="A2747" s="12">
        <v>1340.0</v>
      </c>
      <c r="B2747" s="17" t="s">
        <v>6616</v>
      </c>
      <c r="C2747" s="17" t="s">
        <v>6617</v>
      </c>
      <c r="D2747" s="17" t="s">
        <v>6618</v>
      </c>
      <c r="E2747" s="16">
        <v>7.5</v>
      </c>
      <c r="F2747" s="7">
        <f t="shared" si="3"/>
        <v>92.5</v>
      </c>
      <c r="G2747" s="17" t="s">
        <v>3113</v>
      </c>
    </row>
    <row r="2748">
      <c r="A2748" s="12">
        <v>1341.0</v>
      </c>
      <c r="B2748" s="17" t="s">
        <v>6619</v>
      </c>
      <c r="C2748" s="17" t="s">
        <v>6620</v>
      </c>
      <c r="D2748" s="17" t="s">
        <v>6618</v>
      </c>
      <c r="E2748" s="16">
        <v>7.5</v>
      </c>
      <c r="F2748" s="7">
        <f t="shared" si="3"/>
        <v>92.5</v>
      </c>
      <c r="G2748" s="17" t="s">
        <v>3113</v>
      </c>
    </row>
    <row r="2749">
      <c r="A2749" s="12">
        <v>1342.0</v>
      </c>
      <c r="B2749" s="17" t="s">
        <v>6621</v>
      </c>
      <c r="C2749" s="17" t="s">
        <v>6622</v>
      </c>
      <c r="D2749" s="17" t="s">
        <v>6623</v>
      </c>
      <c r="E2749" s="16">
        <v>7.5</v>
      </c>
      <c r="F2749" s="7">
        <f t="shared" si="3"/>
        <v>92.5</v>
      </c>
      <c r="G2749" s="17" t="s">
        <v>3113</v>
      </c>
    </row>
    <row r="2750">
      <c r="A2750" s="12">
        <v>1343.0</v>
      </c>
      <c r="B2750" s="17" t="s">
        <v>6624</v>
      </c>
      <c r="C2750" s="17" t="s">
        <v>6625</v>
      </c>
      <c r="D2750" s="17" t="s">
        <v>6626</v>
      </c>
      <c r="E2750" s="16">
        <v>7.5</v>
      </c>
      <c r="F2750" s="7">
        <f t="shared" si="3"/>
        <v>92.5</v>
      </c>
      <c r="G2750" s="17" t="s">
        <v>3113</v>
      </c>
    </row>
    <row r="2751">
      <c r="A2751" s="12">
        <v>1344.0</v>
      </c>
      <c r="B2751" s="17" t="s">
        <v>6627</v>
      </c>
      <c r="C2751" s="17" t="s">
        <v>6628</v>
      </c>
      <c r="D2751" s="17" t="s">
        <v>6629</v>
      </c>
      <c r="E2751" s="16">
        <v>7.5</v>
      </c>
      <c r="F2751" s="7">
        <f t="shared" si="3"/>
        <v>92.5</v>
      </c>
      <c r="G2751" s="17" t="s">
        <v>3113</v>
      </c>
    </row>
    <row r="2752">
      <c r="A2752" s="12">
        <v>1345.0</v>
      </c>
      <c r="B2752" s="17" t="s">
        <v>6630</v>
      </c>
      <c r="C2752" s="17" t="s">
        <v>6631</v>
      </c>
      <c r="D2752" s="17" t="s">
        <v>6629</v>
      </c>
      <c r="E2752" s="16">
        <v>7.5</v>
      </c>
      <c r="F2752" s="7">
        <f t="shared" si="3"/>
        <v>92.5</v>
      </c>
      <c r="G2752" s="17" t="s">
        <v>3113</v>
      </c>
    </row>
    <row r="2753">
      <c r="A2753" s="12">
        <v>1346.0</v>
      </c>
      <c r="B2753" s="17" t="s">
        <v>6632</v>
      </c>
      <c r="C2753" s="17" t="s">
        <v>6633</v>
      </c>
      <c r="D2753" s="17" t="s">
        <v>6634</v>
      </c>
      <c r="E2753" s="16">
        <v>7.5</v>
      </c>
      <c r="F2753" s="7">
        <f t="shared" si="3"/>
        <v>92.5</v>
      </c>
      <c r="G2753" s="17" t="s">
        <v>3113</v>
      </c>
    </row>
    <row r="2754">
      <c r="A2754" s="12">
        <v>1347.0</v>
      </c>
      <c r="B2754" s="17" t="s">
        <v>6635</v>
      </c>
      <c r="C2754" s="17" t="s">
        <v>6636</v>
      </c>
      <c r="D2754" s="17" t="s">
        <v>6637</v>
      </c>
      <c r="E2754" s="16">
        <v>7.5</v>
      </c>
      <c r="F2754" s="7">
        <f t="shared" si="3"/>
        <v>92.5</v>
      </c>
      <c r="G2754" s="17" t="s">
        <v>3113</v>
      </c>
    </row>
    <row r="2755">
      <c r="A2755" s="12">
        <v>1348.0</v>
      </c>
      <c r="B2755" s="17" t="s">
        <v>6638</v>
      </c>
      <c r="C2755" s="17" t="s">
        <v>6639</v>
      </c>
      <c r="D2755" s="17" t="s">
        <v>6640</v>
      </c>
      <c r="E2755" s="16">
        <v>7.5</v>
      </c>
      <c r="F2755" s="7">
        <f t="shared" si="3"/>
        <v>92.5</v>
      </c>
      <c r="G2755" s="17" t="s">
        <v>3113</v>
      </c>
    </row>
    <row r="2756">
      <c r="A2756" s="12">
        <v>1349.0</v>
      </c>
      <c r="B2756" s="17" t="s">
        <v>6641</v>
      </c>
      <c r="C2756" s="17" t="s">
        <v>6642</v>
      </c>
      <c r="D2756" s="17" t="s">
        <v>6643</v>
      </c>
      <c r="E2756" s="16">
        <v>7.5</v>
      </c>
      <c r="F2756" s="7">
        <f t="shared" si="3"/>
        <v>92.5</v>
      </c>
      <c r="G2756" s="17" t="s">
        <v>3113</v>
      </c>
    </row>
    <row r="2757">
      <c r="A2757" s="12">
        <v>1350.0</v>
      </c>
      <c r="B2757" s="17" t="s">
        <v>6644</v>
      </c>
      <c r="C2757" s="17" t="s">
        <v>6645</v>
      </c>
      <c r="D2757" s="17" t="s">
        <v>6646</v>
      </c>
      <c r="E2757" s="16">
        <v>7.5</v>
      </c>
      <c r="F2757" s="7">
        <f t="shared" si="3"/>
        <v>92.5</v>
      </c>
      <c r="G2757" s="17" t="s">
        <v>3113</v>
      </c>
    </row>
    <row r="2758">
      <c r="A2758" s="12">
        <v>1351.0</v>
      </c>
      <c r="B2758" s="17" t="s">
        <v>6647</v>
      </c>
      <c r="C2758" s="17" t="s">
        <v>6648</v>
      </c>
      <c r="D2758" s="17" t="s">
        <v>6649</v>
      </c>
      <c r="E2758" s="16">
        <v>7.5</v>
      </c>
      <c r="F2758" s="7">
        <f t="shared" si="3"/>
        <v>92.5</v>
      </c>
      <c r="G2758" s="17" t="s">
        <v>3113</v>
      </c>
    </row>
    <row r="2759">
      <c r="A2759" s="12">
        <v>1352.0</v>
      </c>
      <c r="B2759" s="17" t="s">
        <v>6650</v>
      </c>
      <c r="C2759" s="17" t="s">
        <v>6651</v>
      </c>
      <c r="D2759" s="17" t="s">
        <v>6652</v>
      </c>
      <c r="E2759" s="16">
        <v>7.5</v>
      </c>
      <c r="F2759" s="7">
        <f t="shared" si="3"/>
        <v>92.5</v>
      </c>
      <c r="G2759" s="17" t="s">
        <v>3113</v>
      </c>
    </row>
    <row r="2760">
      <c r="A2760" s="12">
        <v>1353.0</v>
      </c>
      <c r="B2760" s="17" t="s">
        <v>6653</v>
      </c>
      <c r="C2760" s="17" t="s">
        <v>6654</v>
      </c>
      <c r="D2760" s="17" t="s">
        <v>6655</v>
      </c>
      <c r="E2760" s="16">
        <v>7.5</v>
      </c>
      <c r="F2760" s="7">
        <f t="shared" si="3"/>
        <v>92.5</v>
      </c>
      <c r="G2760" s="17" t="s">
        <v>3113</v>
      </c>
    </row>
    <row r="2761">
      <c r="A2761" s="12">
        <v>1354.0</v>
      </c>
      <c r="B2761" s="17" t="s">
        <v>6656</v>
      </c>
      <c r="C2761" s="17" t="s">
        <v>6657</v>
      </c>
      <c r="D2761" s="17" t="s">
        <v>6658</v>
      </c>
      <c r="E2761" s="16">
        <v>7.5</v>
      </c>
      <c r="F2761" s="7">
        <f t="shared" si="3"/>
        <v>92.5</v>
      </c>
      <c r="G2761" s="17" t="s">
        <v>3113</v>
      </c>
    </row>
    <row r="2762">
      <c r="A2762" s="12">
        <v>1355.0</v>
      </c>
      <c r="B2762" s="17" t="s">
        <v>6659</v>
      </c>
      <c r="C2762" s="17" t="s">
        <v>6660</v>
      </c>
      <c r="D2762" s="17" t="s">
        <v>6661</v>
      </c>
      <c r="E2762" s="16">
        <v>7.5</v>
      </c>
      <c r="F2762" s="7">
        <f t="shared" si="3"/>
        <v>92.5</v>
      </c>
      <c r="G2762" s="17" t="s">
        <v>3113</v>
      </c>
    </row>
    <row r="2763">
      <c r="A2763" s="12">
        <v>1356.0</v>
      </c>
      <c r="B2763" s="17" t="s">
        <v>6662</v>
      </c>
      <c r="C2763" s="17" t="s">
        <v>6663</v>
      </c>
      <c r="D2763" s="17" t="s">
        <v>6664</v>
      </c>
      <c r="E2763" s="16">
        <v>7.5</v>
      </c>
      <c r="F2763" s="7">
        <f t="shared" si="3"/>
        <v>92.5</v>
      </c>
      <c r="G2763" s="17" t="s">
        <v>3113</v>
      </c>
    </row>
    <row r="2764">
      <c r="A2764" s="12">
        <v>1357.0</v>
      </c>
      <c r="B2764" s="17" t="s">
        <v>6665</v>
      </c>
      <c r="C2764" s="17" t="s">
        <v>6666</v>
      </c>
      <c r="D2764" s="17" t="s">
        <v>6667</v>
      </c>
      <c r="E2764" s="16">
        <v>7.5</v>
      </c>
      <c r="F2764" s="7">
        <f t="shared" si="3"/>
        <v>92.5</v>
      </c>
      <c r="G2764" s="17" t="s">
        <v>3113</v>
      </c>
    </row>
    <row r="2765">
      <c r="A2765" s="12">
        <v>1358.0</v>
      </c>
      <c r="B2765" s="17" t="s">
        <v>6668</v>
      </c>
      <c r="C2765" s="17" t="s">
        <v>6669</v>
      </c>
      <c r="D2765" s="17" t="s">
        <v>6670</v>
      </c>
      <c r="E2765" s="16">
        <v>7.5</v>
      </c>
      <c r="F2765" s="7">
        <f t="shared" si="3"/>
        <v>92.5</v>
      </c>
      <c r="G2765" s="17" t="s">
        <v>3113</v>
      </c>
    </row>
    <row r="2766">
      <c r="A2766" s="12">
        <v>1359.0</v>
      </c>
      <c r="B2766" s="17" t="s">
        <v>6671</v>
      </c>
      <c r="C2766" s="17" t="s">
        <v>6672</v>
      </c>
      <c r="D2766" s="17" t="s">
        <v>6673</v>
      </c>
      <c r="E2766" s="16">
        <v>7.5</v>
      </c>
      <c r="F2766" s="7">
        <f t="shared" si="3"/>
        <v>92.5</v>
      </c>
      <c r="G2766" s="17" t="s">
        <v>3113</v>
      </c>
    </row>
    <row r="2767">
      <c r="A2767" s="12">
        <v>1360.0</v>
      </c>
      <c r="B2767" s="17" t="s">
        <v>6674</v>
      </c>
      <c r="C2767" s="17" t="s">
        <v>6675</v>
      </c>
      <c r="D2767" s="17" t="s">
        <v>6676</v>
      </c>
      <c r="E2767" s="16">
        <v>7.5</v>
      </c>
      <c r="F2767" s="7">
        <f t="shared" si="3"/>
        <v>92.5</v>
      </c>
      <c r="G2767" s="17" t="s">
        <v>3113</v>
      </c>
    </row>
    <row r="2768">
      <c r="A2768" s="12">
        <v>1361.0</v>
      </c>
      <c r="B2768" s="17" t="s">
        <v>6677</v>
      </c>
      <c r="C2768" s="17" t="s">
        <v>6678</v>
      </c>
      <c r="D2768" s="17" t="s">
        <v>6679</v>
      </c>
      <c r="E2768" s="16">
        <v>7.5</v>
      </c>
      <c r="F2768" s="7">
        <f t="shared" si="3"/>
        <v>92.5</v>
      </c>
      <c r="G2768" s="17" t="s">
        <v>3113</v>
      </c>
    </row>
    <row r="2769">
      <c r="A2769" s="12">
        <v>1362.0</v>
      </c>
      <c r="B2769" s="17" t="s">
        <v>6680</v>
      </c>
      <c r="C2769" s="17" t="s">
        <v>6681</v>
      </c>
      <c r="D2769" s="17" t="s">
        <v>6679</v>
      </c>
      <c r="E2769" s="16">
        <v>7.5</v>
      </c>
      <c r="F2769" s="7">
        <f t="shared" si="3"/>
        <v>92.5</v>
      </c>
      <c r="G2769" s="17" t="s">
        <v>3113</v>
      </c>
    </row>
    <row r="2770">
      <c r="A2770" s="12">
        <v>1363.0</v>
      </c>
      <c r="B2770" s="17" t="s">
        <v>6682</v>
      </c>
      <c r="C2770" s="17" t="s">
        <v>6683</v>
      </c>
      <c r="D2770" s="17" t="s">
        <v>6684</v>
      </c>
      <c r="E2770" s="16">
        <v>7.5</v>
      </c>
      <c r="F2770" s="7">
        <f t="shared" si="3"/>
        <v>92.5</v>
      </c>
      <c r="G2770" s="17" t="s">
        <v>3113</v>
      </c>
    </row>
    <row r="2771">
      <c r="A2771" s="12">
        <v>1364.0</v>
      </c>
      <c r="B2771" s="17" t="s">
        <v>6685</v>
      </c>
      <c r="C2771" s="17" t="s">
        <v>6686</v>
      </c>
      <c r="D2771" s="17" t="s">
        <v>6687</v>
      </c>
      <c r="E2771" s="16">
        <v>7.5</v>
      </c>
      <c r="F2771" s="7">
        <f t="shared" si="3"/>
        <v>92.5</v>
      </c>
      <c r="G2771" s="17" t="s">
        <v>3113</v>
      </c>
    </row>
    <row r="2772">
      <c r="A2772" s="12">
        <v>1365.0</v>
      </c>
      <c r="B2772" s="17" t="s">
        <v>6688</v>
      </c>
      <c r="C2772" s="17" t="s">
        <v>6689</v>
      </c>
      <c r="D2772" s="17" t="s">
        <v>6687</v>
      </c>
      <c r="E2772" s="16">
        <v>7.5</v>
      </c>
      <c r="F2772" s="7">
        <f t="shared" si="3"/>
        <v>92.5</v>
      </c>
      <c r="G2772" s="17" t="s">
        <v>3113</v>
      </c>
    </row>
    <row r="2773">
      <c r="A2773" s="12">
        <v>1366.0</v>
      </c>
      <c r="B2773" s="17" t="s">
        <v>6690</v>
      </c>
      <c r="C2773" s="17" t="s">
        <v>6691</v>
      </c>
      <c r="D2773" s="17" t="s">
        <v>6409</v>
      </c>
      <c r="E2773" s="16">
        <v>7.5</v>
      </c>
      <c r="F2773" s="7">
        <f t="shared" si="3"/>
        <v>92.5</v>
      </c>
      <c r="G2773" s="17" t="s">
        <v>3113</v>
      </c>
    </row>
    <row r="2774">
      <c r="A2774" s="12">
        <v>1367.0</v>
      </c>
      <c r="B2774" s="17" t="s">
        <v>6692</v>
      </c>
      <c r="C2774" s="17" t="s">
        <v>6693</v>
      </c>
      <c r="D2774" s="17" t="s">
        <v>6694</v>
      </c>
      <c r="E2774" s="16">
        <v>7.5</v>
      </c>
      <c r="F2774" s="7">
        <f t="shared" si="3"/>
        <v>92.5</v>
      </c>
      <c r="G2774" s="17" t="s">
        <v>3113</v>
      </c>
    </row>
    <row r="2775">
      <c r="A2775" s="12">
        <v>1368.0</v>
      </c>
      <c r="B2775" s="17" t="s">
        <v>6695</v>
      </c>
      <c r="C2775" s="17" t="s">
        <v>6696</v>
      </c>
      <c r="D2775" s="17" t="s">
        <v>6697</v>
      </c>
      <c r="E2775" s="16">
        <v>7.5</v>
      </c>
      <c r="F2775" s="7">
        <f t="shared" si="3"/>
        <v>92.5</v>
      </c>
      <c r="G2775" s="17" t="s">
        <v>3113</v>
      </c>
    </row>
    <row r="2776">
      <c r="A2776" s="12">
        <v>1369.0</v>
      </c>
      <c r="B2776" s="17" t="s">
        <v>6698</v>
      </c>
      <c r="C2776" s="17" t="s">
        <v>6699</v>
      </c>
      <c r="D2776" s="17" t="s">
        <v>6697</v>
      </c>
      <c r="E2776" s="16">
        <v>7.5</v>
      </c>
      <c r="F2776" s="7">
        <f t="shared" si="3"/>
        <v>92.5</v>
      </c>
      <c r="G2776" s="17" t="s">
        <v>3113</v>
      </c>
    </row>
    <row r="2777">
      <c r="A2777" s="12">
        <v>1370.0</v>
      </c>
      <c r="B2777" s="17" t="s">
        <v>6700</v>
      </c>
      <c r="C2777" s="17" t="s">
        <v>6701</v>
      </c>
      <c r="D2777" s="17" t="s">
        <v>6702</v>
      </c>
      <c r="E2777" s="16">
        <v>7.5</v>
      </c>
      <c r="F2777" s="7">
        <f t="shared" si="3"/>
        <v>92.5</v>
      </c>
      <c r="G2777" s="17" t="s">
        <v>3113</v>
      </c>
    </row>
    <row r="2778">
      <c r="A2778" s="12">
        <v>1371.0</v>
      </c>
      <c r="B2778" s="17" t="s">
        <v>6703</v>
      </c>
      <c r="C2778" s="17" t="s">
        <v>6704</v>
      </c>
      <c r="D2778" s="17" t="s">
        <v>6705</v>
      </c>
      <c r="E2778" s="16">
        <v>7.5</v>
      </c>
      <c r="F2778" s="7">
        <f t="shared" si="3"/>
        <v>92.5</v>
      </c>
      <c r="G2778" s="17" t="s">
        <v>3113</v>
      </c>
    </row>
    <row r="2779">
      <c r="A2779" s="12">
        <v>1372.0</v>
      </c>
      <c r="B2779" s="17" t="s">
        <v>6706</v>
      </c>
      <c r="C2779" s="17" t="s">
        <v>6707</v>
      </c>
      <c r="D2779" s="17" t="s">
        <v>6708</v>
      </c>
      <c r="E2779" s="16">
        <v>7.5</v>
      </c>
      <c r="F2779" s="7">
        <f t="shared" si="3"/>
        <v>92.5</v>
      </c>
      <c r="G2779" s="17" t="s">
        <v>3113</v>
      </c>
    </row>
    <row r="2780">
      <c r="A2780" s="12">
        <v>1373.0</v>
      </c>
      <c r="B2780" s="17" t="s">
        <v>6709</v>
      </c>
      <c r="C2780" s="17" t="s">
        <v>6710</v>
      </c>
      <c r="D2780" s="17" t="s">
        <v>6708</v>
      </c>
      <c r="E2780" s="16">
        <v>7.5</v>
      </c>
      <c r="F2780" s="7">
        <f t="shared" si="3"/>
        <v>92.5</v>
      </c>
      <c r="G2780" s="17" t="s">
        <v>3113</v>
      </c>
    </row>
    <row r="2781">
      <c r="A2781" s="12">
        <v>1374.0</v>
      </c>
      <c r="B2781" s="17" t="s">
        <v>6711</v>
      </c>
      <c r="C2781" s="17" t="s">
        <v>6712</v>
      </c>
      <c r="D2781" s="17" t="s">
        <v>6713</v>
      </c>
      <c r="E2781" s="16">
        <v>7.5</v>
      </c>
      <c r="F2781" s="7">
        <f t="shared" si="3"/>
        <v>92.5</v>
      </c>
      <c r="G2781" s="17" t="s">
        <v>3113</v>
      </c>
    </row>
    <row r="2782">
      <c r="A2782" s="12">
        <v>1375.0</v>
      </c>
      <c r="B2782" s="17" t="s">
        <v>6714</v>
      </c>
      <c r="C2782" s="17" t="s">
        <v>6715</v>
      </c>
      <c r="D2782" s="17" t="s">
        <v>6716</v>
      </c>
      <c r="E2782" s="16">
        <v>7.5</v>
      </c>
      <c r="F2782" s="7">
        <f t="shared" si="3"/>
        <v>92.5</v>
      </c>
      <c r="G2782" s="17" t="s">
        <v>3113</v>
      </c>
    </row>
    <row r="2783">
      <c r="A2783" s="12">
        <v>1376.0</v>
      </c>
      <c r="B2783" s="17" t="s">
        <v>6717</v>
      </c>
      <c r="C2783" s="17" t="s">
        <v>6718</v>
      </c>
      <c r="D2783" s="17" t="s">
        <v>6716</v>
      </c>
      <c r="E2783" s="16">
        <v>7.5</v>
      </c>
      <c r="F2783" s="7">
        <f t="shared" si="3"/>
        <v>92.5</v>
      </c>
      <c r="G2783" s="17" t="s">
        <v>3113</v>
      </c>
    </row>
    <row r="2784">
      <c r="A2784" s="12">
        <v>1377.0</v>
      </c>
      <c r="B2784" s="17" t="s">
        <v>6719</v>
      </c>
      <c r="C2784" s="17" t="s">
        <v>6720</v>
      </c>
      <c r="D2784" s="17" t="s">
        <v>6721</v>
      </c>
      <c r="E2784" s="16">
        <v>7.5</v>
      </c>
      <c r="F2784" s="7">
        <f t="shared" si="3"/>
        <v>92.5</v>
      </c>
      <c r="G2784" s="17" t="s">
        <v>3113</v>
      </c>
    </row>
    <row r="2785">
      <c r="A2785" s="12">
        <v>1378.0</v>
      </c>
      <c r="B2785" s="17" t="s">
        <v>6722</v>
      </c>
      <c r="C2785" s="17" t="s">
        <v>6723</v>
      </c>
      <c r="D2785" s="17" t="s">
        <v>6724</v>
      </c>
      <c r="E2785" s="16">
        <v>7.5</v>
      </c>
      <c r="F2785" s="7">
        <f t="shared" si="3"/>
        <v>92.5</v>
      </c>
      <c r="G2785" s="17" t="s">
        <v>3113</v>
      </c>
    </row>
    <row r="2786">
      <c r="A2786" s="12">
        <v>1379.0</v>
      </c>
      <c r="B2786" s="17" t="s">
        <v>6725</v>
      </c>
      <c r="C2786" s="17" t="s">
        <v>6726</v>
      </c>
      <c r="D2786" s="17" t="s">
        <v>6724</v>
      </c>
      <c r="E2786" s="16">
        <v>7.5</v>
      </c>
      <c r="F2786" s="7">
        <f t="shared" si="3"/>
        <v>92.5</v>
      </c>
      <c r="G2786" s="17" t="s">
        <v>3113</v>
      </c>
    </row>
    <row r="2787">
      <c r="A2787" s="12">
        <v>1380.0</v>
      </c>
      <c r="B2787" s="17" t="s">
        <v>6727</v>
      </c>
      <c r="C2787" s="17" t="s">
        <v>6728</v>
      </c>
      <c r="D2787" s="17" t="s">
        <v>6729</v>
      </c>
      <c r="E2787" s="16">
        <v>7.5</v>
      </c>
      <c r="F2787" s="7">
        <f t="shared" si="3"/>
        <v>92.5</v>
      </c>
      <c r="G2787" s="17" t="s">
        <v>3113</v>
      </c>
    </row>
    <row r="2788">
      <c r="A2788" s="12">
        <v>1381.0</v>
      </c>
      <c r="B2788" s="17" t="s">
        <v>6730</v>
      </c>
      <c r="C2788" s="17" t="s">
        <v>6731</v>
      </c>
      <c r="D2788" s="17" t="s">
        <v>6732</v>
      </c>
      <c r="E2788" s="16">
        <v>7.5</v>
      </c>
      <c r="F2788" s="7">
        <f t="shared" si="3"/>
        <v>92.5</v>
      </c>
      <c r="G2788" s="17" t="s">
        <v>3113</v>
      </c>
    </row>
    <row r="2789">
      <c r="A2789" s="12">
        <v>1382.0</v>
      </c>
      <c r="B2789" s="17" t="s">
        <v>6733</v>
      </c>
      <c r="C2789" s="17" t="s">
        <v>6734</v>
      </c>
      <c r="D2789" s="17" t="s">
        <v>6735</v>
      </c>
      <c r="E2789" s="16">
        <v>7.5</v>
      </c>
      <c r="F2789" s="7">
        <f t="shared" si="3"/>
        <v>92.5</v>
      </c>
      <c r="G2789" s="17" t="s">
        <v>3113</v>
      </c>
    </row>
    <row r="2790">
      <c r="A2790" s="12">
        <v>1383.0</v>
      </c>
      <c r="B2790" s="17" t="s">
        <v>6736</v>
      </c>
      <c r="C2790" s="17" t="s">
        <v>6737</v>
      </c>
      <c r="D2790" s="17" t="s">
        <v>6738</v>
      </c>
      <c r="E2790" s="16">
        <v>7.5</v>
      </c>
      <c r="F2790" s="7">
        <f t="shared" si="3"/>
        <v>92.5</v>
      </c>
      <c r="G2790" s="17" t="s">
        <v>3113</v>
      </c>
    </row>
    <row r="2791">
      <c r="A2791" s="12">
        <v>1384.0</v>
      </c>
      <c r="B2791" s="17" t="s">
        <v>6739</v>
      </c>
      <c r="C2791" s="17" t="s">
        <v>6740</v>
      </c>
      <c r="D2791" s="17" t="s">
        <v>6741</v>
      </c>
      <c r="E2791" s="16">
        <v>7.5</v>
      </c>
      <c r="F2791" s="7">
        <f t="shared" si="3"/>
        <v>92.5</v>
      </c>
      <c r="G2791" s="17" t="s">
        <v>3113</v>
      </c>
    </row>
    <row r="2792">
      <c r="A2792" s="12">
        <v>1385.0</v>
      </c>
      <c r="B2792" s="17" t="s">
        <v>6742</v>
      </c>
      <c r="C2792" s="17" t="s">
        <v>6743</v>
      </c>
      <c r="D2792" s="17" t="s">
        <v>6741</v>
      </c>
      <c r="E2792" s="16">
        <v>7.5</v>
      </c>
      <c r="F2792" s="7">
        <f t="shared" si="3"/>
        <v>92.5</v>
      </c>
      <c r="G2792" s="17" t="s">
        <v>3113</v>
      </c>
    </row>
    <row r="2793">
      <c r="A2793" s="12">
        <v>1386.0</v>
      </c>
      <c r="B2793" s="17" t="s">
        <v>6744</v>
      </c>
      <c r="C2793" s="17" t="s">
        <v>6745</v>
      </c>
      <c r="D2793" s="17" t="s">
        <v>6746</v>
      </c>
      <c r="E2793" s="16">
        <v>7.5</v>
      </c>
      <c r="F2793" s="7">
        <f t="shared" si="3"/>
        <v>92.5</v>
      </c>
      <c r="G2793" s="17" t="s">
        <v>3113</v>
      </c>
    </row>
    <row r="2794">
      <c r="A2794" s="12">
        <v>1387.0</v>
      </c>
      <c r="B2794" s="17" t="s">
        <v>6747</v>
      </c>
      <c r="C2794" s="17" t="s">
        <v>6748</v>
      </c>
      <c r="D2794" s="17" t="s">
        <v>6749</v>
      </c>
      <c r="E2794" s="16">
        <v>7.5</v>
      </c>
      <c r="F2794" s="7">
        <f t="shared" si="3"/>
        <v>92.5</v>
      </c>
      <c r="G2794" s="17" t="s">
        <v>3113</v>
      </c>
    </row>
    <row r="2795">
      <c r="A2795" s="12">
        <v>1388.0</v>
      </c>
      <c r="B2795" s="17" t="s">
        <v>6750</v>
      </c>
      <c r="C2795" s="17" t="s">
        <v>6751</v>
      </c>
      <c r="D2795" s="17" t="s">
        <v>6749</v>
      </c>
      <c r="E2795" s="16">
        <v>7.5</v>
      </c>
      <c r="F2795" s="7">
        <f t="shared" si="3"/>
        <v>92.5</v>
      </c>
      <c r="G2795" s="17" t="s">
        <v>3113</v>
      </c>
    </row>
    <row r="2796">
      <c r="A2796" s="12">
        <v>1389.0</v>
      </c>
      <c r="B2796" s="17" t="s">
        <v>6752</v>
      </c>
      <c r="C2796" s="17" t="s">
        <v>6753</v>
      </c>
      <c r="D2796" s="17" t="s">
        <v>6754</v>
      </c>
      <c r="E2796" s="16">
        <v>7.5</v>
      </c>
      <c r="F2796" s="7">
        <f t="shared" si="3"/>
        <v>92.5</v>
      </c>
      <c r="G2796" s="17" t="s">
        <v>3113</v>
      </c>
    </row>
    <row r="2797">
      <c r="A2797" s="12">
        <v>1390.0</v>
      </c>
      <c r="B2797" s="17" t="s">
        <v>6755</v>
      </c>
      <c r="C2797" s="17" t="s">
        <v>6756</v>
      </c>
      <c r="D2797" s="17" t="s">
        <v>6757</v>
      </c>
      <c r="E2797" s="16">
        <v>7.5</v>
      </c>
      <c r="F2797" s="7">
        <f t="shared" si="3"/>
        <v>92.5</v>
      </c>
      <c r="G2797" s="17" t="s">
        <v>3113</v>
      </c>
    </row>
    <row r="2798">
      <c r="A2798" s="12">
        <v>1391.0</v>
      </c>
      <c r="B2798" s="17" t="s">
        <v>6758</v>
      </c>
      <c r="C2798" s="17" t="s">
        <v>6759</v>
      </c>
      <c r="D2798" s="17" t="s">
        <v>6757</v>
      </c>
      <c r="E2798" s="16">
        <v>7.5</v>
      </c>
      <c r="F2798" s="7">
        <f t="shared" si="3"/>
        <v>92.5</v>
      </c>
      <c r="G2798" s="17" t="s">
        <v>3113</v>
      </c>
    </row>
    <row r="2799">
      <c r="A2799" s="12">
        <v>1392.0</v>
      </c>
      <c r="B2799" s="17" t="s">
        <v>6760</v>
      </c>
      <c r="C2799" s="17" t="s">
        <v>6761</v>
      </c>
      <c r="D2799" s="17" t="s">
        <v>6762</v>
      </c>
      <c r="E2799" s="16">
        <v>7.5</v>
      </c>
      <c r="F2799" s="7">
        <f t="shared" si="3"/>
        <v>92.5</v>
      </c>
      <c r="G2799" s="17" t="s">
        <v>3113</v>
      </c>
    </row>
    <row r="2800">
      <c r="A2800" s="12">
        <v>1393.0</v>
      </c>
      <c r="B2800" s="17" t="s">
        <v>6763</v>
      </c>
      <c r="C2800" s="17" t="s">
        <v>6764</v>
      </c>
      <c r="D2800" s="17" t="s">
        <v>6765</v>
      </c>
      <c r="E2800" s="16">
        <v>7.5</v>
      </c>
      <c r="F2800" s="7">
        <f t="shared" si="3"/>
        <v>92.5</v>
      </c>
      <c r="G2800" s="17" t="s">
        <v>3113</v>
      </c>
    </row>
    <row r="2801">
      <c r="A2801" s="12">
        <v>1394.0</v>
      </c>
      <c r="B2801" s="17" t="s">
        <v>6766</v>
      </c>
      <c r="C2801" s="17" t="s">
        <v>6767</v>
      </c>
      <c r="D2801" s="17" t="s">
        <v>6768</v>
      </c>
      <c r="E2801" s="16">
        <v>7.5</v>
      </c>
      <c r="F2801" s="7">
        <f t="shared" si="3"/>
        <v>92.5</v>
      </c>
      <c r="G2801" s="17" t="s">
        <v>3113</v>
      </c>
    </row>
    <row r="2802">
      <c r="A2802" s="12">
        <v>1395.0</v>
      </c>
      <c r="B2802" s="17" t="s">
        <v>6769</v>
      </c>
      <c r="C2802" s="17" t="s">
        <v>6770</v>
      </c>
      <c r="D2802" s="17" t="s">
        <v>6768</v>
      </c>
      <c r="E2802" s="16">
        <v>7.5</v>
      </c>
      <c r="F2802" s="7">
        <f t="shared" si="3"/>
        <v>92.5</v>
      </c>
      <c r="G2802" s="17" t="s">
        <v>3113</v>
      </c>
    </row>
    <row r="2803">
      <c r="A2803" s="12">
        <v>1396.0</v>
      </c>
      <c r="B2803" s="17" t="s">
        <v>6771</v>
      </c>
      <c r="C2803" s="17" t="s">
        <v>6772</v>
      </c>
      <c r="D2803" s="17" t="s">
        <v>6773</v>
      </c>
      <c r="E2803" s="16">
        <v>7.5</v>
      </c>
      <c r="F2803" s="7">
        <f t="shared" si="3"/>
        <v>92.5</v>
      </c>
      <c r="G2803" s="17" t="s">
        <v>3113</v>
      </c>
    </row>
    <row r="2804">
      <c r="A2804" s="12">
        <v>1397.0</v>
      </c>
      <c r="B2804" s="17" t="s">
        <v>6774</v>
      </c>
      <c r="C2804" s="17" t="s">
        <v>6775</v>
      </c>
      <c r="D2804" s="17" t="s">
        <v>6776</v>
      </c>
      <c r="E2804" s="16">
        <v>7.5</v>
      </c>
      <c r="F2804" s="7">
        <f t="shared" si="3"/>
        <v>92.5</v>
      </c>
      <c r="G2804" s="17" t="s">
        <v>3113</v>
      </c>
    </row>
    <row r="2805">
      <c r="A2805" s="12">
        <v>1398.0</v>
      </c>
      <c r="B2805" s="17" t="s">
        <v>6777</v>
      </c>
      <c r="C2805" s="17" t="s">
        <v>6778</v>
      </c>
      <c r="D2805" s="17" t="s">
        <v>6776</v>
      </c>
      <c r="E2805" s="16">
        <v>7.5</v>
      </c>
      <c r="F2805" s="7">
        <f t="shared" si="3"/>
        <v>92.5</v>
      </c>
      <c r="G2805" s="17" t="s">
        <v>3113</v>
      </c>
    </row>
    <row r="2806">
      <c r="A2806" s="12">
        <v>1399.0</v>
      </c>
      <c r="B2806" s="17" t="s">
        <v>6779</v>
      </c>
      <c r="C2806" s="17" t="s">
        <v>6780</v>
      </c>
      <c r="D2806" s="17" t="s">
        <v>6781</v>
      </c>
      <c r="E2806" s="16">
        <v>7.5</v>
      </c>
      <c r="F2806" s="7">
        <f t="shared" si="3"/>
        <v>92.5</v>
      </c>
      <c r="G2806" s="17" t="s">
        <v>3113</v>
      </c>
    </row>
    <row r="2807">
      <c r="A2807" s="12">
        <v>1400.0</v>
      </c>
      <c r="B2807" s="17" t="s">
        <v>6782</v>
      </c>
      <c r="C2807" s="17" t="s">
        <v>6783</v>
      </c>
      <c r="D2807" s="17" t="s">
        <v>6784</v>
      </c>
      <c r="E2807" s="16">
        <v>7.5</v>
      </c>
      <c r="F2807" s="7">
        <f t="shared" si="3"/>
        <v>92.5</v>
      </c>
      <c r="G2807" s="17" t="s">
        <v>3113</v>
      </c>
    </row>
    <row r="2808">
      <c r="A2808" s="12">
        <v>1401.0</v>
      </c>
      <c r="B2808" s="17" t="s">
        <v>6785</v>
      </c>
      <c r="C2808" s="17" t="s">
        <v>6786</v>
      </c>
      <c r="D2808" s="17" t="s">
        <v>6784</v>
      </c>
      <c r="E2808" s="16">
        <v>7.5</v>
      </c>
      <c r="F2808" s="7">
        <f t="shared" si="3"/>
        <v>92.5</v>
      </c>
      <c r="G2808" s="17" t="s">
        <v>3113</v>
      </c>
    </row>
    <row r="2809">
      <c r="A2809" s="12">
        <v>1402.0</v>
      </c>
      <c r="B2809" s="17" t="s">
        <v>6787</v>
      </c>
      <c r="C2809" s="17" t="s">
        <v>6788</v>
      </c>
      <c r="D2809" s="17" t="s">
        <v>6789</v>
      </c>
      <c r="E2809" s="16">
        <v>7.5</v>
      </c>
      <c r="F2809" s="7">
        <f t="shared" si="3"/>
        <v>92.5</v>
      </c>
      <c r="G2809" s="17" t="s">
        <v>3113</v>
      </c>
    </row>
    <row r="2810">
      <c r="A2810" s="12">
        <v>1403.0</v>
      </c>
      <c r="B2810" s="17" t="s">
        <v>6790</v>
      </c>
      <c r="C2810" s="17" t="s">
        <v>6791</v>
      </c>
      <c r="D2810" s="17" t="s">
        <v>6792</v>
      </c>
      <c r="E2810" s="16">
        <v>7.5</v>
      </c>
      <c r="F2810" s="7">
        <f t="shared" si="3"/>
        <v>92.5</v>
      </c>
      <c r="G2810" s="17" t="s">
        <v>3113</v>
      </c>
    </row>
    <row r="2811">
      <c r="A2811" s="12">
        <v>1404.0</v>
      </c>
      <c r="B2811" s="17" t="s">
        <v>6793</v>
      </c>
      <c r="C2811" s="17" t="s">
        <v>6794</v>
      </c>
      <c r="D2811" s="17" t="s">
        <v>6792</v>
      </c>
      <c r="E2811" s="16">
        <v>7.5</v>
      </c>
      <c r="F2811" s="7">
        <f t="shared" si="3"/>
        <v>92.5</v>
      </c>
      <c r="G2811" s="17" t="s">
        <v>3113</v>
      </c>
    </row>
    <row r="2812">
      <c r="A2812" s="12">
        <v>1405.0</v>
      </c>
      <c r="B2812" s="17" t="s">
        <v>6795</v>
      </c>
      <c r="C2812" s="17" t="s">
        <v>6796</v>
      </c>
      <c r="D2812" s="17" t="s">
        <v>6797</v>
      </c>
      <c r="E2812" s="16">
        <v>7.5</v>
      </c>
      <c r="F2812" s="7">
        <f t="shared" si="3"/>
        <v>92.5</v>
      </c>
      <c r="G2812" s="17" t="s">
        <v>3113</v>
      </c>
    </row>
    <row r="2813">
      <c r="A2813" s="12">
        <v>1406.0</v>
      </c>
      <c r="B2813" s="17" t="s">
        <v>6798</v>
      </c>
      <c r="C2813" s="17" t="s">
        <v>6799</v>
      </c>
      <c r="D2813" s="17" t="s">
        <v>6800</v>
      </c>
      <c r="E2813" s="16">
        <v>7.5</v>
      </c>
      <c r="F2813" s="7">
        <f t="shared" si="3"/>
        <v>92.5</v>
      </c>
      <c r="G2813" s="17" t="s">
        <v>3113</v>
      </c>
    </row>
    <row r="2814">
      <c r="A2814" s="12">
        <v>1407.0</v>
      </c>
      <c r="B2814" s="17" t="s">
        <v>6801</v>
      </c>
      <c r="C2814" s="17" t="s">
        <v>6802</v>
      </c>
      <c r="D2814" s="17" t="s">
        <v>6800</v>
      </c>
      <c r="E2814" s="16">
        <v>7.5</v>
      </c>
      <c r="F2814" s="7">
        <f t="shared" si="3"/>
        <v>92.5</v>
      </c>
      <c r="G2814" s="17" t="s">
        <v>3113</v>
      </c>
    </row>
    <row r="2815">
      <c r="A2815" s="12">
        <v>1408.0</v>
      </c>
      <c r="B2815" s="17" t="s">
        <v>6803</v>
      </c>
      <c r="C2815" s="17" t="s">
        <v>6804</v>
      </c>
      <c r="D2815" s="17" t="s">
        <v>6805</v>
      </c>
      <c r="E2815" s="16">
        <v>7.5</v>
      </c>
      <c r="F2815" s="7">
        <f t="shared" si="3"/>
        <v>92.5</v>
      </c>
      <c r="G2815" s="17" t="s">
        <v>3113</v>
      </c>
    </row>
    <row r="2816">
      <c r="A2816" s="12">
        <v>1409.0</v>
      </c>
      <c r="B2816" s="17" t="s">
        <v>6806</v>
      </c>
      <c r="C2816" s="17" t="s">
        <v>6807</v>
      </c>
      <c r="D2816" s="17" t="s">
        <v>6808</v>
      </c>
      <c r="E2816" s="16">
        <v>7.5</v>
      </c>
      <c r="F2816" s="7">
        <f t="shared" si="3"/>
        <v>92.5</v>
      </c>
      <c r="G2816" s="17" t="s">
        <v>3113</v>
      </c>
    </row>
    <row r="2817">
      <c r="A2817" s="12">
        <v>1410.0</v>
      </c>
      <c r="B2817" s="17" t="s">
        <v>6809</v>
      </c>
      <c r="C2817" s="17" t="s">
        <v>6810</v>
      </c>
      <c r="D2817" s="17" t="s">
        <v>6808</v>
      </c>
      <c r="E2817" s="16">
        <v>7.5</v>
      </c>
      <c r="F2817" s="7">
        <f t="shared" si="3"/>
        <v>92.5</v>
      </c>
      <c r="G2817" s="17" t="s">
        <v>3113</v>
      </c>
    </row>
    <row r="2818">
      <c r="A2818" s="12">
        <v>1411.0</v>
      </c>
      <c r="B2818" s="17" t="s">
        <v>6811</v>
      </c>
      <c r="C2818" s="17" t="s">
        <v>6812</v>
      </c>
      <c r="D2818" s="17" t="s">
        <v>6813</v>
      </c>
      <c r="E2818" s="16">
        <v>7.5</v>
      </c>
      <c r="F2818" s="7">
        <f t="shared" si="3"/>
        <v>92.5</v>
      </c>
      <c r="G2818" s="17" t="s">
        <v>3113</v>
      </c>
    </row>
    <row r="2819">
      <c r="A2819" s="12">
        <v>1412.0</v>
      </c>
      <c r="B2819" s="17" t="s">
        <v>6814</v>
      </c>
      <c r="C2819" s="17" t="s">
        <v>6815</v>
      </c>
      <c r="D2819" s="17" t="s">
        <v>6816</v>
      </c>
      <c r="E2819" s="16">
        <v>7.5</v>
      </c>
      <c r="F2819" s="7">
        <f t="shared" si="3"/>
        <v>92.5</v>
      </c>
      <c r="G2819" s="17" t="s">
        <v>3113</v>
      </c>
    </row>
    <row r="2820">
      <c r="A2820" s="12">
        <v>1413.0</v>
      </c>
      <c r="B2820" s="17" t="s">
        <v>6817</v>
      </c>
      <c r="C2820" s="17" t="s">
        <v>6818</v>
      </c>
      <c r="D2820" s="17" t="s">
        <v>6819</v>
      </c>
      <c r="E2820" s="16">
        <v>7.5</v>
      </c>
      <c r="F2820" s="7">
        <f t="shared" si="3"/>
        <v>92.5</v>
      </c>
      <c r="G2820" s="17" t="s">
        <v>3113</v>
      </c>
    </row>
    <row r="2821">
      <c r="A2821" s="12">
        <v>1414.0</v>
      </c>
      <c r="B2821" s="17" t="s">
        <v>6820</v>
      </c>
      <c r="C2821" s="17" t="s">
        <v>6821</v>
      </c>
      <c r="D2821" s="17" t="s">
        <v>6819</v>
      </c>
      <c r="E2821" s="16">
        <v>7.5</v>
      </c>
      <c r="F2821" s="7">
        <f t="shared" si="3"/>
        <v>92.5</v>
      </c>
      <c r="G2821" s="17" t="s">
        <v>3113</v>
      </c>
    </row>
    <row r="2822">
      <c r="A2822" s="12">
        <v>1415.0</v>
      </c>
      <c r="B2822" s="17" t="s">
        <v>6822</v>
      </c>
      <c r="C2822" s="17" t="s">
        <v>6823</v>
      </c>
      <c r="D2822" s="17" t="s">
        <v>6824</v>
      </c>
      <c r="E2822" s="16">
        <v>7.5</v>
      </c>
      <c r="F2822" s="7">
        <f t="shared" si="3"/>
        <v>92.5</v>
      </c>
      <c r="G2822" s="17" t="s">
        <v>3113</v>
      </c>
    </row>
    <row r="2823">
      <c r="A2823" s="12">
        <v>1416.0</v>
      </c>
      <c r="B2823" s="17" t="s">
        <v>6825</v>
      </c>
      <c r="C2823" s="17" t="s">
        <v>6826</v>
      </c>
      <c r="D2823" s="17" t="s">
        <v>6827</v>
      </c>
      <c r="E2823" s="16">
        <v>7.5</v>
      </c>
      <c r="F2823" s="7">
        <f t="shared" si="3"/>
        <v>92.5</v>
      </c>
      <c r="G2823" s="17" t="s">
        <v>3113</v>
      </c>
    </row>
    <row r="2824">
      <c r="A2824" s="12">
        <v>1417.0</v>
      </c>
      <c r="B2824" s="17" t="s">
        <v>6828</v>
      </c>
      <c r="C2824" s="17" t="s">
        <v>6829</v>
      </c>
      <c r="D2824" s="17" t="s">
        <v>6830</v>
      </c>
      <c r="E2824" s="16">
        <v>7.5</v>
      </c>
      <c r="F2824" s="7">
        <f t="shared" si="3"/>
        <v>92.5</v>
      </c>
      <c r="G2824" s="17" t="s">
        <v>3113</v>
      </c>
    </row>
    <row r="2825">
      <c r="A2825" s="12">
        <v>1418.0</v>
      </c>
      <c r="B2825" s="17" t="s">
        <v>6831</v>
      </c>
      <c r="C2825" s="17" t="s">
        <v>6832</v>
      </c>
      <c r="D2825" s="17" t="s">
        <v>6833</v>
      </c>
      <c r="E2825" s="16">
        <v>7.5</v>
      </c>
      <c r="F2825" s="7">
        <f t="shared" si="3"/>
        <v>92.5</v>
      </c>
      <c r="G2825" s="17" t="s">
        <v>3113</v>
      </c>
    </row>
    <row r="2826">
      <c r="A2826" s="12">
        <v>1419.0</v>
      </c>
      <c r="B2826" s="17" t="s">
        <v>6834</v>
      </c>
      <c r="C2826" s="17" t="s">
        <v>6835</v>
      </c>
      <c r="D2826" s="17" t="s">
        <v>6836</v>
      </c>
      <c r="E2826" s="16">
        <v>7.5</v>
      </c>
      <c r="F2826" s="7">
        <f t="shared" si="3"/>
        <v>92.5</v>
      </c>
      <c r="G2826" s="17" t="s">
        <v>3113</v>
      </c>
    </row>
    <row r="2827">
      <c r="A2827" s="12">
        <v>1420.0</v>
      </c>
      <c r="B2827" s="17" t="s">
        <v>6837</v>
      </c>
      <c r="C2827" s="17" t="s">
        <v>6838</v>
      </c>
      <c r="D2827" s="17" t="s">
        <v>6839</v>
      </c>
      <c r="E2827" s="16">
        <v>7.5</v>
      </c>
      <c r="F2827" s="7">
        <f t="shared" si="3"/>
        <v>92.5</v>
      </c>
      <c r="G2827" s="17" t="s">
        <v>3113</v>
      </c>
    </row>
    <row r="2828">
      <c r="A2828" s="12">
        <v>1421.0</v>
      </c>
      <c r="B2828" s="17" t="s">
        <v>6840</v>
      </c>
      <c r="C2828" s="17" t="s">
        <v>6841</v>
      </c>
      <c r="D2828" s="17" t="s">
        <v>6842</v>
      </c>
      <c r="E2828" s="16">
        <v>7.5</v>
      </c>
      <c r="F2828" s="7">
        <f t="shared" si="3"/>
        <v>92.5</v>
      </c>
      <c r="G2828" s="17" t="s">
        <v>3113</v>
      </c>
    </row>
    <row r="2829">
      <c r="A2829" s="12">
        <v>1422.0</v>
      </c>
      <c r="B2829" s="17" t="s">
        <v>6843</v>
      </c>
      <c r="C2829" s="17" t="s">
        <v>6844</v>
      </c>
      <c r="D2829" s="17" t="s">
        <v>6845</v>
      </c>
      <c r="E2829" s="16">
        <v>7.5</v>
      </c>
      <c r="F2829" s="7">
        <f t="shared" si="3"/>
        <v>92.5</v>
      </c>
      <c r="G2829" s="17" t="s">
        <v>3113</v>
      </c>
    </row>
    <row r="2830">
      <c r="A2830" s="12">
        <v>1423.0</v>
      </c>
      <c r="B2830" s="17" t="s">
        <v>6846</v>
      </c>
      <c r="C2830" s="17" t="s">
        <v>6847</v>
      </c>
      <c r="D2830" s="17" t="s">
        <v>6848</v>
      </c>
      <c r="E2830" s="16">
        <v>7.5</v>
      </c>
      <c r="F2830" s="7">
        <f t="shared" si="3"/>
        <v>92.5</v>
      </c>
      <c r="G2830" s="17" t="s">
        <v>3113</v>
      </c>
    </row>
    <row r="2831">
      <c r="A2831" s="12">
        <v>1424.0</v>
      </c>
      <c r="B2831" s="17" t="s">
        <v>6849</v>
      </c>
      <c r="C2831" s="17" t="s">
        <v>6850</v>
      </c>
      <c r="D2831" s="17" t="s">
        <v>6851</v>
      </c>
      <c r="E2831" s="16">
        <v>7.5</v>
      </c>
      <c r="F2831" s="7">
        <f t="shared" si="3"/>
        <v>92.5</v>
      </c>
      <c r="G2831" s="17" t="s">
        <v>3113</v>
      </c>
    </row>
    <row r="2832">
      <c r="A2832" s="12">
        <v>1425.0</v>
      </c>
      <c r="B2832" s="17" t="s">
        <v>6852</v>
      </c>
      <c r="C2832" s="17" t="s">
        <v>6853</v>
      </c>
      <c r="D2832" s="17" t="s">
        <v>6854</v>
      </c>
      <c r="E2832" s="16">
        <v>7.5</v>
      </c>
      <c r="F2832" s="7">
        <f t="shared" si="3"/>
        <v>92.5</v>
      </c>
      <c r="G2832" s="17" t="s">
        <v>3113</v>
      </c>
    </row>
    <row r="2833">
      <c r="A2833" s="12">
        <v>1426.0</v>
      </c>
      <c r="B2833" s="17" t="s">
        <v>6855</v>
      </c>
      <c r="C2833" s="17" t="s">
        <v>6856</v>
      </c>
      <c r="D2833" s="17" t="s">
        <v>6857</v>
      </c>
      <c r="E2833" s="16">
        <v>7.5</v>
      </c>
      <c r="F2833" s="7">
        <f t="shared" si="3"/>
        <v>92.5</v>
      </c>
      <c r="G2833" s="17" t="s">
        <v>3113</v>
      </c>
    </row>
    <row r="2834">
      <c r="A2834" s="12">
        <v>1427.0</v>
      </c>
      <c r="B2834" s="17" t="s">
        <v>6858</v>
      </c>
      <c r="C2834" s="17" t="s">
        <v>6859</v>
      </c>
      <c r="D2834" s="17" t="s">
        <v>6860</v>
      </c>
      <c r="E2834" s="16">
        <v>7.5</v>
      </c>
      <c r="F2834" s="7">
        <f t="shared" si="3"/>
        <v>92.5</v>
      </c>
      <c r="G2834" s="17" t="s">
        <v>3113</v>
      </c>
    </row>
    <row r="2835">
      <c r="A2835" s="12">
        <v>1428.0</v>
      </c>
      <c r="B2835" s="17" t="s">
        <v>6861</v>
      </c>
      <c r="C2835" s="17" t="s">
        <v>6862</v>
      </c>
      <c r="D2835" s="17" t="s">
        <v>6863</v>
      </c>
      <c r="E2835" s="16">
        <v>7.5</v>
      </c>
      <c r="F2835" s="7">
        <f t="shared" si="3"/>
        <v>92.5</v>
      </c>
      <c r="G2835" s="17" t="s">
        <v>3113</v>
      </c>
    </row>
    <row r="2836">
      <c r="A2836" s="12">
        <v>1429.0</v>
      </c>
      <c r="B2836" s="17" t="s">
        <v>6864</v>
      </c>
      <c r="C2836" s="17" t="s">
        <v>6865</v>
      </c>
      <c r="D2836" s="17" t="s">
        <v>6866</v>
      </c>
      <c r="E2836" s="16">
        <v>7.5</v>
      </c>
      <c r="F2836" s="7">
        <f t="shared" si="3"/>
        <v>92.5</v>
      </c>
      <c r="G2836" s="17" t="s">
        <v>3113</v>
      </c>
    </row>
    <row r="2837">
      <c r="A2837" s="12">
        <v>1430.0</v>
      </c>
      <c r="B2837" s="17" t="s">
        <v>6867</v>
      </c>
      <c r="C2837" s="17" t="s">
        <v>6868</v>
      </c>
      <c r="D2837" s="17" t="s">
        <v>6869</v>
      </c>
      <c r="E2837" s="16">
        <v>7.5</v>
      </c>
      <c r="F2837" s="7">
        <f t="shared" si="3"/>
        <v>92.5</v>
      </c>
      <c r="G2837" s="17" t="s">
        <v>3113</v>
      </c>
    </row>
    <row r="2838">
      <c r="A2838" s="12">
        <v>1431.0</v>
      </c>
      <c r="B2838" s="17" t="s">
        <v>6870</v>
      </c>
      <c r="C2838" s="17" t="s">
        <v>6871</v>
      </c>
      <c r="D2838" s="17" t="s">
        <v>6872</v>
      </c>
      <c r="E2838" s="16">
        <v>7.5</v>
      </c>
      <c r="F2838" s="7">
        <f t="shared" si="3"/>
        <v>92.5</v>
      </c>
      <c r="G2838" s="17" t="s">
        <v>3113</v>
      </c>
    </row>
    <row r="2839">
      <c r="A2839" s="12">
        <v>1432.0</v>
      </c>
      <c r="B2839" s="17" t="s">
        <v>6873</v>
      </c>
      <c r="C2839" s="17" t="s">
        <v>6874</v>
      </c>
      <c r="D2839" s="17" t="s">
        <v>6875</v>
      </c>
      <c r="E2839" s="16">
        <v>7.5</v>
      </c>
      <c r="F2839" s="7">
        <f t="shared" si="3"/>
        <v>92.5</v>
      </c>
      <c r="G2839" s="17" t="s">
        <v>3113</v>
      </c>
    </row>
    <row r="2840">
      <c r="A2840" s="12">
        <v>1433.0</v>
      </c>
      <c r="B2840" s="17" t="s">
        <v>6876</v>
      </c>
      <c r="C2840" s="17" t="s">
        <v>6877</v>
      </c>
      <c r="D2840" s="17" t="s">
        <v>6875</v>
      </c>
      <c r="E2840" s="16">
        <v>7.5</v>
      </c>
      <c r="F2840" s="7">
        <f t="shared" si="3"/>
        <v>92.5</v>
      </c>
      <c r="G2840" s="17" t="s">
        <v>3113</v>
      </c>
    </row>
    <row r="2841">
      <c r="A2841" s="12">
        <v>1434.0</v>
      </c>
      <c r="B2841" s="17" t="s">
        <v>6878</v>
      </c>
      <c r="C2841" s="17" t="s">
        <v>6879</v>
      </c>
      <c r="D2841" s="17" t="s">
        <v>6880</v>
      </c>
      <c r="E2841" s="16">
        <v>7.5</v>
      </c>
      <c r="F2841" s="7">
        <f t="shared" si="3"/>
        <v>92.5</v>
      </c>
      <c r="G2841" s="17" t="s">
        <v>3113</v>
      </c>
    </row>
    <row r="2842">
      <c r="A2842" s="12">
        <v>1435.0</v>
      </c>
      <c r="B2842" s="17" t="s">
        <v>6881</v>
      </c>
      <c r="C2842" s="17" t="s">
        <v>6882</v>
      </c>
      <c r="D2842" s="17" t="s">
        <v>6883</v>
      </c>
      <c r="E2842" s="16">
        <v>7.5</v>
      </c>
      <c r="F2842" s="7">
        <f t="shared" si="3"/>
        <v>92.5</v>
      </c>
      <c r="G2842" s="17" t="s">
        <v>3113</v>
      </c>
    </row>
    <row r="2843">
      <c r="A2843" s="12">
        <v>1436.0</v>
      </c>
      <c r="B2843" s="17" t="s">
        <v>6884</v>
      </c>
      <c r="C2843" s="17" t="s">
        <v>6885</v>
      </c>
      <c r="D2843" s="17" t="s">
        <v>6883</v>
      </c>
      <c r="E2843" s="16">
        <v>7.5</v>
      </c>
      <c r="F2843" s="7">
        <f t="shared" si="3"/>
        <v>92.5</v>
      </c>
      <c r="G2843" s="17" t="s">
        <v>3113</v>
      </c>
    </row>
    <row r="2844">
      <c r="A2844" s="12">
        <v>1437.0</v>
      </c>
      <c r="B2844" s="17" t="s">
        <v>6886</v>
      </c>
      <c r="C2844" s="17" t="s">
        <v>6887</v>
      </c>
      <c r="D2844" s="17" t="s">
        <v>6888</v>
      </c>
      <c r="E2844" s="16">
        <v>7.5</v>
      </c>
      <c r="F2844" s="7">
        <f t="shared" si="3"/>
        <v>92.5</v>
      </c>
      <c r="G2844" s="17" t="s">
        <v>3113</v>
      </c>
    </row>
    <row r="2845">
      <c r="A2845" s="12">
        <v>1438.0</v>
      </c>
      <c r="B2845" s="17" t="s">
        <v>6889</v>
      </c>
      <c r="C2845" s="17" t="s">
        <v>6890</v>
      </c>
      <c r="D2845" s="17" t="s">
        <v>6888</v>
      </c>
      <c r="E2845" s="16">
        <v>7.5</v>
      </c>
      <c r="F2845" s="7">
        <f t="shared" si="3"/>
        <v>92.5</v>
      </c>
      <c r="G2845" s="17" t="s">
        <v>3113</v>
      </c>
    </row>
    <row r="2846">
      <c r="A2846" s="12">
        <v>1439.0</v>
      </c>
      <c r="B2846" s="17" t="s">
        <v>6891</v>
      </c>
      <c r="C2846" s="17" t="s">
        <v>6892</v>
      </c>
      <c r="D2846" s="17" t="s">
        <v>6893</v>
      </c>
      <c r="E2846" s="16">
        <v>7.5</v>
      </c>
      <c r="F2846" s="7">
        <f t="shared" si="3"/>
        <v>92.5</v>
      </c>
      <c r="G2846" s="17" t="s">
        <v>3113</v>
      </c>
    </row>
    <row r="2847">
      <c r="A2847" s="12">
        <v>1440.0</v>
      </c>
      <c r="B2847" s="17" t="s">
        <v>6894</v>
      </c>
      <c r="C2847" s="17" t="s">
        <v>6895</v>
      </c>
      <c r="D2847" s="17" t="s">
        <v>6896</v>
      </c>
      <c r="E2847" s="16">
        <v>7.5</v>
      </c>
      <c r="F2847" s="7">
        <f t="shared" si="3"/>
        <v>92.5</v>
      </c>
      <c r="G2847" s="17" t="s">
        <v>3113</v>
      </c>
    </row>
    <row r="2848">
      <c r="A2848" s="12">
        <v>1441.0</v>
      </c>
      <c r="B2848" s="17" t="s">
        <v>6897</v>
      </c>
      <c r="C2848" s="17" t="s">
        <v>6898</v>
      </c>
      <c r="D2848" s="17" t="s">
        <v>6896</v>
      </c>
      <c r="E2848" s="16">
        <v>7.5</v>
      </c>
      <c r="F2848" s="7">
        <f t="shared" si="3"/>
        <v>92.5</v>
      </c>
      <c r="G2848" s="17" t="s">
        <v>3113</v>
      </c>
    </row>
    <row r="2849">
      <c r="A2849" s="12">
        <v>1442.0</v>
      </c>
      <c r="B2849" s="17" t="s">
        <v>6899</v>
      </c>
      <c r="C2849" s="17" t="s">
        <v>6900</v>
      </c>
      <c r="D2849" s="17" t="s">
        <v>6901</v>
      </c>
      <c r="E2849" s="16">
        <v>7.5</v>
      </c>
      <c r="F2849" s="7">
        <f t="shared" si="3"/>
        <v>92.5</v>
      </c>
      <c r="G2849" s="17" t="s">
        <v>3113</v>
      </c>
    </row>
    <row r="2850">
      <c r="A2850" s="12">
        <v>1443.0</v>
      </c>
      <c r="B2850" s="17" t="s">
        <v>6902</v>
      </c>
      <c r="C2850" s="17" t="s">
        <v>6903</v>
      </c>
      <c r="D2850" s="17" t="s">
        <v>6904</v>
      </c>
      <c r="E2850" s="16">
        <v>7.5</v>
      </c>
      <c r="F2850" s="7">
        <f t="shared" si="3"/>
        <v>92.5</v>
      </c>
      <c r="G2850" s="17" t="s">
        <v>3113</v>
      </c>
    </row>
    <row r="2851">
      <c r="A2851" s="12">
        <v>1444.0</v>
      </c>
      <c r="B2851" s="17" t="s">
        <v>6905</v>
      </c>
      <c r="C2851" s="17" t="s">
        <v>6906</v>
      </c>
      <c r="D2851" s="17" t="s">
        <v>6907</v>
      </c>
      <c r="E2851" s="16">
        <v>7.5</v>
      </c>
      <c r="F2851" s="7">
        <f t="shared" si="3"/>
        <v>92.5</v>
      </c>
      <c r="G2851" s="17" t="s">
        <v>3113</v>
      </c>
    </row>
    <row r="2852">
      <c r="A2852" s="12">
        <v>1445.0</v>
      </c>
      <c r="B2852" s="17" t="s">
        <v>6908</v>
      </c>
      <c r="C2852" s="17" t="s">
        <v>6909</v>
      </c>
      <c r="D2852" s="17" t="s">
        <v>6910</v>
      </c>
      <c r="E2852" s="16">
        <v>7.5</v>
      </c>
      <c r="F2852" s="7">
        <f t="shared" si="3"/>
        <v>92.5</v>
      </c>
      <c r="G2852" s="17" t="s">
        <v>3113</v>
      </c>
    </row>
    <row r="2853">
      <c r="A2853" s="12">
        <v>1446.0</v>
      </c>
      <c r="B2853" s="17" t="s">
        <v>6911</v>
      </c>
      <c r="C2853" s="17" t="s">
        <v>6912</v>
      </c>
      <c r="D2853" s="17" t="s">
        <v>6913</v>
      </c>
      <c r="E2853" s="16">
        <v>7.5</v>
      </c>
      <c r="F2853" s="7">
        <f t="shared" si="3"/>
        <v>92.5</v>
      </c>
      <c r="G2853" s="17" t="s">
        <v>3113</v>
      </c>
    </row>
    <row r="2854">
      <c r="A2854" s="12">
        <v>1447.0</v>
      </c>
      <c r="B2854" s="17" t="s">
        <v>6914</v>
      </c>
      <c r="C2854" s="17" t="s">
        <v>6915</v>
      </c>
      <c r="D2854" s="17" t="s">
        <v>6916</v>
      </c>
      <c r="E2854" s="16">
        <v>7.5</v>
      </c>
      <c r="F2854" s="7">
        <f t="shared" si="3"/>
        <v>92.5</v>
      </c>
      <c r="G2854" s="17" t="s">
        <v>3113</v>
      </c>
    </row>
    <row r="2855">
      <c r="A2855" s="12">
        <v>1448.0</v>
      </c>
      <c r="B2855" s="17" t="s">
        <v>6917</v>
      </c>
      <c r="C2855" s="17" t="s">
        <v>6918</v>
      </c>
      <c r="D2855" s="17" t="s">
        <v>6919</v>
      </c>
      <c r="E2855" s="16">
        <v>7.5</v>
      </c>
      <c r="F2855" s="7">
        <f t="shared" si="3"/>
        <v>92.5</v>
      </c>
      <c r="G2855" s="17" t="s">
        <v>3113</v>
      </c>
    </row>
    <row r="2856">
      <c r="A2856" s="12">
        <v>1449.0</v>
      </c>
      <c r="B2856" s="17" t="s">
        <v>6920</v>
      </c>
      <c r="C2856" s="17" t="s">
        <v>6921</v>
      </c>
      <c r="D2856" s="17" t="s">
        <v>6922</v>
      </c>
      <c r="E2856" s="16">
        <v>7.5</v>
      </c>
      <c r="F2856" s="7">
        <f t="shared" si="3"/>
        <v>92.5</v>
      </c>
      <c r="G2856" s="17" t="s">
        <v>3113</v>
      </c>
    </row>
    <row r="2857">
      <c r="A2857" s="12">
        <v>1450.0</v>
      </c>
      <c r="B2857" s="17" t="s">
        <v>6923</v>
      </c>
      <c r="C2857" s="17" t="s">
        <v>6924</v>
      </c>
      <c r="D2857" s="17" t="s">
        <v>6922</v>
      </c>
      <c r="E2857" s="16">
        <v>7.5</v>
      </c>
      <c r="F2857" s="7">
        <f t="shared" si="3"/>
        <v>92.5</v>
      </c>
      <c r="G2857" s="17" t="s">
        <v>3113</v>
      </c>
    </row>
    <row r="2858">
      <c r="A2858" s="12">
        <v>1451.0</v>
      </c>
      <c r="B2858" s="17" t="s">
        <v>6925</v>
      </c>
      <c r="C2858" s="17" t="s">
        <v>6926</v>
      </c>
      <c r="D2858" s="17" t="s">
        <v>6927</v>
      </c>
      <c r="E2858" s="16">
        <v>7.5</v>
      </c>
      <c r="F2858" s="7">
        <f t="shared" si="3"/>
        <v>92.5</v>
      </c>
      <c r="G2858" s="17" t="s">
        <v>3113</v>
      </c>
    </row>
    <row r="2859">
      <c r="A2859" s="12">
        <v>1452.0</v>
      </c>
      <c r="B2859" s="17" t="s">
        <v>6928</v>
      </c>
      <c r="C2859" s="17" t="s">
        <v>6929</v>
      </c>
      <c r="D2859" s="17" t="s">
        <v>6930</v>
      </c>
      <c r="E2859" s="16">
        <v>7.5</v>
      </c>
      <c r="F2859" s="7">
        <f t="shared" si="3"/>
        <v>92.5</v>
      </c>
      <c r="G2859" s="17" t="s">
        <v>3113</v>
      </c>
    </row>
    <row r="2860">
      <c r="A2860" s="12">
        <v>1453.0</v>
      </c>
      <c r="B2860" s="17" t="s">
        <v>6931</v>
      </c>
      <c r="C2860" s="17" t="s">
        <v>6932</v>
      </c>
      <c r="D2860" s="17" t="s">
        <v>6933</v>
      </c>
      <c r="E2860" s="16">
        <v>7.5</v>
      </c>
      <c r="F2860" s="7">
        <f t="shared" si="3"/>
        <v>92.5</v>
      </c>
      <c r="G2860" s="17" t="s">
        <v>3113</v>
      </c>
    </row>
    <row r="2861">
      <c r="A2861" s="12">
        <v>1454.0</v>
      </c>
      <c r="B2861" s="17" t="s">
        <v>6934</v>
      </c>
      <c r="C2861" s="17" t="s">
        <v>6935</v>
      </c>
      <c r="D2861" s="17" t="s">
        <v>6936</v>
      </c>
      <c r="E2861" s="16">
        <v>7.5</v>
      </c>
      <c r="F2861" s="7">
        <f t="shared" si="3"/>
        <v>92.5</v>
      </c>
      <c r="G2861" s="17" t="s">
        <v>3113</v>
      </c>
    </row>
    <row r="2862">
      <c r="A2862" s="12">
        <v>1455.0</v>
      </c>
      <c r="B2862" s="17" t="s">
        <v>6937</v>
      </c>
      <c r="C2862" s="17" t="s">
        <v>6938</v>
      </c>
      <c r="D2862" s="17" t="s">
        <v>6939</v>
      </c>
      <c r="E2862" s="16">
        <v>7.5</v>
      </c>
      <c r="F2862" s="7">
        <f t="shared" si="3"/>
        <v>92.5</v>
      </c>
      <c r="G2862" s="17" t="s">
        <v>3113</v>
      </c>
    </row>
    <row r="2863">
      <c r="A2863" s="12">
        <v>1456.0</v>
      </c>
      <c r="B2863" s="17" t="s">
        <v>6940</v>
      </c>
      <c r="C2863" s="17" t="s">
        <v>6941</v>
      </c>
      <c r="D2863" s="17" t="s">
        <v>6939</v>
      </c>
      <c r="E2863" s="16">
        <v>7.5</v>
      </c>
      <c r="F2863" s="7">
        <f t="shared" si="3"/>
        <v>92.5</v>
      </c>
      <c r="G2863" s="17" t="s">
        <v>3113</v>
      </c>
    </row>
    <row r="2864">
      <c r="A2864" s="12">
        <v>1457.0</v>
      </c>
      <c r="B2864" s="17" t="s">
        <v>6942</v>
      </c>
      <c r="C2864" s="17" t="s">
        <v>6943</v>
      </c>
      <c r="D2864" s="17" t="s">
        <v>6944</v>
      </c>
      <c r="E2864" s="16">
        <v>7.5</v>
      </c>
      <c r="F2864" s="7">
        <f t="shared" si="3"/>
        <v>92.5</v>
      </c>
      <c r="G2864" s="17" t="s">
        <v>3113</v>
      </c>
    </row>
    <row r="2865">
      <c r="A2865" s="12">
        <v>1458.0</v>
      </c>
      <c r="B2865" s="17" t="s">
        <v>6945</v>
      </c>
      <c r="C2865" s="17" t="s">
        <v>6946</v>
      </c>
      <c r="D2865" s="17" t="s">
        <v>6947</v>
      </c>
      <c r="E2865" s="16">
        <v>7.5</v>
      </c>
      <c r="F2865" s="7">
        <f t="shared" si="3"/>
        <v>92.5</v>
      </c>
      <c r="G2865" s="17" t="s">
        <v>3113</v>
      </c>
    </row>
    <row r="2866">
      <c r="A2866" s="12">
        <v>1459.0</v>
      </c>
      <c r="B2866" s="17" t="s">
        <v>6948</v>
      </c>
      <c r="C2866" s="17" t="s">
        <v>6949</v>
      </c>
      <c r="D2866" s="17" t="s">
        <v>6947</v>
      </c>
      <c r="E2866" s="16">
        <v>7.5</v>
      </c>
      <c r="F2866" s="7">
        <f t="shared" si="3"/>
        <v>92.5</v>
      </c>
      <c r="G2866" s="17" t="s">
        <v>3113</v>
      </c>
    </row>
    <row r="2867">
      <c r="A2867" s="12">
        <v>1460.0</v>
      </c>
      <c r="B2867" s="17" t="s">
        <v>6950</v>
      </c>
      <c r="C2867" s="17" t="s">
        <v>6951</v>
      </c>
      <c r="D2867" s="17" t="s">
        <v>6952</v>
      </c>
      <c r="E2867" s="16">
        <v>7.5</v>
      </c>
      <c r="F2867" s="7">
        <f t="shared" si="3"/>
        <v>92.5</v>
      </c>
      <c r="G2867" s="17" t="s">
        <v>3113</v>
      </c>
    </row>
    <row r="2868">
      <c r="A2868" s="12">
        <v>1461.0</v>
      </c>
      <c r="B2868" s="17" t="s">
        <v>6953</v>
      </c>
      <c r="C2868" s="17" t="s">
        <v>6954</v>
      </c>
      <c r="D2868" s="17" t="s">
        <v>6955</v>
      </c>
      <c r="E2868" s="16">
        <v>7.5</v>
      </c>
      <c r="F2868" s="7">
        <f t="shared" si="3"/>
        <v>92.5</v>
      </c>
      <c r="G2868" s="17" t="s">
        <v>3113</v>
      </c>
    </row>
    <row r="2869">
      <c r="A2869" s="12">
        <v>1462.0</v>
      </c>
      <c r="B2869" s="17" t="s">
        <v>6956</v>
      </c>
      <c r="C2869" s="17" t="s">
        <v>6957</v>
      </c>
      <c r="D2869" s="17" t="s">
        <v>6955</v>
      </c>
      <c r="E2869" s="16">
        <v>7.5</v>
      </c>
      <c r="F2869" s="7">
        <f t="shared" si="3"/>
        <v>92.5</v>
      </c>
      <c r="G2869" s="17" t="s">
        <v>3113</v>
      </c>
    </row>
    <row r="2870">
      <c r="A2870" s="12">
        <v>1463.0</v>
      </c>
      <c r="B2870" s="17" t="s">
        <v>6958</v>
      </c>
      <c r="C2870" s="17" t="s">
        <v>6959</v>
      </c>
      <c r="D2870" s="17" t="s">
        <v>6960</v>
      </c>
      <c r="E2870" s="16">
        <v>7.5</v>
      </c>
      <c r="F2870" s="7">
        <f t="shared" si="3"/>
        <v>92.5</v>
      </c>
      <c r="G2870" s="17" t="s">
        <v>3113</v>
      </c>
    </row>
    <row r="2871">
      <c r="A2871" s="12">
        <v>1464.0</v>
      </c>
      <c r="B2871" s="17" t="s">
        <v>6961</v>
      </c>
      <c r="C2871" s="17" t="s">
        <v>6962</v>
      </c>
      <c r="D2871" s="17" t="s">
        <v>6963</v>
      </c>
      <c r="E2871" s="16">
        <v>7.5</v>
      </c>
      <c r="F2871" s="7">
        <f t="shared" si="3"/>
        <v>92.5</v>
      </c>
      <c r="G2871" s="17" t="s">
        <v>3113</v>
      </c>
    </row>
    <row r="2872">
      <c r="A2872" s="12">
        <v>1465.0</v>
      </c>
      <c r="B2872" s="17" t="s">
        <v>6964</v>
      </c>
      <c r="C2872" s="17" t="s">
        <v>6965</v>
      </c>
      <c r="D2872" s="17" t="s">
        <v>6966</v>
      </c>
      <c r="E2872" s="16">
        <v>7.5</v>
      </c>
      <c r="F2872" s="7">
        <f t="shared" si="3"/>
        <v>92.5</v>
      </c>
      <c r="G2872" s="17" t="s">
        <v>3113</v>
      </c>
    </row>
    <row r="2873">
      <c r="A2873" s="12">
        <v>1466.0</v>
      </c>
      <c r="B2873" s="17" t="s">
        <v>6967</v>
      </c>
      <c r="C2873" s="17" t="s">
        <v>6968</v>
      </c>
      <c r="D2873" s="17" t="s">
        <v>6969</v>
      </c>
      <c r="E2873" s="16">
        <v>7.5</v>
      </c>
      <c r="F2873" s="7">
        <f t="shared" si="3"/>
        <v>92.5</v>
      </c>
      <c r="G2873" s="17" t="s">
        <v>3113</v>
      </c>
    </row>
    <row r="2874">
      <c r="A2874" s="12">
        <v>1467.0</v>
      </c>
      <c r="B2874" s="17" t="s">
        <v>6970</v>
      </c>
      <c r="C2874" s="17" t="s">
        <v>6971</v>
      </c>
      <c r="D2874" s="17" t="s">
        <v>6972</v>
      </c>
      <c r="E2874" s="16">
        <v>7.5</v>
      </c>
      <c r="F2874" s="7">
        <f t="shared" si="3"/>
        <v>92.5</v>
      </c>
      <c r="G2874" s="17" t="s">
        <v>3113</v>
      </c>
    </row>
    <row r="2875">
      <c r="A2875" s="12">
        <v>1468.0</v>
      </c>
      <c r="B2875" s="17" t="s">
        <v>6973</v>
      </c>
      <c r="C2875" s="17" t="s">
        <v>6974</v>
      </c>
      <c r="D2875" s="17" t="s">
        <v>6975</v>
      </c>
      <c r="E2875" s="16">
        <v>7.5</v>
      </c>
      <c r="F2875" s="7">
        <f t="shared" si="3"/>
        <v>92.5</v>
      </c>
      <c r="G2875" s="17" t="s">
        <v>3113</v>
      </c>
    </row>
    <row r="2876">
      <c r="A2876" s="12">
        <v>1469.0</v>
      </c>
      <c r="B2876" s="17" t="s">
        <v>6976</v>
      </c>
      <c r="C2876" s="17" t="s">
        <v>6977</v>
      </c>
      <c r="D2876" s="17" t="s">
        <v>6978</v>
      </c>
      <c r="E2876" s="16">
        <v>7.5</v>
      </c>
      <c r="F2876" s="7">
        <f t="shared" si="3"/>
        <v>92.5</v>
      </c>
      <c r="G2876" s="17" t="s">
        <v>3113</v>
      </c>
    </row>
    <row r="2877">
      <c r="A2877" s="12">
        <v>1470.0</v>
      </c>
      <c r="B2877" s="17" t="s">
        <v>6979</v>
      </c>
      <c r="C2877" s="17" t="s">
        <v>6980</v>
      </c>
      <c r="D2877" s="17" t="s">
        <v>6981</v>
      </c>
      <c r="E2877" s="16">
        <v>7.5</v>
      </c>
      <c r="F2877" s="7">
        <f t="shared" si="3"/>
        <v>92.5</v>
      </c>
      <c r="G2877" s="17" t="s">
        <v>3113</v>
      </c>
    </row>
    <row r="2878">
      <c r="A2878" s="12">
        <v>1471.0</v>
      </c>
      <c r="B2878" s="17" t="s">
        <v>6982</v>
      </c>
      <c r="C2878" s="17" t="s">
        <v>6983</v>
      </c>
      <c r="D2878" s="17" t="s">
        <v>6981</v>
      </c>
      <c r="E2878" s="16">
        <v>7.5</v>
      </c>
      <c r="F2878" s="7">
        <f t="shared" si="3"/>
        <v>92.5</v>
      </c>
      <c r="G2878" s="17" t="s">
        <v>3113</v>
      </c>
    </row>
    <row r="2879">
      <c r="A2879" s="12">
        <v>1472.0</v>
      </c>
      <c r="B2879" s="17" t="s">
        <v>6984</v>
      </c>
      <c r="C2879" s="17" t="s">
        <v>6985</v>
      </c>
      <c r="D2879" s="17" t="s">
        <v>6986</v>
      </c>
      <c r="E2879" s="16">
        <v>7.5</v>
      </c>
      <c r="F2879" s="7">
        <f t="shared" si="3"/>
        <v>92.5</v>
      </c>
      <c r="G2879" s="17" t="s">
        <v>3113</v>
      </c>
    </row>
    <row r="2880">
      <c r="A2880" s="12">
        <v>1473.0</v>
      </c>
      <c r="B2880" s="17" t="s">
        <v>6987</v>
      </c>
      <c r="C2880" s="17" t="s">
        <v>6988</v>
      </c>
      <c r="D2880" s="17" t="s">
        <v>6989</v>
      </c>
      <c r="E2880" s="16">
        <v>7.5</v>
      </c>
      <c r="F2880" s="7">
        <f t="shared" si="3"/>
        <v>92.5</v>
      </c>
      <c r="G2880" s="17" t="s">
        <v>3113</v>
      </c>
    </row>
    <row r="2881">
      <c r="A2881" s="12">
        <v>1474.0</v>
      </c>
      <c r="B2881" s="17" t="s">
        <v>6990</v>
      </c>
      <c r="C2881" s="17" t="s">
        <v>6991</v>
      </c>
      <c r="D2881" s="17" t="s">
        <v>6992</v>
      </c>
      <c r="E2881" s="16">
        <v>7.5</v>
      </c>
      <c r="F2881" s="7">
        <f t="shared" si="3"/>
        <v>92.5</v>
      </c>
      <c r="G2881" s="17" t="s">
        <v>3113</v>
      </c>
    </row>
    <row r="2882">
      <c r="A2882" s="12">
        <v>1475.0</v>
      </c>
      <c r="B2882" s="17" t="s">
        <v>6993</v>
      </c>
      <c r="C2882" s="17" t="s">
        <v>6994</v>
      </c>
      <c r="D2882" s="17" t="s">
        <v>6995</v>
      </c>
      <c r="E2882" s="16">
        <v>7.5</v>
      </c>
      <c r="F2882" s="7">
        <f t="shared" si="3"/>
        <v>92.5</v>
      </c>
      <c r="G2882" s="17" t="s">
        <v>3113</v>
      </c>
    </row>
    <row r="2883">
      <c r="A2883" s="12">
        <v>1476.0</v>
      </c>
      <c r="B2883" s="17" t="s">
        <v>6996</v>
      </c>
      <c r="C2883" s="17" t="s">
        <v>6997</v>
      </c>
      <c r="D2883" s="17" t="s">
        <v>6998</v>
      </c>
      <c r="E2883" s="16">
        <v>7.5</v>
      </c>
      <c r="F2883" s="7">
        <f t="shared" si="3"/>
        <v>92.5</v>
      </c>
      <c r="G2883" s="17" t="s">
        <v>3113</v>
      </c>
    </row>
    <row r="2884">
      <c r="A2884" s="12">
        <v>1477.0</v>
      </c>
      <c r="B2884" s="17" t="s">
        <v>6999</v>
      </c>
      <c r="C2884" s="17" t="s">
        <v>7000</v>
      </c>
      <c r="D2884" s="17" t="s">
        <v>7001</v>
      </c>
      <c r="E2884" s="16">
        <v>7.5</v>
      </c>
      <c r="F2884" s="7">
        <f t="shared" si="3"/>
        <v>92.5</v>
      </c>
      <c r="G2884" s="17" t="s">
        <v>3113</v>
      </c>
    </row>
    <row r="2885">
      <c r="A2885" s="12">
        <v>1478.0</v>
      </c>
      <c r="B2885" s="17" t="s">
        <v>7002</v>
      </c>
      <c r="C2885" s="17" t="s">
        <v>7003</v>
      </c>
      <c r="D2885" s="17" t="s">
        <v>7004</v>
      </c>
      <c r="E2885" s="16">
        <v>7.5</v>
      </c>
      <c r="F2885" s="7">
        <f t="shared" si="3"/>
        <v>92.5</v>
      </c>
      <c r="G2885" s="17" t="s">
        <v>3113</v>
      </c>
    </row>
    <row r="2886">
      <c r="A2886" s="12">
        <v>1479.0</v>
      </c>
      <c r="B2886" s="17" t="s">
        <v>7005</v>
      </c>
      <c r="C2886" s="17" t="s">
        <v>7006</v>
      </c>
      <c r="D2886" s="17" t="s">
        <v>7004</v>
      </c>
      <c r="E2886" s="16">
        <v>7.5</v>
      </c>
      <c r="F2886" s="7">
        <f t="shared" si="3"/>
        <v>92.5</v>
      </c>
      <c r="G2886" s="17" t="s">
        <v>3113</v>
      </c>
    </row>
    <row r="2887">
      <c r="A2887" s="12">
        <v>1480.0</v>
      </c>
      <c r="B2887" s="17" t="s">
        <v>7007</v>
      </c>
      <c r="C2887" s="17" t="s">
        <v>7008</v>
      </c>
      <c r="D2887" s="17" t="s">
        <v>7009</v>
      </c>
      <c r="E2887" s="16">
        <v>7.5</v>
      </c>
      <c r="F2887" s="7">
        <f t="shared" si="3"/>
        <v>92.5</v>
      </c>
      <c r="G2887" s="17" t="s">
        <v>3113</v>
      </c>
    </row>
    <row r="2888">
      <c r="A2888" s="12">
        <v>1481.0</v>
      </c>
      <c r="B2888" s="17" t="s">
        <v>7010</v>
      </c>
      <c r="C2888" s="17" t="s">
        <v>7011</v>
      </c>
      <c r="D2888" s="17" t="s">
        <v>7009</v>
      </c>
      <c r="E2888" s="16">
        <v>7.5</v>
      </c>
      <c r="F2888" s="7">
        <f t="shared" si="3"/>
        <v>92.5</v>
      </c>
      <c r="G2888" s="17" t="s">
        <v>3113</v>
      </c>
    </row>
    <row r="2889">
      <c r="A2889" s="12">
        <v>1482.0</v>
      </c>
      <c r="B2889" s="17" t="s">
        <v>7012</v>
      </c>
      <c r="C2889" s="17" t="s">
        <v>7013</v>
      </c>
      <c r="D2889" s="17" t="s">
        <v>7014</v>
      </c>
      <c r="E2889" s="16">
        <v>7.5</v>
      </c>
      <c r="F2889" s="7">
        <f t="shared" si="3"/>
        <v>92.5</v>
      </c>
      <c r="G2889" s="17" t="s">
        <v>3113</v>
      </c>
    </row>
    <row r="2890">
      <c r="A2890" s="12">
        <v>1483.0</v>
      </c>
      <c r="B2890" s="17" t="s">
        <v>7015</v>
      </c>
      <c r="C2890" s="17" t="s">
        <v>7016</v>
      </c>
      <c r="D2890" s="17" t="s">
        <v>7017</v>
      </c>
      <c r="E2890" s="16">
        <v>7.5</v>
      </c>
      <c r="F2890" s="7">
        <f t="shared" si="3"/>
        <v>92.5</v>
      </c>
      <c r="G2890" s="17" t="s">
        <v>3113</v>
      </c>
    </row>
    <row r="2891">
      <c r="A2891" s="12">
        <v>1484.0</v>
      </c>
      <c r="B2891" s="17" t="s">
        <v>7018</v>
      </c>
      <c r="C2891" s="17" t="s">
        <v>7019</v>
      </c>
      <c r="D2891" s="17" t="s">
        <v>7017</v>
      </c>
      <c r="E2891" s="16">
        <v>7.5</v>
      </c>
      <c r="F2891" s="7">
        <f t="shared" si="3"/>
        <v>92.5</v>
      </c>
      <c r="G2891" s="17" t="s">
        <v>3113</v>
      </c>
    </row>
    <row r="2892">
      <c r="A2892" s="12">
        <v>1485.0</v>
      </c>
      <c r="B2892" s="17" t="s">
        <v>7020</v>
      </c>
      <c r="C2892" s="17" t="s">
        <v>7021</v>
      </c>
      <c r="D2892" s="17" t="s">
        <v>7022</v>
      </c>
      <c r="E2892" s="16">
        <v>7.5</v>
      </c>
      <c r="F2892" s="7">
        <f t="shared" si="3"/>
        <v>92.5</v>
      </c>
      <c r="G2892" s="17" t="s">
        <v>3113</v>
      </c>
    </row>
    <row r="2893">
      <c r="A2893" s="12">
        <v>1486.0</v>
      </c>
      <c r="B2893" s="17" t="s">
        <v>7023</v>
      </c>
      <c r="C2893" s="17" t="s">
        <v>7024</v>
      </c>
      <c r="D2893" s="17" t="s">
        <v>7022</v>
      </c>
      <c r="E2893" s="16">
        <v>7.5</v>
      </c>
      <c r="F2893" s="7">
        <f t="shared" si="3"/>
        <v>92.5</v>
      </c>
      <c r="G2893" s="17" t="s">
        <v>3113</v>
      </c>
    </row>
    <row r="2894">
      <c r="A2894" s="12">
        <v>1487.0</v>
      </c>
      <c r="B2894" s="17" t="s">
        <v>7025</v>
      </c>
      <c r="C2894" s="17" t="s">
        <v>7026</v>
      </c>
      <c r="D2894" s="17" t="s">
        <v>7027</v>
      </c>
      <c r="E2894" s="16">
        <v>7.5</v>
      </c>
      <c r="F2894" s="7">
        <f t="shared" si="3"/>
        <v>92.5</v>
      </c>
      <c r="G2894" s="17" t="s">
        <v>3113</v>
      </c>
    </row>
    <row r="2895">
      <c r="A2895" s="12">
        <v>1488.0</v>
      </c>
      <c r="B2895" s="17" t="s">
        <v>7028</v>
      </c>
      <c r="C2895" s="17" t="s">
        <v>7029</v>
      </c>
      <c r="D2895" s="17" t="s">
        <v>7027</v>
      </c>
      <c r="E2895" s="16">
        <v>7.5</v>
      </c>
      <c r="F2895" s="7">
        <f t="shared" si="3"/>
        <v>92.5</v>
      </c>
      <c r="G2895" s="17" t="s">
        <v>3113</v>
      </c>
    </row>
    <row r="2896">
      <c r="A2896" s="12">
        <v>1489.0</v>
      </c>
      <c r="B2896" s="17" t="s">
        <v>7030</v>
      </c>
      <c r="C2896" s="17" t="s">
        <v>7031</v>
      </c>
      <c r="D2896" s="17" t="s">
        <v>7032</v>
      </c>
      <c r="E2896" s="16">
        <v>7.5</v>
      </c>
      <c r="F2896" s="7">
        <f t="shared" si="3"/>
        <v>92.5</v>
      </c>
      <c r="G2896" s="17" t="s">
        <v>3113</v>
      </c>
    </row>
    <row r="2897">
      <c r="A2897" s="12">
        <v>1490.0</v>
      </c>
      <c r="B2897" s="17" t="s">
        <v>7033</v>
      </c>
      <c r="C2897" s="17" t="s">
        <v>7034</v>
      </c>
      <c r="D2897" s="17" t="s">
        <v>7035</v>
      </c>
      <c r="E2897" s="16">
        <v>7.5</v>
      </c>
      <c r="F2897" s="7">
        <f t="shared" si="3"/>
        <v>92.5</v>
      </c>
      <c r="G2897" s="17" t="s">
        <v>3113</v>
      </c>
    </row>
    <row r="2898">
      <c r="A2898" s="12">
        <v>1491.0</v>
      </c>
      <c r="B2898" s="17" t="s">
        <v>7036</v>
      </c>
      <c r="C2898" s="17" t="s">
        <v>7037</v>
      </c>
      <c r="D2898" s="17" t="s">
        <v>7038</v>
      </c>
      <c r="E2898" s="16">
        <v>7.5</v>
      </c>
      <c r="F2898" s="7">
        <f t="shared" si="3"/>
        <v>92.5</v>
      </c>
      <c r="G2898" s="17" t="s">
        <v>3113</v>
      </c>
    </row>
    <row r="2899">
      <c r="A2899" s="12">
        <v>1492.0</v>
      </c>
      <c r="B2899" s="17" t="s">
        <v>7039</v>
      </c>
      <c r="C2899" s="17" t="s">
        <v>7040</v>
      </c>
      <c r="D2899" s="17" t="s">
        <v>7038</v>
      </c>
      <c r="E2899" s="16">
        <v>7.5</v>
      </c>
      <c r="F2899" s="7">
        <f t="shared" si="3"/>
        <v>92.5</v>
      </c>
      <c r="G2899" s="17" t="s">
        <v>3113</v>
      </c>
    </row>
    <row r="2900">
      <c r="A2900" s="12">
        <v>1493.0</v>
      </c>
      <c r="B2900" s="17" t="s">
        <v>7041</v>
      </c>
      <c r="C2900" s="17" t="s">
        <v>7042</v>
      </c>
      <c r="D2900" s="17" t="s">
        <v>7043</v>
      </c>
      <c r="E2900" s="16">
        <v>7.5</v>
      </c>
      <c r="F2900" s="7">
        <f t="shared" si="3"/>
        <v>92.5</v>
      </c>
      <c r="G2900" s="17" t="s">
        <v>3113</v>
      </c>
    </row>
    <row r="2901">
      <c r="A2901" s="12">
        <v>1494.0</v>
      </c>
      <c r="B2901" s="17" t="s">
        <v>7044</v>
      </c>
      <c r="C2901" s="17" t="s">
        <v>7045</v>
      </c>
      <c r="D2901" s="17" t="s">
        <v>7046</v>
      </c>
      <c r="E2901" s="16">
        <v>7.5</v>
      </c>
      <c r="F2901" s="7">
        <f t="shared" si="3"/>
        <v>92.5</v>
      </c>
      <c r="G2901" s="17" t="s">
        <v>3113</v>
      </c>
    </row>
    <row r="2902">
      <c r="A2902" s="12">
        <v>1495.0</v>
      </c>
      <c r="B2902" s="17" t="s">
        <v>7047</v>
      </c>
      <c r="C2902" s="17" t="s">
        <v>7048</v>
      </c>
      <c r="D2902" s="17" t="s">
        <v>7049</v>
      </c>
      <c r="E2902" s="16">
        <v>7.5</v>
      </c>
      <c r="F2902" s="7">
        <f t="shared" si="3"/>
        <v>92.5</v>
      </c>
      <c r="G2902" s="17" t="s">
        <v>3113</v>
      </c>
    </row>
    <row r="2903">
      <c r="A2903" s="12">
        <v>1496.0</v>
      </c>
      <c r="B2903" s="17" t="s">
        <v>7050</v>
      </c>
      <c r="C2903" s="17" t="s">
        <v>7051</v>
      </c>
      <c r="D2903" s="17" t="s">
        <v>7052</v>
      </c>
      <c r="E2903" s="16">
        <v>7.5</v>
      </c>
      <c r="F2903" s="7">
        <f t="shared" si="3"/>
        <v>92.5</v>
      </c>
      <c r="G2903" s="17" t="s">
        <v>3113</v>
      </c>
    </row>
    <row r="2904">
      <c r="A2904" s="12">
        <v>1497.0</v>
      </c>
      <c r="B2904" s="17" t="s">
        <v>7053</v>
      </c>
      <c r="C2904" s="17" t="s">
        <v>7054</v>
      </c>
      <c r="D2904" s="17" t="s">
        <v>7055</v>
      </c>
      <c r="E2904" s="16">
        <v>7.5</v>
      </c>
      <c r="F2904" s="7">
        <f t="shared" si="3"/>
        <v>92.5</v>
      </c>
      <c r="G2904" s="17" t="s">
        <v>3113</v>
      </c>
    </row>
    <row r="2905">
      <c r="A2905" s="12">
        <v>1498.0</v>
      </c>
      <c r="B2905" s="17" t="s">
        <v>7056</v>
      </c>
      <c r="C2905" s="17" t="s">
        <v>7057</v>
      </c>
      <c r="D2905" s="17" t="s">
        <v>7058</v>
      </c>
      <c r="E2905" s="16">
        <v>7.5</v>
      </c>
      <c r="F2905" s="7">
        <f t="shared" si="3"/>
        <v>92.5</v>
      </c>
      <c r="G2905" s="17" t="s">
        <v>3113</v>
      </c>
    </row>
    <row r="2906">
      <c r="A2906" s="12">
        <v>1499.0</v>
      </c>
      <c r="B2906" s="17" t="s">
        <v>7059</v>
      </c>
      <c r="C2906" s="17" t="s">
        <v>7060</v>
      </c>
      <c r="D2906" s="17" t="s">
        <v>7061</v>
      </c>
      <c r="E2906" s="16">
        <v>7.5</v>
      </c>
      <c r="F2906" s="7">
        <f t="shared" si="3"/>
        <v>92.5</v>
      </c>
      <c r="G2906" s="17" t="s">
        <v>3113</v>
      </c>
    </row>
    <row r="2907">
      <c r="A2907" s="12">
        <v>1500.0</v>
      </c>
      <c r="B2907" s="17" t="s">
        <v>7062</v>
      </c>
      <c r="C2907" s="17" t="s">
        <v>7063</v>
      </c>
      <c r="D2907" s="17" t="s">
        <v>7064</v>
      </c>
      <c r="E2907" s="16">
        <v>7.5</v>
      </c>
      <c r="F2907" s="7">
        <f t="shared" si="3"/>
        <v>92.5</v>
      </c>
      <c r="G2907" s="17" t="s">
        <v>3113</v>
      </c>
    </row>
    <row r="2908">
      <c r="A2908" s="12">
        <v>1501.0</v>
      </c>
      <c r="B2908" s="17" t="s">
        <v>7065</v>
      </c>
      <c r="C2908" s="17" t="s">
        <v>7066</v>
      </c>
      <c r="D2908" s="17" t="s">
        <v>7067</v>
      </c>
      <c r="E2908" s="16">
        <v>7.5</v>
      </c>
      <c r="F2908" s="7">
        <f t="shared" si="3"/>
        <v>92.5</v>
      </c>
      <c r="G2908" s="17" t="s">
        <v>3113</v>
      </c>
    </row>
    <row r="2909">
      <c r="A2909" s="12">
        <v>1502.0</v>
      </c>
      <c r="B2909" s="17" t="s">
        <v>7068</v>
      </c>
      <c r="C2909" s="17" t="s">
        <v>7069</v>
      </c>
      <c r="D2909" s="17" t="s">
        <v>7070</v>
      </c>
      <c r="E2909" s="16">
        <v>7.5</v>
      </c>
      <c r="F2909" s="7">
        <f t="shared" si="3"/>
        <v>92.5</v>
      </c>
      <c r="G2909" s="17" t="s">
        <v>3113</v>
      </c>
    </row>
    <row r="2910">
      <c r="A2910" s="12">
        <v>1503.0</v>
      </c>
      <c r="B2910" s="17" t="s">
        <v>7071</v>
      </c>
      <c r="C2910" s="17" t="s">
        <v>7072</v>
      </c>
      <c r="D2910" s="17" t="s">
        <v>7073</v>
      </c>
      <c r="E2910" s="16">
        <v>7.5</v>
      </c>
      <c r="F2910" s="7">
        <f t="shared" si="3"/>
        <v>92.5</v>
      </c>
      <c r="G2910" s="17" t="s">
        <v>3113</v>
      </c>
    </row>
    <row r="2911">
      <c r="A2911" s="12">
        <v>1504.0</v>
      </c>
      <c r="B2911" s="17" t="s">
        <v>7074</v>
      </c>
      <c r="C2911" s="17" t="s">
        <v>7075</v>
      </c>
      <c r="D2911" s="17" t="s">
        <v>7076</v>
      </c>
      <c r="E2911" s="16">
        <v>7.5</v>
      </c>
      <c r="F2911" s="7">
        <f t="shared" si="3"/>
        <v>92.5</v>
      </c>
      <c r="G2911" s="17" t="s">
        <v>3113</v>
      </c>
    </row>
    <row r="2912">
      <c r="A2912" s="12">
        <v>1505.0</v>
      </c>
      <c r="B2912" s="17" t="s">
        <v>7077</v>
      </c>
      <c r="C2912" s="17" t="s">
        <v>7078</v>
      </c>
      <c r="D2912" s="17" t="s">
        <v>7079</v>
      </c>
      <c r="E2912" s="16">
        <v>7.5</v>
      </c>
      <c r="F2912" s="7">
        <f t="shared" si="3"/>
        <v>92.5</v>
      </c>
      <c r="G2912" s="17" t="s">
        <v>3113</v>
      </c>
    </row>
    <row r="2913">
      <c r="A2913" s="12">
        <v>1506.0</v>
      </c>
      <c r="B2913" s="17" t="s">
        <v>7080</v>
      </c>
      <c r="C2913" s="17" t="s">
        <v>7081</v>
      </c>
      <c r="D2913" s="17" t="s">
        <v>7082</v>
      </c>
      <c r="E2913" s="16">
        <v>7.5</v>
      </c>
      <c r="F2913" s="7">
        <f t="shared" si="3"/>
        <v>92.5</v>
      </c>
      <c r="G2913" s="17" t="s">
        <v>3113</v>
      </c>
    </row>
    <row r="2914">
      <c r="A2914" s="12">
        <v>1507.0</v>
      </c>
      <c r="B2914" s="17" t="s">
        <v>7083</v>
      </c>
      <c r="C2914" s="17" t="s">
        <v>7084</v>
      </c>
      <c r="D2914" s="17" t="s">
        <v>7085</v>
      </c>
      <c r="E2914" s="16">
        <v>7.5</v>
      </c>
      <c r="F2914" s="7">
        <f t="shared" si="3"/>
        <v>92.5</v>
      </c>
      <c r="G2914" s="17" t="s">
        <v>3113</v>
      </c>
    </row>
    <row r="2915">
      <c r="A2915" s="12">
        <v>1508.0</v>
      </c>
      <c r="B2915" s="17" t="s">
        <v>7086</v>
      </c>
      <c r="C2915" s="17" t="s">
        <v>7087</v>
      </c>
      <c r="D2915" s="17" t="s">
        <v>7088</v>
      </c>
      <c r="E2915" s="16">
        <v>7.5</v>
      </c>
      <c r="F2915" s="7">
        <f t="shared" si="3"/>
        <v>92.5</v>
      </c>
      <c r="G2915" s="17" t="s">
        <v>3113</v>
      </c>
    </row>
    <row r="2916">
      <c r="A2916" s="12">
        <v>1509.0</v>
      </c>
      <c r="B2916" s="17" t="s">
        <v>7089</v>
      </c>
      <c r="C2916" s="17" t="s">
        <v>7090</v>
      </c>
      <c r="D2916" s="17" t="s">
        <v>7091</v>
      </c>
      <c r="E2916" s="16">
        <v>7.5</v>
      </c>
      <c r="F2916" s="7">
        <f t="shared" si="3"/>
        <v>92.5</v>
      </c>
      <c r="G2916" s="17" t="s">
        <v>3113</v>
      </c>
    </row>
    <row r="2917">
      <c r="A2917" s="12">
        <v>1510.0</v>
      </c>
      <c r="B2917" s="17" t="s">
        <v>7092</v>
      </c>
      <c r="C2917" s="17" t="s">
        <v>7093</v>
      </c>
      <c r="D2917" s="17" t="s">
        <v>7091</v>
      </c>
      <c r="E2917" s="16">
        <v>7.5</v>
      </c>
      <c r="F2917" s="7">
        <f t="shared" si="3"/>
        <v>92.5</v>
      </c>
      <c r="G2917" s="17" t="s">
        <v>3113</v>
      </c>
    </row>
    <row r="2918">
      <c r="A2918" s="12">
        <v>1511.0</v>
      </c>
      <c r="B2918" s="17" t="s">
        <v>7094</v>
      </c>
      <c r="C2918" s="17" t="s">
        <v>7095</v>
      </c>
      <c r="D2918" s="17" t="s">
        <v>7096</v>
      </c>
      <c r="E2918" s="16">
        <v>7.5</v>
      </c>
      <c r="F2918" s="7">
        <f t="shared" si="3"/>
        <v>92.5</v>
      </c>
      <c r="G2918" s="17" t="s">
        <v>3113</v>
      </c>
    </row>
    <row r="2919">
      <c r="A2919" s="12">
        <v>1512.0</v>
      </c>
      <c r="B2919" s="17" t="s">
        <v>7097</v>
      </c>
      <c r="C2919" s="17" t="s">
        <v>7098</v>
      </c>
      <c r="D2919" s="17" t="s">
        <v>6382</v>
      </c>
      <c r="E2919" s="16">
        <v>7.5</v>
      </c>
      <c r="F2919" s="7">
        <f t="shared" si="3"/>
        <v>92.5</v>
      </c>
      <c r="G2919" s="17" t="s">
        <v>3113</v>
      </c>
    </row>
    <row r="2920">
      <c r="A2920" s="12">
        <v>1513.0</v>
      </c>
      <c r="B2920" s="17" t="s">
        <v>7099</v>
      </c>
      <c r="C2920" s="17" t="s">
        <v>7100</v>
      </c>
      <c r="D2920" s="17" t="s">
        <v>7101</v>
      </c>
      <c r="E2920" s="16">
        <v>7.5</v>
      </c>
      <c r="F2920" s="7">
        <f t="shared" si="3"/>
        <v>92.5</v>
      </c>
      <c r="G2920" s="17" t="s">
        <v>3113</v>
      </c>
    </row>
    <row r="2921">
      <c r="A2921" s="12">
        <v>1514.0</v>
      </c>
      <c r="B2921" s="17" t="s">
        <v>7102</v>
      </c>
      <c r="C2921" s="17" t="s">
        <v>7103</v>
      </c>
      <c r="D2921" s="17" t="s">
        <v>7104</v>
      </c>
      <c r="E2921" s="16">
        <v>7.5</v>
      </c>
      <c r="F2921" s="7">
        <f t="shared" si="3"/>
        <v>92.5</v>
      </c>
      <c r="G2921" s="17" t="s">
        <v>3113</v>
      </c>
    </row>
    <row r="2922">
      <c r="A2922" s="12">
        <v>1515.0</v>
      </c>
      <c r="B2922" s="17" t="s">
        <v>7105</v>
      </c>
      <c r="C2922" s="17" t="s">
        <v>7106</v>
      </c>
      <c r="D2922" s="17" t="s">
        <v>7101</v>
      </c>
      <c r="E2922" s="16">
        <v>7.5</v>
      </c>
      <c r="F2922" s="7">
        <f t="shared" si="3"/>
        <v>92.5</v>
      </c>
      <c r="G2922" s="17" t="s">
        <v>3113</v>
      </c>
    </row>
    <row r="2923">
      <c r="A2923" s="12">
        <v>1516.0</v>
      </c>
      <c r="B2923" s="17" t="s">
        <v>7107</v>
      </c>
      <c r="C2923" s="17" t="s">
        <v>7108</v>
      </c>
      <c r="D2923" s="17" t="s">
        <v>7109</v>
      </c>
      <c r="E2923" s="16">
        <v>7.5</v>
      </c>
      <c r="F2923" s="7">
        <f t="shared" si="3"/>
        <v>92.5</v>
      </c>
      <c r="G2923" s="17" t="s">
        <v>3113</v>
      </c>
    </row>
    <row r="2924">
      <c r="A2924" s="12">
        <v>1517.0</v>
      </c>
      <c r="B2924" s="17" t="s">
        <v>7110</v>
      </c>
      <c r="C2924" s="17" t="s">
        <v>7111</v>
      </c>
      <c r="D2924" s="17" t="s">
        <v>6400</v>
      </c>
      <c r="E2924" s="16">
        <v>7.5</v>
      </c>
      <c r="F2924" s="7">
        <f t="shared" si="3"/>
        <v>92.5</v>
      </c>
      <c r="G2924" s="17" t="s">
        <v>3113</v>
      </c>
    </row>
    <row r="2925">
      <c r="A2925" s="12">
        <v>1518.0</v>
      </c>
      <c r="B2925" s="17" t="s">
        <v>7112</v>
      </c>
      <c r="C2925" s="17" t="s">
        <v>7113</v>
      </c>
      <c r="D2925" s="17" t="s">
        <v>6436</v>
      </c>
      <c r="E2925" s="16">
        <v>7.5</v>
      </c>
      <c r="F2925" s="7">
        <f t="shared" si="3"/>
        <v>92.5</v>
      </c>
      <c r="G2925" s="17" t="s">
        <v>3113</v>
      </c>
    </row>
    <row r="2926">
      <c r="A2926" s="12">
        <v>1519.0</v>
      </c>
      <c r="B2926" s="17" t="s">
        <v>7114</v>
      </c>
      <c r="C2926" s="17" t="s">
        <v>7115</v>
      </c>
      <c r="D2926" s="17" t="s">
        <v>6344</v>
      </c>
      <c r="E2926" s="16">
        <v>7.5</v>
      </c>
      <c r="F2926" s="7">
        <f t="shared" si="3"/>
        <v>92.5</v>
      </c>
      <c r="G2926" s="17" t="s">
        <v>3113</v>
      </c>
    </row>
    <row r="2927">
      <c r="A2927" s="12">
        <v>1520.0</v>
      </c>
      <c r="B2927" s="17" t="s">
        <v>7116</v>
      </c>
      <c r="C2927" s="17" t="s">
        <v>7117</v>
      </c>
      <c r="D2927" s="17" t="s">
        <v>6424</v>
      </c>
      <c r="E2927" s="16">
        <v>7.5</v>
      </c>
      <c r="F2927" s="7">
        <f t="shared" si="3"/>
        <v>92.5</v>
      </c>
      <c r="G2927" s="17" t="s">
        <v>3113</v>
      </c>
    </row>
    <row r="2928">
      <c r="A2928" s="12">
        <v>1521.0</v>
      </c>
      <c r="B2928" s="17" t="s">
        <v>7118</v>
      </c>
      <c r="C2928" s="17" t="s">
        <v>7119</v>
      </c>
      <c r="D2928" s="17" t="s">
        <v>6347</v>
      </c>
      <c r="E2928" s="16">
        <v>7.5</v>
      </c>
      <c r="F2928" s="7">
        <f t="shared" si="3"/>
        <v>92.5</v>
      </c>
      <c r="G2928" s="17" t="s">
        <v>3113</v>
      </c>
    </row>
    <row r="2929">
      <c r="A2929" s="12">
        <v>1522.0</v>
      </c>
      <c r="B2929" s="17" t="s">
        <v>7120</v>
      </c>
      <c r="C2929" s="17" t="s">
        <v>7121</v>
      </c>
      <c r="D2929" s="17" t="s">
        <v>7122</v>
      </c>
      <c r="E2929" s="16">
        <v>7.5</v>
      </c>
      <c r="F2929" s="7">
        <f t="shared" si="3"/>
        <v>92.5</v>
      </c>
      <c r="G2929" s="17" t="s">
        <v>3113</v>
      </c>
    </row>
    <row r="2930">
      <c r="A2930" s="12">
        <v>1523.0</v>
      </c>
      <c r="B2930" s="17" t="s">
        <v>7123</v>
      </c>
      <c r="C2930" s="17" t="s">
        <v>7124</v>
      </c>
      <c r="D2930" s="17" t="s">
        <v>6341</v>
      </c>
      <c r="E2930" s="16">
        <v>7.5</v>
      </c>
      <c r="F2930" s="7">
        <f t="shared" si="3"/>
        <v>92.5</v>
      </c>
      <c r="G2930" s="17" t="s">
        <v>3113</v>
      </c>
    </row>
    <row r="2931">
      <c r="A2931" s="12">
        <v>1524.0</v>
      </c>
      <c r="B2931" s="17" t="s">
        <v>7125</v>
      </c>
      <c r="C2931" s="17" t="s">
        <v>7126</v>
      </c>
      <c r="D2931" s="17" t="s">
        <v>6615</v>
      </c>
      <c r="E2931" s="16">
        <v>7.5</v>
      </c>
      <c r="F2931" s="7">
        <f t="shared" si="3"/>
        <v>92.5</v>
      </c>
      <c r="G2931" s="17" t="s">
        <v>3113</v>
      </c>
    </row>
    <row r="2932">
      <c r="A2932" s="12">
        <v>1525.0</v>
      </c>
      <c r="B2932" s="17" t="s">
        <v>7127</v>
      </c>
      <c r="C2932" s="17" t="s">
        <v>7128</v>
      </c>
      <c r="D2932" s="17" t="s">
        <v>7129</v>
      </c>
      <c r="E2932" s="16">
        <v>7.5</v>
      </c>
      <c r="F2932" s="7">
        <f t="shared" si="3"/>
        <v>92.5</v>
      </c>
      <c r="G2932" s="17" t="s">
        <v>3113</v>
      </c>
    </row>
    <row r="2933">
      <c r="A2933" s="12">
        <v>1526.0</v>
      </c>
      <c r="B2933" s="17" t="s">
        <v>7130</v>
      </c>
      <c r="C2933" s="17" t="s">
        <v>7131</v>
      </c>
      <c r="D2933" s="17" t="s">
        <v>7132</v>
      </c>
      <c r="E2933" s="16">
        <v>7.5</v>
      </c>
      <c r="F2933" s="7">
        <f t="shared" si="3"/>
        <v>92.5</v>
      </c>
      <c r="G2933" s="17" t="s">
        <v>3113</v>
      </c>
    </row>
    <row r="2934">
      <c r="A2934" s="12">
        <v>1527.0</v>
      </c>
      <c r="B2934" s="17" t="s">
        <v>7133</v>
      </c>
      <c r="C2934" s="17" t="s">
        <v>7134</v>
      </c>
      <c r="D2934" s="17" t="s">
        <v>7129</v>
      </c>
      <c r="E2934" s="16">
        <v>7.5</v>
      </c>
      <c r="F2934" s="7">
        <f t="shared" si="3"/>
        <v>92.5</v>
      </c>
      <c r="G2934" s="17" t="s">
        <v>3113</v>
      </c>
    </row>
    <row r="2935">
      <c r="A2935" s="12">
        <v>1528.0</v>
      </c>
      <c r="B2935" s="17" t="s">
        <v>7135</v>
      </c>
      <c r="C2935" s="17" t="s">
        <v>7136</v>
      </c>
      <c r="D2935" s="17" t="s">
        <v>7137</v>
      </c>
      <c r="E2935" s="16">
        <v>7.5</v>
      </c>
      <c r="F2935" s="7">
        <f t="shared" si="3"/>
        <v>92.5</v>
      </c>
      <c r="G2935" s="17" t="s">
        <v>3113</v>
      </c>
    </row>
    <row r="2936">
      <c r="A2936" s="12">
        <v>1529.0</v>
      </c>
      <c r="B2936" s="17" t="s">
        <v>7138</v>
      </c>
      <c r="C2936" s="17" t="s">
        <v>7139</v>
      </c>
      <c r="D2936" s="17" t="s">
        <v>6702</v>
      </c>
      <c r="E2936" s="16">
        <v>7.5</v>
      </c>
      <c r="F2936" s="7">
        <f t="shared" si="3"/>
        <v>92.5</v>
      </c>
      <c r="G2936" s="17" t="s">
        <v>3113</v>
      </c>
    </row>
    <row r="2937">
      <c r="A2937" s="12">
        <v>1530.0</v>
      </c>
      <c r="B2937" s="17" t="s">
        <v>7140</v>
      </c>
      <c r="C2937" s="17" t="s">
        <v>7141</v>
      </c>
      <c r="D2937" s="17" t="s">
        <v>7142</v>
      </c>
      <c r="E2937" s="16">
        <v>7.5</v>
      </c>
      <c r="F2937" s="7">
        <f t="shared" si="3"/>
        <v>92.5</v>
      </c>
      <c r="G2937" s="17" t="s">
        <v>3113</v>
      </c>
    </row>
    <row r="2938">
      <c r="A2938" s="12">
        <v>1531.0</v>
      </c>
      <c r="B2938" s="17" t="s">
        <v>7143</v>
      </c>
      <c r="C2938" s="17" t="s">
        <v>7144</v>
      </c>
      <c r="D2938" s="17" t="s">
        <v>6471</v>
      </c>
      <c r="E2938" s="16">
        <v>7.5</v>
      </c>
      <c r="F2938" s="7">
        <f t="shared" si="3"/>
        <v>92.5</v>
      </c>
      <c r="G2938" s="17" t="s">
        <v>3113</v>
      </c>
    </row>
    <row r="2939">
      <c r="A2939" s="12">
        <v>1532.0</v>
      </c>
      <c r="B2939" s="17" t="s">
        <v>7145</v>
      </c>
      <c r="C2939" s="17" t="s">
        <v>7146</v>
      </c>
      <c r="D2939" s="17" t="s">
        <v>7147</v>
      </c>
      <c r="E2939" s="16">
        <v>7.5</v>
      </c>
      <c r="F2939" s="7">
        <f t="shared" si="3"/>
        <v>92.5</v>
      </c>
      <c r="G2939" s="17" t="s">
        <v>3113</v>
      </c>
    </row>
    <row r="2940">
      <c r="A2940" s="12">
        <v>1533.0</v>
      </c>
      <c r="B2940" s="17" t="s">
        <v>7148</v>
      </c>
      <c r="C2940" s="17" t="s">
        <v>7149</v>
      </c>
      <c r="D2940" s="17" t="s">
        <v>7150</v>
      </c>
      <c r="E2940" s="16">
        <v>7.5</v>
      </c>
      <c r="F2940" s="7">
        <f t="shared" si="3"/>
        <v>92.5</v>
      </c>
      <c r="G2940" s="17" t="s">
        <v>3113</v>
      </c>
    </row>
    <row r="2941">
      <c r="A2941" s="12">
        <v>1534.0</v>
      </c>
      <c r="B2941" s="17" t="s">
        <v>7151</v>
      </c>
      <c r="C2941" s="17" t="s">
        <v>7152</v>
      </c>
      <c r="D2941" s="17" t="s">
        <v>7153</v>
      </c>
      <c r="E2941" s="16">
        <v>7.5</v>
      </c>
      <c r="F2941" s="7">
        <f t="shared" si="3"/>
        <v>92.5</v>
      </c>
      <c r="G2941" s="17" t="s">
        <v>3113</v>
      </c>
    </row>
    <row r="2942">
      <c r="A2942" s="12">
        <v>1535.0</v>
      </c>
      <c r="B2942" s="17" t="s">
        <v>7154</v>
      </c>
      <c r="C2942" s="17" t="s">
        <v>7155</v>
      </c>
      <c r="D2942" s="17" t="s">
        <v>7156</v>
      </c>
      <c r="E2942" s="16">
        <v>7.5</v>
      </c>
      <c r="F2942" s="7">
        <f t="shared" si="3"/>
        <v>92.5</v>
      </c>
      <c r="G2942" s="17" t="s">
        <v>3113</v>
      </c>
    </row>
    <row r="2943">
      <c r="A2943" s="12">
        <v>1536.0</v>
      </c>
      <c r="B2943" s="17" t="s">
        <v>7157</v>
      </c>
      <c r="C2943" s="17" t="s">
        <v>7158</v>
      </c>
      <c r="D2943" s="17" t="s">
        <v>7159</v>
      </c>
      <c r="E2943" s="16">
        <v>7.5</v>
      </c>
      <c r="F2943" s="7">
        <f t="shared" si="3"/>
        <v>92.5</v>
      </c>
      <c r="G2943" s="17" t="s">
        <v>3113</v>
      </c>
    </row>
    <row r="2944">
      <c r="A2944" s="12">
        <v>1537.0</v>
      </c>
      <c r="B2944" s="17" t="s">
        <v>7160</v>
      </c>
      <c r="C2944" s="17" t="s">
        <v>7161</v>
      </c>
      <c r="D2944" s="17" t="s">
        <v>7162</v>
      </c>
      <c r="E2944" s="16">
        <v>7.5</v>
      </c>
      <c r="F2944" s="7">
        <f t="shared" si="3"/>
        <v>92.5</v>
      </c>
      <c r="G2944" s="17" t="s">
        <v>3113</v>
      </c>
    </row>
    <row r="2945">
      <c r="A2945" s="12">
        <v>1538.0</v>
      </c>
      <c r="B2945" s="17" t="s">
        <v>7160</v>
      </c>
      <c r="C2945" s="17" t="s">
        <v>7163</v>
      </c>
      <c r="D2945" s="17" t="s">
        <v>7164</v>
      </c>
      <c r="E2945" s="16">
        <v>7.5</v>
      </c>
      <c r="F2945" s="7">
        <f t="shared" si="3"/>
        <v>92.5</v>
      </c>
      <c r="G2945" s="17" t="s">
        <v>3113</v>
      </c>
    </row>
    <row r="2946">
      <c r="A2946" s="12">
        <v>1539.0</v>
      </c>
      <c r="B2946" s="17" t="s">
        <v>7165</v>
      </c>
      <c r="C2946" s="17" t="s">
        <v>7166</v>
      </c>
      <c r="D2946" s="17" t="s">
        <v>7167</v>
      </c>
      <c r="E2946" s="16">
        <v>7.5</v>
      </c>
      <c r="F2946" s="7">
        <f t="shared" si="3"/>
        <v>92.5</v>
      </c>
      <c r="G2946" s="17" t="s">
        <v>3113</v>
      </c>
    </row>
    <row r="2947">
      <c r="A2947" s="12">
        <v>1540.0</v>
      </c>
      <c r="B2947" s="17" t="s">
        <v>7168</v>
      </c>
      <c r="C2947" s="17" t="s">
        <v>7169</v>
      </c>
      <c r="D2947" s="17" t="s">
        <v>7170</v>
      </c>
      <c r="E2947" s="16">
        <v>7.5</v>
      </c>
      <c r="F2947" s="7">
        <f t="shared" si="3"/>
        <v>92.5</v>
      </c>
      <c r="G2947" s="17" t="s">
        <v>3113</v>
      </c>
    </row>
    <row r="2948">
      <c r="A2948" s="12">
        <v>1541.0</v>
      </c>
      <c r="B2948" s="17" t="s">
        <v>7168</v>
      </c>
      <c r="C2948" s="17" t="s">
        <v>7171</v>
      </c>
      <c r="D2948" s="17" t="s">
        <v>7172</v>
      </c>
      <c r="E2948" s="16">
        <v>7.5</v>
      </c>
      <c r="F2948" s="7">
        <f t="shared" si="3"/>
        <v>92.5</v>
      </c>
      <c r="G2948" s="17" t="s">
        <v>3113</v>
      </c>
    </row>
    <row r="2949">
      <c r="A2949" s="12">
        <v>1542.0</v>
      </c>
      <c r="B2949" s="17" t="s">
        <v>7173</v>
      </c>
      <c r="C2949" s="17" t="s">
        <v>7174</v>
      </c>
      <c r="D2949" s="17" t="s">
        <v>7175</v>
      </c>
      <c r="E2949" s="16">
        <v>7.5</v>
      </c>
      <c r="F2949" s="7">
        <f t="shared" si="3"/>
        <v>92.5</v>
      </c>
      <c r="G2949" s="17" t="s">
        <v>3113</v>
      </c>
    </row>
    <row r="2950">
      <c r="A2950" s="12">
        <v>1543.0</v>
      </c>
      <c r="B2950" s="17" t="s">
        <v>7176</v>
      </c>
      <c r="C2950" s="17" t="s">
        <v>7177</v>
      </c>
      <c r="D2950" s="17" t="s">
        <v>7178</v>
      </c>
      <c r="E2950" s="16">
        <v>7.5</v>
      </c>
      <c r="F2950" s="7">
        <f t="shared" si="3"/>
        <v>92.5</v>
      </c>
      <c r="G2950" s="17" t="s">
        <v>3113</v>
      </c>
    </row>
    <row r="2951">
      <c r="A2951" s="12">
        <v>1544.0</v>
      </c>
      <c r="B2951" s="17" t="s">
        <v>7176</v>
      </c>
      <c r="C2951" s="17" t="s">
        <v>7179</v>
      </c>
      <c r="D2951" s="17" t="s">
        <v>7180</v>
      </c>
      <c r="E2951" s="16">
        <v>7.5</v>
      </c>
      <c r="F2951" s="7">
        <f t="shared" si="3"/>
        <v>92.5</v>
      </c>
      <c r="G2951" s="17" t="s">
        <v>3113</v>
      </c>
    </row>
    <row r="2952">
      <c r="A2952" s="12">
        <v>1545.0</v>
      </c>
      <c r="B2952" s="17" t="s">
        <v>7176</v>
      </c>
      <c r="C2952" s="17" t="s">
        <v>7181</v>
      </c>
      <c r="D2952" s="17" t="s">
        <v>7182</v>
      </c>
      <c r="E2952" s="16">
        <v>7.5</v>
      </c>
      <c r="F2952" s="7">
        <f t="shared" si="3"/>
        <v>92.5</v>
      </c>
      <c r="G2952" s="17" t="s">
        <v>3113</v>
      </c>
    </row>
    <row r="2953">
      <c r="A2953" s="12">
        <v>1546.0</v>
      </c>
      <c r="B2953" s="17" t="s">
        <v>7183</v>
      </c>
      <c r="C2953" s="17" t="s">
        <v>7184</v>
      </c>
      <c r="D2953" s="17" t="s">
        <v>7185</v>
      </c>
      <c r="E2953" s="16">
        <v>7.5</v>
      </c>
      <c r="F2953" s="7">
        <f t="shared" si="3"/>
        <v>92.5</v>
      </c>
      <c r="G2953" s="17" t="s">
        <v>3113</v>
      </c>
    </row>
    <row r="2954">
      <c r="A2954" s="12">
        <v>1547.0</v>
      </c>
      <c r="B2954" s="17" t="s">
        <v>7186</v>
      </c>
      <c r="C2954" s="17" t="s">
        <v>7187</v>
      </c>
      <c r="D2954" s="17" t="s">
        <v>7188</v>
      </c>
      <c r="E2954" s="16">
        <v>7.5</v>
      </c>
      <c r="F2954" s="7">
        <f t="shared" si="3"/>
        <v>92.5</v>
      </c>
      <c r="G2954" s="17" t="s">
        <v>3113</v>
      </c>
    </row>
    <row r="2955">
      <c r="A2955" s="12">
        <v>1548.0</v>
      </c>
      <c r="B2955" s="17" t="s">
        <v>7189</v>
      </c>
      <c r="C2955" s="17" t="s">
        <v>7190</v>
      </c>
      <c r="D2955" s="17" t="s">
        <v>7185</v>
      </c>
      <c r="E2955" s="16">
        <v>7.5</v>
      </c>
      <c r="F2955" s="7">
        <f t="shared" si="3"/>
        <v>92.5</v>
      </c>
      <c r="G2955" s="17" t="s">
        <v>3113</v>
      </c>
    </row>
    <row r="2956">
      <c r="A2956" s="12">
        <v>1549.0</v>
      </c>
      <c r="B2956" s="17" t="s">
        <v>7191</v>
      </c>
      <c r="C2956" s="17" t="s">
        <v>7192</v>
      </c>
      <c r="D2956" s="17" t="s">
        <v>7193</v>
      </c>
      <c r="E2956" s="16">
        <v>7.5</v>
      </c>
      <c r="F2956" s="7">
        <f t="shared" si="3"/>
        <v>92.5</v>
      </c>
      <c r="G2956" s="17" t="s">
        <v>3113</v>
      </c>
    </row>
    <row r="2957">
      <c r="A2957" s="12">
        <v>1550.0</v>
      </c>
      <c r="B2957" s="17" t="s">
        <v>7194</v>
      </c>
      <c r="C2957" s="17" t="s">
        <v>7195</v>
      </c>
      <c r="D2957" s="17" t="s">
        <v>7196</v>
      </c>
      <c r="E2957" s="16">
        <v>7.5</v>
      </c>
      <c r="F2957" s="7">
        <f t="shared" si="3"/>
        <v>92.5</v>
      </c>
      <c r="G2957" s="17" t="s">
        <v>3113</v>
      </c>
    </row>
    <row r="2958">
      <c r="A2958" s="12">
        <v>1551.0</v>
      </c>
      <c r="B2958" s="17" t="s">
        <v>7197</v>
      </c>
      <c r="C2958" s="17" t="s">
        <v>7198</v>
      </c>
      <c r="D2958" s="17" t="s">
        <v>7196</v>
      </c>
      <c r="E2958" s="16">
        <v>7.5</v>
      </c>
      <c r="F2958" s="7">
        <f t="shared" si="3"/>
        <v>92.5</v>
      </c>
      <c r="G2958" s="17" t="s">
        <v>3113</v>
      </c>
    </row>
    <row r="2959">
      <c r="A2959" s="12">
        <v>1552.0</v>
      </c>
      <c r="B2959" s="17" t="s">
        <v>7199</v>
      </c>
      <c r="C2959" s="17" t="s">
        <v>7200</v>
      </c>
      <c r="D2959" s="17" t="s">
        <v>7201</v>
      </c>
      <c r="E2959" s="16">
        <v>7.5</v>
      </c>
      <c r="F2959" s="7">
        <f t="shared" si="3"/>
        <v>92.5</v>
      </c>
      <c r="G2959" s="17" t="s">
        <v>3113</v>
      </c>
    </row>
    <row r="2960">
      <c r="A2960" s="12">
        <v>1553.0</v>
      </c>
      <c r="B2960" s="17" t="s">
        <v>7202</v>
      </c>
      <c r="C2960" s="17" t="s">
        <v>7203</v>
      </c>
      <c r="D2960" s="17" t="s">
        <v>7204</v>
      </c>
      <c r="E2960" s="16">
        <v>7.5</v>
      </c>
      <c r="F2960" s="7">
        <f t="shared" si="3"/>
        <v>92.5</v>
      </c>
      <c r="G2960" s="17" t="s">
        <v>3113</v>
      </c>
    </row>
    <row r="2961">
      <c r="A2961" s="12">
        <v>1554.0</v>
      </c>
      <c r="B2961" s="17" t="s">
        <v>7202</v>
      </c>
      <c r="C2961" s="17" t="s">
        <v>7205</v>
      </c>
      <c r="D2961" s="17" t="s">
        <v>7206</v>
      </c>
      <c r="E2961" s="16">
        <v>7.5</v>
      </c>
      <c r="F2961" s="7">
        <f t="shared" si="3"/>
        <v>92.5</v>
      </c>
      <c r="G2961" s="17" t="s">
        <v>3113</v>
      </c>
    </row>
    <row r="2962">
      <c r="A2962" s="12">
        <v>1555.0</v>
      </c>
      <c r="B2962" s="17" t="s">
        <v>7207</v>
      </c>
      <c r="C2962" s="17" t="s">
        <v>7208</v>
      </c>
      <c r="D2962" s="17" t="s">
        <v>7209</v>
      </c>
      <c r="E2962" s="16">
        <v>7.5</v>
      </c>
      <c r="F2962" s="7">
        <f t="shared" si="3"/>
        <v>92.5</v>
      </c>
      <c r="G2962" s="17" t="s">
        <v>3113</v>
      </c>
    </row>
    <row r="2963">
      <c r="A2963" s="12">
        <v>1556.0</v>
      </c>
      <c r="B2963" s="17" t="s">
        <v>7210</v>
      </c>
      <c r="C2963" s="17" t="s">
        <v>7211</v>
      </c>
      <c r="D2963" s="17" t="s">
        <v>7212</v>
      </c>
      <c r="E2963" s="16">
        <v>7.5</v>
      </c>
      <c r="F2963" s="7">
        <f t="shared" si="3"/>
        <v>92.5</v>
      </c>
      <c r="G2963" s="17" t="s">
        <v>3113</v>
      </c>
    </row>
    <row r="2964">
      <c r="A2964" s="12">
        <v>1557.0</v>
      </c>
      <c r="B2964" s="17" t="s">
        <v>7213</v>
      </c>
      <c r="C2964" s="17" t="s">
        <v>7214</v>
      </c>
      <c r="D2964" s="17" t="s">
        <v>7215</v>
      </c>
      <c r="E2964" s="16">
        <v>7.5</v>
      </c>
      <c r="F2964" s="7">
        <f t="shared" si="3"/>
        <v>92.5</v>
      </c>
      <c r="G2964" s="17" t="s">
        <v>3113</v>
      </c>
    </row>
    <row r="2965">
      <c r="A2965" s="12">
        <v>1558.0</v>
      </c>
      <c r="B2965" s="17" t="s">
        <v>7216</v>
      </c>
      <c r="C2965" s="17" t="s">
        <v>7217</v>
      </c>
      <c r="D2965" s="17" t="s">
        <v>7218</v>
      </c>
      <c r="E2965" s="16">
        <v>7.5</v>
      </c>
      <c r="F2965" s="7">
        <f t="shared" si="3"/>
        <v>92.5</v>
      </c>
      <c r="G2965" s="17" t="s">
        <v>3113</v>
      </c>
    </row>
    <row r="2966">
      <c r="A2966" s="12">
        <v>1559.0</v>
      </c>
      <c r="B2966" s="17" t="s">
        <v>7219</v>
      </c>
      <c r="C2966" s="17" t="s">
        <v>7220</v>
      </c>
      <c r="D2966" s="17" t="s">
        <v>7221</v>
      </c>
      <c r="E2966" s="16">
        <v>7.5</v>
      </c>
      <c r="F2966" s="7">
        <f t="shared" si="3"/>
        <v>92.5</v>
      </c>
      <c r="G2966" s="17" t="s">
        <v>3113</v>
      </c>
    </row>
    <row r="2967">
      <c r="A2967" s="12">
        <v>1560.0</v>
      </c>
      <c r="B2967" s="17" t="s">
        <v>7222</v>
      </c>
      <c r="C2967" s="17" t="s">
        <v>7223</v>
      </c>
      <c r="D2967" s="17" t="s">
        <v>7224</v>
      </c>
      <c r="E2967" s="16">
        <v>7.5</v>
      </c>
      <c r="F2967" s="7">
        <f t="shared" si="3"/>
        <v>92.5</v>
      </c>
      <c r="G2967" s="17" t="s">
        <v>3113</v>
      </c>
    </row>
    <row r="2968">
      <c r="A2968" s="12">
        <v>1561.0</v>
      </c>
      <c r="B2968" s="17" t="s">
        <v>7225</v>
      </c>
      <c r="C2968" s="17" t="s">
        <v>7226</v>
      </c>
      <c r="D2968" s="17" t="s">
        <v>7227</v>
      </c>
      <c r="E2968" s="16">
        <v>7.5</v>
      </c>
      <c r="F2968" s="7">
        <f t="shared" si="3"/>
        <v>92.5</v>
      </c>
      <c r="G2968" s="17" t="s">
        <v>3113</v>
      </c>
    </row>
    <row r="2969">
      <c r="A2969" s="12">
        <v>1562.0</v>
      </c>
      <c r="B2969" s="17" t="s">
        <v>7228</v>
      </c>
      <c r="C2969" s="17" t="s">
        <v>7229</v>
      </c>
      <c r="D2969" s="17" t="s">
        <v>7230</v>
      </c>
      <c r="E2969" s="16">
        <v>7.5</v>
      </c>
      <c r="F2969" s="7">
        <f t="shared" si="3"/>
        <v>92.5</v>
      </c>
      <c r="G2969" s="17" t="s">
        <v>3113</v>
      </c>
    </row>
    <row r="2970">
      <c r="A2970" s="12">
        <v>1563.0</v>
      </c>
      <c r="B2970" s="17" t="s">
        <v>7231</v>
      </c>
      <c r="C2970" s="17" t="s">
        <v>7232</v>
      </c>
      <c r="D2970" s="17" t="s">
        <v>7233</v>
      </c>
      <c r="E2970" s="16">
        <v>7.5</v>
      </c>
      <c r="F2970" s="7">
        <f t="shared" si="3"/>
        <v>92.5</v>
      </c>
      <c r="G2970" s="17" t="s">
        <v>3113</v>
      </c>
    </row>
    <row r="2971">
      <c r="A2971" s="12">
        <v>1564.0</v>
      </c>
      <c r="B2971" s="17" t="s">
        <v>7234</v>
      </c>
      <c r="C2971" s="17" t="s">
        <v>7235</v>
      </c>
      <c r="D2971" s="17" t="s">
        <v>7236</v>
      </c>
      <c r="E2971" s="16">
        <v>7.5</v>
      </c>
      <c r="F2971" s="7">
        <f t="shared" si="3"/>
        <v>92.5</v>
      </c>
      <c r="G2971" s="17" t="s">
        <v>3113</v>
      </c>
    </row>
    <row r="2972">
      <c r="A2972" s="12">
        <v>1565.0</v>
      </c>
      <c r="B2972" s="17" t="s">
        <v>7237</v>
      </c>
      <c r="C2972" s="17" t="s">
        <v>7238</v>
      </c>
      <c r="D2972" s="17" t="s">
        <v>7239</v>
      </c>
      <c r="E2972" s="16">
        <v>7.5</v>
      </c>
      <c r="F2972" s="7">
        <f t="shared" si="3"/>
        <v>92.5</v>
      </c>
      <c r="G2972" s="17" t="s">
        <v>3113</v>
      </c>
    </row>
    <row r="2973">
      <c r="A2973" s="12">
        <v>1566.0</v>
      </c>
      <c r="B2973" s="17" t="s">
        <v>7240</v>
      </c>
      <c r="C2973" s="17" t="s">
        <v>7241</v>
      </c>
      <c r="D2973" s="17" t="s">
        <v>7242</v>
      </c>
      <c r="E2973" s="16">
        <v>7.5</v>
      </c>
      <c r="F2973" s="7">
        <f t="shared" si="3"/>
        <v>92.5</v>
      </c>
      <c r="G2973" s="17" t="s">
        <v>3113</v>
      </c>
    </row>
    <row r="2974">
      <c r="A2974" s="12">
        <v>1567.0</v>
      </c>
      <c r="B2974" s="17" t="s">
        <v>7240</v>
      </c>
      <c r="C2974" s="17" t="s">
        <v>7243</v>
      </c>
      <c r="D2974" s="17" t="s">
        <v>7244</v>
      </c>
      <c r="E2974" s="16">
        <v>7.5</v>
      </c>
      <c r="F2974" s="7">
        <f t="shared" si="3"/>
        <v>92.5</v>
      </c>
      <c r="G2974" s="17" t="s">
        <v>3113</v>
      </c>
    </row>
    <row r="2975">
      <c r="A2975" s="12">
        <v>1568.0</v>
      </c>
      <c r="B2975" s="17" t="s">
        <v>7240</v>
      </c>
      <c r="C2975" s="17" t="s">
        <v>7245</v>
      </c>
      <c r="D2975" s="17" t="s">
        <v>7246</v>
      </c>
      <c r="E2975" s="16">
        <v>7.5</v>
      </c>
      <c r="F2975" s="7">
        <f t="shared" si="3"/>
        <v>92.5</v>
      </c>
      <c r="G2975" s="17" t="s">
        <v>3113</v>
      </c>
    </row>
    <row r="2976">
      <c r="A2976" s="12">
        <v>1569.0</v>
      </c>
      <c r="B2976" s="17" t="s">
        <v>7247</v>
      </c>
      <c r="C2976" s="17" t="s">
        <v>7248</v>
      </c>
      <c r="D2976" s="17" t="s">
        <v>7249</v>
      </c>
      <c r="E2976" s="16">
        <v>7.5</v>
      </c>
      <c r="F2976" s="7">
        <f t="shared" si="3"/>
        <v>92.5</v>
      </c>
      <c r="G2976" s="17" t="s">
        <v>3113</v>
      </c>
    </row>
    <row r="2977">
      <c r="A2977" s="12">
        <v>1570.0</v>
      </c>
      <c r="B2977" s="17" t="s">
        <v>7250</v>
      </c>
      <c r="C2977" s="17" t="s">
        <v>7251</v>
      </c>
      <c r="D2977" s="17" t="s">
        <v>7252</v>
      </c>
      <c r="E2977" s="16">
        <v>7.5</v>
      </c>
      <c r="F2977" s="7">
        <f t="shared" si="3"/>
        <v>92.5</v>
      </c>
      <c r="G2977" s="17" t="s">
        <v>3113</v>
      </c>
    </row>
    <row r="2978">
      <c r="A2978" s="12">
        <v>1571.0</v>
      </c>
      <c r="B2978" s="17" t="s">
        <v>7253</v>
      </c>
      <c r="C2978" s="17" t="s">
        <v>7254</v>
      </c>
      <c r="D2978" s="17" t="s">
        <v>7255</v>
      </c>
      <c r="E2978" s="16">
        <v>7.5</v>
      </c>
      <c r="F2978" s="7">
        <f t="shared" si="3"/>
        <v>92.5</v>
      </c>
      <c r="G2978" s="17" t="s">
        <v>3113</v>
      </c>
    </row>
    <row r="2979">
      <c r="A2979" s="12">
        <v>1572.0</v>
      </c>
      <c r="B2979" s="17" t="s">
        <v>7256</v>
      </c>
      <c r="C2979" s="17" t="s">
        <v>7257</v>
      </c>
      <c r="D2979" s="17" t="s">
        <v>7258</v>
      </c>
      <c r="E2979" s="16">
        <v>7.5</v>
      </c>
      <c r="F2979" s="7">
        <f t="shared" si="3"/>
        <v>92.5</v>
      </c>
      <c r="G2979" s="17" t="s">
        <v>3113</v>
      </c>
    </row>
    <row r="2980">
      <c r="A2980" s="12">
        <v>1573.0</v>
      </c>
      <c r="B2980" s="17" t="s">
        <v>7259</v>
      </c>
      <c r="C2980" s="17" t="s">
        <v>7260</v>
      </c>
      <c r="D2980" s="17" t="s">
        <v>7261</v>
      </c>
      <c r="E2980" s="16">
        <v>7.5</v>
      </c>
      <c r="F2980" s="7">
        <f t="shared" si="3"/>
        <v>92.5</v>
      </c>
      <c r="G2980" s="17" t="s">
        <v>3113</v>
      </c>
    </row>
    <row r="2981">
      <c r="A2981" s="12">
        <v>1574.0</v>
      </c>
      <c r="B2981" s="17" t="s">
        <v>7262</v>
      </c>
      <c r="C2981" s="17" t="s">
        <v>7263</v>
      </c>
      <c r="D2981" s="17" t="s">
        <v>7264</v>
      </c>
      <c r="E2981" s="16">
        <v>7.5</v>
      </c>
      <c r="F2981" s="7">
        <f t="shared" si="3"/>
        <v>92.5</v>
      </c>
      <c r="G2981" s="17" t="s">
        <v>3113</v>
      </c>
    </row>
    <row r="2982">
      <c r="A2982" s="12">
        <v>1575.0</v>
      </c>
      <c r="B2982" s="17" t="s">
        <v>7265</v>
      </c>
      <c r="C2982" s="17" t="s">
        <v>7266</v>
      </c>
      <c r="D2982" s="17" t="s">
        <v>7267</v>
      </c>
      <c r="E2982" s="16">
        <v>7.5</v>
      </c>
      <c r="F2982" s="7">
        <f t="shared" si="3"/>
        <v>92.5</v>
      </c>
      <c r="G2982" s="17" t="s">
        <v>3113</v>
      </c>
    </row>
    <row r="2983">
      <c r="A2983" s="12">
        <v>1576.0</v>
      </c>
      <c r="B2983" s="17" t="s">
        <v>7268</v>
      </c>
      <c r="C2983" s="17" t="s">
        <v>7269</v>
      </c>
      <c r="D2983" s="17" t="s">
        <v>7270</v>
      </c>
      <c r="E2983" s="16">
        <v>7.5</v>
      </c>
      <c r="F2983" s="7">
        <f t="shared" si="3"/>
        <v>92.5</v>
      </c>
      <c r="G2983" s="17" t="s">
        <v>3113</v>
      </c>
    </row>
    <row r="2984">
      <c r="A2984" s="12">
        <v>1577.0</v>
      </c>
      <c r="B2984" s="17" t="s">
        <v>7271</v>
      </c>
      <c r="C2984" s="17" t="s">
        <v>7272</v>
      </c>
      <c r="D2984" s="17" t="s">
        <v>7273</v>
      </c>
      <c r="E2984" s="16">
        <v>7.5</v>
      </c>
      <c r="F2984" s="7">
        <f t="shared" si="3"/>
        <v>92.5</v>
      </c>
      <c r="G2984" s="17" t="s">
        <v>3113</v>
      </c>
    </row>
    <row r="2985">
      <c r="A2985" s="12">
        <v>1578.0</v>
      </c>
      <c r="B2985" s="17" t="s">
        <v>7274</v>
      </c>
      <c r="C2985" s="17" t="s">
        <v>7275</v>
      </c>
      <c r="D2985" s="17" t="s">
        <v>7276</v>
      </c>
      <c r="E2985" s="16">
        <v>7.5</v>
      </c>
      <c r="F2985" s="7">
        <f t="shared" si="3"/>
        <v>92.5</v>
      </c>
      <c r="G2985" s="17" t="s">
        <v>3113</v>
      </c>
    </row>
    <row r="2986">
      <c r="A2986" s="12">
        <v>1579.0</v>
      </c>
      <c r="B2986" s="17" t="s">
        <v>7277</v>
      </c>
      <c r="C2986" s="17" t="s">
        <v>7278</v>
      </c>
      <c r="D2986" s="17" t="s">
        <v>7279</v>
      </c>
      <c r="E2986" s="16">
        <v>7.5</v>
      </c>
      <c r="F2986" s="7">
        <f t="shared" si="3"/>
        <v>92.5</v>
      </c>
      <c r="G2986" s="17" t="s">
        <v>3113</v>
      </c>
    </row>
    <row r="2987">
      <c r="A2987" s="12">
        <v>1580.0</v>
      </c>
      <c r="B2987" s="17" t="s">
        <v>7280</v>
      </c>
      <c r="C2987" s="17" t="s">
        <v>7281</v>
      </c>
      <c r="D2987" s="17" t="s">
        <v>7282</v>
      </c>
      <c r="E2987" s="16">
        <v>7.5</v>
      </c>
      <c r="F2987" s="7">
        <f t="shared" si="3"/>
        <v>92.5</v>
      </c>
      <c r="G2987" s="17" t="s">
        <v>3113</v>
      </c>
    </row>
    <row r="2988">
      <c r="A2988" s="12">
        <v>1581.0</v>
      </c>
      <c r="B2988" s="17" t="s">
        <v>7283</v>
      </c>
      <c r="C2988" s="17" t="s">
        <v>7284</v>
      </c>
      <c r="D2988" s="17" t="s">
        <v>7285</v>
      </c>
      <c r="E2988" s="16">
        <v>7.5</v>
      </c>
      <c r="F2988" s="7">
        <f t="shared" si="3"/>
        <v>92.5</v>
      </c>
      <c r="G2988" s="17" t="s">
        <v>3113</v>
      </c>
    </row>
    <row r="2989">
      <c r="A2989" s="12">
        <v>1582.0</v>
      </c>
      <c r="B2989" s="17" t="s">
        <v>7283</v>
      </c>
      <c r="C2989" s="17" t="s">
        <v>7286</v>
      </c>
      <c r="D2989" s="17" t="s">
        <v>7287</v>
      </c>
      <c r="E2989" s="16">
        <v>7.5</v>
      </c>
      <c r="F2989" s="7">
        <f t="shared" si="3"/>
        <v>92.5</v>
      </c>
      <c r="G2989" s="17" t="s">
        <v>3113</v>
      </c>
    </row>
    <row r="2990">
      <c r="A2990" s="12">
        <v>1583.0</v>
      </c>
      <c r="B2990" s="17" t="s">
        <v>7283</v>
      </c>
      <c r="C2990" s="17" t="s">
        <v>7288</v>
      </c>
      <c r="D2990" s="17" t="s">
        <v>7289</v>
      </c>
      <c r="E2990" s="16">
        <v>7.5</v>
      </c>
      <c r="F2990" s="7">
        <f t="shared" si="3"/>
        <v>92.5</v>
      </c>
      <c r="G2990" s="17" t="s">
        <v>3113</v>
      </c>
    </row>
    <row r="2991">
      <c r="A2991" s="12">
        <v>1584.0</v>
      </c>
      <c r="B2991" s="17" t="s">
        <v>7290</v>
      </c>
      <c r="C2991" s="17" t="s">
        <v>7291</v>
      </c>
      <c r="D2991" s="17" t="s">
        <v>7292</v>
      </c>
      <c r="E2991" s="16">
        <v>7.5</v>
      </c>
      <c r="F2991" s="7">
        <f t="shared" si="3"/>
        <v>92.5</v>
      </c>
      <c r="G2991" s="17" t="s">
        <v>3113</v>
      </c>
    </row>
    <row r="2992">
      <c r="A2992" s="12">
        <v>1585.0</v>
      </c>
      <c r="B2992" s="17" t="s">
        <v>7290</v>
      </c>
      <c r="C2992" s="17" t="s">
        <v>7293</v>
      </c>
      <c r="D2992" s="17" t="s">
        <v>7294</v>
      </c>
      <c r="E2992" s="16">
        <v>7.5</v>
      </c>
      <c r="F2992" s="7">
        <f t="shared" si="3"/>
        <v>92.5</v>
      </c>
      <c r="G2992" s="17" t="s">
        <v>3113</v>
      </c>
    </row>
    <row r="2993">
      <c r="A2993" s="12">
        <v>1586.0</v>
      </c>
      <c r="B2993" s="17" t="s">
        <v>7290</v>
      </c>
      <c r="C2993" s="17" t="s">
        <v>7295</v>
      </c>
      <c r="D2993" s="17" t="s">
        <v>7296</v>
      </c>
      <c r="E2993" s="16">
        <v>7.5</v>
      </c>
      <c r="F2993" s="7">
        <f t="shared" si="3"/>
        <v>92.5</v>
      </c>
      <c r="G2993" s="17" t="s">
        <v>3113</v>
      </c>
    </row>
    <row r="2994">
      <c r="A2994" s="12">
        <v>1587.0</v>
      </c>
      <c r="B2994" s="17" t="s">
        <v>7297</v>
      </c>
      <c r="C2994" s="17" t="s">
        <v>7298</v>
      </c>
      <c r="D2994" s="17" t="s">
        <v>7299</v>
      </c>
      <c r="E2994" s="16">
        <v>7.5</v>
      </c>
      <c r="F2994" s="7">
        <f t="shared" si="3"/>
        <v>92.5</v>
      </c>
      <c r="G2994" s="17" t="s">
        <v>3113</v>
      </c>
    </row>
    <row r="2995">
      <c r="A2995" s="12">
        <v>1588.0</v>
      </c>
      <c r="B2995" s="17" t="s">
        <v>7300</v>
      </c>
      <c r="C2995" s="17" t="s">
        <v>7301</v>
      </c>
      <c r="D2995" s="17" t="s">
        <v>7302</v>
      </c>
      <c r="E2995" s="16">
        <v>7.5</v>
      </c>
      <c r="F2995" s="7">
        <f t="shared" si="3"/>
        <v>92.5</v>
      </c>
      <c r="G2995" s="17" t="s">
        <v>3113</v>
      </c>
    </row>
    <row r="2996">
      <c r="A2996" s="12">
        <v>1589.0</v>
      </c>
      <c r="B2996" s="17" t="s">
        <v>7303</v>
      </c>
      <c r="C2996" s="17" t="s">
        <v>7304</v>
      </c>
      <c r="D2996" s="17" t="s">
        <v>7305</v>
      </c>
      <c r="E2996" s="16">
        <v>7.5</v>
      </c>
      <c r="F2996" s="7">
        <f t="shared" si="3"/>
        <v>92.5</v>
      </c>
      <c r="G2996" s="17" t="s">
        <v>3113</v>
      </c>
    </row>
    <row r="2997">
      <c r="A2997" s="12">
        <v>1590.0</v>
      </c>
      <c r="B2997" s="17" t="s">
        <v>7306</v>
      </c>
      <c r="C2997" s="17" t="s">
        <v>7307</v>
      </c>
      <c r="D2997" s="17" t="s">
        <v>7308</v>
      </c>
      <c r="E2997" s="16">
        <v>7.5</v>
      </c>
      <c r="F2997" s="7">
        <f t="shared" si="3"/>
        <v>92.5</v>
      </c>
      <c r="G2997" s="17" t="s">
        <v>3113</v>
      </c>
    </row>
    <row r="2998">
      <c r="A2998" s="12">
        <v>1591.0</v>
      </c>
      <c r="B2998" s="17" t="s">
        <v>7309</v>
      </c>
      <c r="C2998" s="17" t="s">
        <v>7310</v>
      </c>
      <c r="D2998" s="17" t="s">
        <v>7311</v>
      </c>
      <c r="E2998" s="16">
        <v>7.5</v>
      </c>
      <c r="F2998" s="7">
        <f t="shared" si="3"/>
        <v>92.5</v>
      </c>
      <c r="G2998" s="17" t="s">
        <v>3113</v>
      </c>
    </row>
    <row r="2999">
      <c r="A2999" s="12">
        <v>1592.0</v>
      </c>
      <c r="B2999" s="17" t="s">
        <v>7312</v>
      </c>
      <c r="C2999" s="17" t="s">
        <v>7313</v>
      </c>
      <c r="D2999" s="17" t="s">
        <v>7314</v>
      </c>
      <c r="E2999" s="16">
        <v>7.5</v>
      </c>
      <c r="F2999" s="7">
        <f t="shared" si="3"/>
        <v>92.5</v>
      </c>
      <c r="G2999" s="17" t="s">
        <v>3113</v>
      </c>
    </row>
    <row r="3000">
      <c r="A3000" s="12">
        <v>1593.0</v>
      </c>
      <c r="B3000" s="17" t="s">
        <v>7315</v>
      </c>
      <c r="C3000" s="17" t="s">
        <v>7316</v>
      </c>
      <c r="D3000" s="17" t="s">
        <v>7317</v>
      </c>
      <c r="E3000" s="16">
        <v>7.5</v>
      </c>
      <c r="F3000" s="7">
        <f t="shared" si="3"/>
        <v>92.5</v>
      </c>
      <c r="G3000" s="17" t="s">
        <v>3113</v>
      </c>
    </row>
    <row r="3001">
      <c r="A3001" s="12">
        <v>1594.0</v>
      </c>
      <c r="B3001" s="17" t="s">
        <v>7318</v>
      </c>
      <c r="C3001" s="17" t="s">
        <v>7319</v>
      </c>
      <c r="D3001" s="17" t="s">
        <v>7320</v>
      </c>
      <c r="E3001" s="16">
        <v>7.5</v>
      </c>
      <c r="F3001" s="7">
        <f t="shared" si="3"/>
        <v>92.5</v>
      </c>
      <c r="G3001" s="17" t="s">
        <v>3113</v>
      </c>
    </row>
    <row r="3002">
      <c r="A3002" s="12">
        <v>1595.0</v>
      </c>
      <c r="B3002" s="17" t="s">
        <v>7321</v>
      </c>
      <c r="C3002" s="17" t="s">
        <v>7322</v>
      </c>
      <c r="D3002" s="17" t="s">
        <v>7323</v>
      </c>
      <c r="E3002" s="16">
        <v>7.5</v>
      </c>
      <c r="F3002" s="7">
        <f t="shared" si="3"/>
        <v>92.5</v>
      </c>
      <c r="G3002" s="17" t="s">
        <v>3113</v>
      </c>
    </row>
    <row r="3003">
      <c r="A3003" s="12">
        <v>1596.0</v>
      </c>
      <c r="B3003" s="17" t="s">
        <v>7324</v>
      </c>
      <c r="C3003" s="17" t="s">
        <v>7325</v>
      </c>
      <c r="D3003" s="17" t="s">
        <v>7326</v>
      </c>
      <c r="E3003" s="16">
        <v>7.5</v>
      </c>
      <c r="F3003" s="7">
        <f t="shared" si="3"/>
        <v>92.5</v>
      </c>
      <c r="G3003" s="17" t="s">
        <v>3113</v>
      </c>
    </row>
    <row r="3004">
      <c r="A3004" s="12">
        <v>1597.0</v>
      </c>
      <c r="B3004" s="17" t="s">
        <v>7327</v>
      </c>
      <c r="C3004" s="17" t="s">
        <v>7328</v>
      </c>
      <c r="D3004" s="17" t="s">
        <v>7329</v>
      </c>
      <c r="E3004" s="16">
        <v>7.5</v>
      </c>
      <c r="F3004" s="7">
        <f t="shared" si="3"/>
        <v>92.5</v>
      </c>
      <c r="G3004" s="17" t="s">
        <v>3113</v>
      </c>
    </row>
    <row r="3005">
      <c r="A3005" s="12">
        <v>1598.0</v>
      </c>
      <c r="B3005" s="17" t="s">
        <v>7330</v>
      </c>
      <c r="C3005" s="17" t="s">
        <v>7331</v>
      </c>
      <c r="D3005" s="17" t="s">
        <v>7332</v>
      </c>
      <c r="E3005" s="16">
        <v>7.5</v>
      </c>
      <c r="F3005" s="7">
        <f t="shared" si="3"/>
        <v>92.5</v>
      </c>
      <c r="G3005" s="17" t="s">
        <v>3113</v>
      </c>
    </row>
    <row r="3006">
      <c r="A3006" s="12">
        <v>1599.0</v>
      </c>
      <c r="B3006" s="17" t="s">
        <v>7333</v>
      </c>
      <c r="C3006" s="17" t="s">
        <v>7334</v>
      </c>
      <c r="D3006" s="17" t="s">
        <v>7335</v>
      </c>
      <c r="E3006" s="16">
        <v>7.5</v>
      </c>
      <c r="F3006" s="7">
        <f t="shared" si="3"/>
        <v>92.5</v>
      </c>
      <c r="G3006" s="17" t="s">
        <v>3113</v>
      </c>
    </row>
    <row r="3007">
      <c r="A3007" s="12">
        <v>1600.0</v>
      </c>
      <c r="B3007" s="17" t="s">
        <v>7336</v>
      </c>
      <c r="C3007" s="17" t="s">
        <v>7337</v>
      </c>
      <c r="D3007" s="17" t="s">
        <v>7338</v>
      </c>
      <c r="E3007" s="16">
        <v>7.5</v>
      </c>
      <c r="F3007" s="7">
        <f t="shared" si="3"/>
        <v>92.5</v>
      </c>
      <c r="G3007" s="17" t="s">
        <v>3113</v>
      </c>
    </row>
    <row r="3008">
      <c r="A3008" s="12">
        <v>1601.0</v>
      </c>
      <c r="B3008" s="17" t="s">
        <v>7339</v>
      </c>
      <c r="C3008" s="17" t="s">
        <v>7340</v>
      </c>
      <c r="D3008" s="17" t="s">
        <v>7341</v>
      </c>
      <c r="E3008" s="16">
        <v>7.5</v>
      </c>
      <c r="F3008" s="7">
        <f t="shared" si="3"/>
        <v>92.5</v>
      </c>
      <c r="G3008" s="17" t="s">
        <v>3113</v>
      </c>
    </row>
    <row r="3009">
      <c r="A3009" s="12">
        <v>1602.0</v>
      </c>
      <c r="B3009" s="17" t="s">
        <v>7342</v>
      </c>
      <c r="C3009" s="17" t="s">
        <v>7343</v>
      </c>
      <c r="D3009" s="17" t="s">
        <v>7344</v>
      </c>
      <c r="E3009" s="16">
        <v>7.5</v>
      </c>
      <c r="F3009" s="7">
        <f t="shared" si="3"/>
        <v>92.5</v>
      </c>
      <c r="G3009" s="17" t="s">
        <v>3113</v>
      </c>
    </row>
    <row r="3010">
      <c r="A3010" s="12">
        <v>1603.0</v>
      </c>
      <c r="B3010" s="17" t="s">
        <v>7345</v>
      </c>
      <c r="C3010" s="17" t="s">
        <v>7346</v>
      </c>
      <c r="D3010" s="17" t="s">
        <v>7347</v>
      </c>
      <c r="E3010" s="16">
        <v>7.5</v>
      </c>
      <c r="F3010" s="7">
        <f t="shared" si="3"/>
        <v>92.5</v>
      </c>
      <c r="G3010" s="17" t="s">
        <v>3113</v>
      </c>
    </row>
    <row r="3011">
      <c r="A3011" s="12">
        <v>1604.0</v>
      </c>
      <c r="B3011" s="17" t="s">
        <v>7348</v>
      </c>
      <c r="C3011" s="17" t="s">
        <v>7349</v>
      </c>
      <c r="D3011" s="17" t="s">
        <v>7350</v>
      </c>
      <c r="E3011" s="16">
        <v>7.5</v>
      </c>
      <c r="F3011" s="7">
        <f t="shared" si="3"/>
        <v>92.5</v>
      </c>
      <c r="G3011" s="17" t="s">
        <v>3113</v>
      </c>
    </row>
    <row r="3012">
      <c r="A3012" s="12">
        <v>1605.0</v>
      </c>
      <c r="B3012" s="17" t="s">
        <v>7348</v>
      </c>
      <c r="C3012" s="17" t="s">
        <v>7351</v>
      </c>
      <c r="D3012" s="17" t="s">
        <v>7352</v>
      </c>
      <c r="E3012" s="16">
        <v>7.5</v>
      </c>
      <c r="F3012" s="7">
        <f t="shared" si="3"/>
        <v>92.5</v>
      </c>
      <c r="G3012" s="17" t="s">
        <v>3113</v>
      </c>
    </row>
    <row r="3013">
      <c r="A3013" s="12">
        <v>1606.0</v>
      </c>
      <c r="B3013" s="17" t="s">
        <v>7348</v>
      </c>
      <c r="C3013" s="17" t="s">
        <v>7353</v>
      </c>
      <c r="D3013" s="17" t="s">
        <v>7354</v>
      </c>
      <c r="E3013" s="16">
        <v>7.5</v>
      </c>
      <c r="F3013" s="7">
        <f t="shared" si="3"/>
        <v>92.5</v>
      </c>
      <c r="G3013" s="17" t="s">
        <v>3113</v>
      </c>
    </row>
    <row r="3014">
      <c r="A3014" s="12">
        <v>1607.0</v>
      </c>
      <c r="B3014" s="17" t="s">
        <v>7355</v>
      </c>
      <c r="C3014" s="17" t="s">
        <v>7356</v>
      </c>
      <c r="D3014" s="17" t="s">
        <v>7357</v>
      </c>
      <c r="E3014" s="16">
        <v>7.5</v>
      </c>
      <c r="F3014" s="7">
        <f t="shared" si="3"/>
        <v>92.5</v>
      </c>
      <c r="G3014" s="17" t="s">
        <v>3113</v>
      </c>
    </row>
    <row r="3015">
      <c r="A3015" s="12">
        <v>1608.0</v>
      </c>
      <c r="B3015" s="17" t="s">
        <v>7358</v>
      </c>
      <c r="C3015" s="17" t="s">
        <v>7359</v>
      </c>
      <c r="D3015" s="17" t="s">
        <v>7360</v>
      </c>
      <c r="E3015" s="16">
        <v>7.5</v>
      </c>
      <c r="F3015" s="7">
        <f t="shared" si="3"/>
        <v>92.5</v>
      </c>
      <c r="G3015" s="17" t="s">
        <v>3113</v>
      </c>
    </row>
    <row r="3016">
      <c r="A3016" s="12">
        <v>1609.0</v>
      </c>
      <c r="B3016" s="17" t="s">
        <v>7361</v>
      </c>
      <c r="C3016" s="17" t="s">
        <v>7362</v>
      </c>
      <c r="D3016" s="17" t="s">
        <v>7363</v>
      </c>
      <c r="E3016" s="16">
        <v>7.5</v>
      </c>
      <c r="F3016" s="7">
        <f t="shared" si="3"/>
        <v>92.5</v>
      </c>
      <c r="G3016" s="17" t="s">
        <v>3113</v>
      </c>
    </row>
    <row r="3017">
      <c r="A3017" s="12">
        <v>1610.0</v>
      </c>
      <c r="B3017" s="17" t="s">
        <v>7364</v>
      </c>
      <c r="C3017" s="17" t="s">
        <v>7365</v>
      </c>
      <c r="D3017" s="17" t="s">
        <v>7366</v>
      </c>
      <c r="E3017" s="16">
        <v>7.5</v>
      </c>
      <c r="F3017" s="7">
        <f t="shared" si="3"/>
        <v>92.5</v>
      </c>
      <c r="G3017" s="17" t="s">
        <v>3113</v>
      </c>
    </row>
    <row r="3018">
      <c r="A3018" s="12">
        <v>1611.0</v>
      </c>
      <c r="B3018" s="17" t="s">
        <v>7367</v>
      </c>
      <c r="C3018" s="17" t="s">
        <v>7368</v>
      </c>
      <c r="D3018" s="17" t="s">
        <v>7369</v>
      </c>
      <c r="E3018" s="16">
        <v>7.5</v>
      </c>
      <c r="F3018" s="7">
        <f t="shared" si="3"/>
        <v>92.5</v>
      </c>
      <c r="G3018" s="17" t="s">
        <v>3113</v>
      </c>
    </row>
    <row r="3019">
      <c r="A3019" s="12">
        <v>1612.0</v>
      </c>
      <c r="B3019" s="17" t="s">
        <v>7370</v>
      </c>
      <c r="C3019" s="17" t="s">
        <v>7371</v>
      </c>
      <c r="D3019" s="17" t="s">
        <v>7372</v>
      </c>
      <c r="E3019" s="16">
        <v>7.5</v>
      </c>
      <c r="F3019" s="7">
        <f t="shared" si="3"/>
        <v>92.5</v>
      </c>
      <c r="G3019" s="17" t="s">
        <v>3113</v>
      </c>
    </row>
    <row r="3020">
      <c r="A3020" s="12">
        <v>1613.0</v>
      </c>
      <c r="B3020" s="17" t="s">
        <v>7373</v>
      </c>
      <c r="C3020" s="17" t="s">
        <v>7374</v>
      </c>
      <c r="D3020" s="17" t="s">
        <v>7375</v>
      </c>
      <c r="E3020" s="16">
        <v>7.5</v>
      </c>
      <c r="F3020" s="7">
        <f t="shared" si="3"/>
        <v>92.5</v>
      </c>
      <c r="G3020" s="17" t="s">
        <v>3113</v>
      </c>
    </row>
    <row r="3021">
      <c r="A3021" s="12">
        <v>1614.0</v>
      </c>
      <c r="B3021" s="17" t="s">
        <v>7376</v>
      </c>
      <c r="C3021" s="17" t="s">
        <v>7377</v>
      </c>
      <c r="D3021" s="17" t="s">
        <v>7378</v>
      </c>
      <c r="E3021" s="16">
        <v>7.5</v>
      </c>
      <c r="F3021" s="7">
        <f t="shared" si="3"/>
        <v>92.5</v>
      </c>
      <c r="G3021" s="17" t="s">
        <v>3113</v>
      </c>
    </row>
    <row r="3022">
      <c r="A3022" s="12">
        <v>1615.0</v>
      </c>
      <c r="B3022" s="17" t="s">
        <v>7379</v>
      </c>
      <c r="C3022" s="17" t="s">
        <v>7380</v>
      </c>
      <c r="D3022" s="17" t="s">
        <v>7381</v>
      </c>
      <c r="E3022" s="16">
        <v>7.5</v>
      </c>
      <c r="F3022" s="7">
        <f t="shared" si="3"/>
        <v>92.5</v>
      </c>
      <c r="G3022" s="17" t="s">
        <v>3113</v>
      </c>
    </row>
    <row r="3023">
      <c r="A3023" s="12">
        <v>1616.0</v>
      </c>
      <c r="B3023" s="17" t="s">
        <v>7382</v>
      </c>
      <c r="C3023" s="17" t="s">
        <v>7383</v>
      </c>
      <c r="D3023" s="17" t="s">
        <v>7384</v>
      </c>
      <c r="E3023" s="16">
        <v>7.5</v>
      </c>
      <c r="F3023" s="7">
        <f t="shared" si="3"/>
        <v>92.5</v>
      </c>
      <c r="G3023" s="17" t="s">
        <v>3113</v>
      </c>
    </row>
    <row r="3024">
      <c r="A3024" s="12">
        <v>1617.0</v>
      </c>
      <c r="B3024" s="17" t="s">
        <v>7385</v>
      </c>
      <c r="C3024" s="17" t="s">
        <v>7386</v>
      </c>
      <c r="D3024" s="17" t="s">
        <v>7387</v>
      </c>
      <c r="E3024" s="16">
        <v>7.5</v>
      </c>
      <c r="F3024" s="7">
        <f t="shared" si="3"/>
        <v>92.5</v>
      </c>
      <c r="G3024" s="17" t="s">
        <v>3113</v>
      </c>
    </row>
    <row r="3025">
      <c r="A3025" s="12">
        <v>1618.0</v>
      </c>
      <c r="B3025" s="17" t="s">
        <v>7388</v>
      </c>
      <c r="C3025" s="17" t="s">
        <v>7389</v>
      </c>
      <c r="D3025" s="17" t="s">
        <v>7390</v>
      </c>
      <c r="E3025" s="16">
        <v>7.5</v>
      </c>
      <c r="F3025" s="7">
        <f t="shared" si="3"/>
        <v>92.5</v>
      </c>
      <c r="G3025" s="17" t="s">
        <v>3113</v>
      </c>
    </row>
    <row r="3026">
      <c r="A3026" s="12">
        <v>1619.0</v>
      </c>
      <c r="B3026" s="17" t="s">
        <v>7391</v>
      </c>
      <c r="C3026" s="17" t="s">
        <v>7392</v>
      </c>
      <c r="D3026" s="17" t="s">
        <v>7393</v>
      </c>
      <c r="E3026" s="16">
        <v>7.5</v>
      </c>
      <c r="F3026" s="7">
        <f t="shared" si="3"/>
        <v>92.5</v>
      </c>
      <c r="G3026" s="17" t="s">
        <v>3113</v>
      </c>
    </row>
    <row r="3027">
      <c r="A3027" s="12">
        <v>1620.0</v>
      </c>
      <c r="B3027" s="17" t="s">
        <v>7391</v>
      </c>
      <c r="C3027" s="17" t="s">
        <v>7394</v>
      </c>
      <c r="D3027" s="17" t="s">
        <v>7393</v>
      </c>
      <c r="E3027" s="16">
        <v>7.5</v>
      </c>
      <c r="F3027" s="7">
        <f t="shared" si="3"/>
        <v>92.5</v>
      </c>
      <c r="G3027" s="17" t="s">
        <v>3113</v>
      </c>
    </row>
    <row r="3028">
      <c r="A3028" s="12">
        <v>1621.0</v>
      </c>
      <c r="B3028" s="17" t="s">
        <v>7395</v>
      </c>
      <c r="C3028" s="17" t="s">
        <v>7396</v>
      </c>
      <c r="D3028" s="17" t="s">
        <v>7397</v>
      </c>
      <c r="E3028" s="16">
        <v>7.5</v>
      </c>
      <c r="F3028" s="7">
        <f t="shared" si="3"/>
        <v>92.5</v>
      </c>
      <c r="G3028" s="17" t="s">
        <v>3113</v>
      </c>
    </row>
    <row r="3029">
      <c r="A3029" s="12">
        <v>1622.0</v>
      </c>
      <c r="B3029" s="17" t="s">
        <v>7398</v>
      </c>
      <c r="C3029" s="17" t="s">
        <v>7399</v>
      </c>
      <c r="D3029" s="17" t="s">
        <v>7400</v>
      </c>
      <c r="E3029" s="16">
        <v>7.5</v>
      </c>
      <c r="F3029" s="7">
        <f t="shared" si="3"/>
        <v>92.5</v>
      </c>
      <c r="G3029" s="17" t="s">
        <v>3113</v>
      </c>
    </row>
    <row r="3030">
      <c r="A3030" s="12">
        <v>1623.0</v>
      </c>
      <c r="B3030" s="17" t="s">
        <v>7398</v>
      </c>
      <c r="C3030" s="17" t="s">
        <v>7401</v>
      </c>
      <c r="D3030" s="17" t="s">
        <v>7402</v>
      </c>
      <c r="E3030" s="16">
        <v>7.5</v>
      </c>
      <c r="F3030" s="7">
        <f t="shared" si="3"/>
        <v>92.5</v>
      </c>
      <c r="G3030" s="17" t="s">
        <v>3113</v>
      </c>
    </row>
    <row r="3031">
      <c r="A3031" s="12">
        <v>1624.0</v>
      </c>
      <c r="B3031" s="17" t="s">
        <v>7398</v>
      </c>
      <c r="C3031" s="17" t="s">
        <v>7403</v>
      </c>
      <c r="D3031" s="17" t="s">
        <v>7404</v>
      </c>
      <c r="E3031" s="16">
        <v>7.5</v>
      </c>
      <c r="F3031" s="7">
        <f t="shared" si="3"/>
        <v>92.5</v>
      </c>
      <c r="G3031" s="17" t="s">
        <v>3113</v>
      </c>
    </row>
    <row r="3032">
      <c r="A3032" s="12">
        <v>1625.0</v>
      </c>
      <c r="B3032" s="17" t="s">
        <v>7405</v>
      </c>
      <c r="C3032" s="17" t="s">
        <v>7406</v>
      </c>
      <c r="D3032" s="17" t="s">
        <v>7407</v>
      </c>
      <c r="E3032" s="16">
        <v>7.5</v>
      </c>
      <c r="F3032" s="7">
        <f t="shared" si="3"/>
        <v>92.5</v>
      </c>
      <c r="G3032" s="17" t="s">
        <v>3113</v>
      </c>
    </row>
    <row r="3033">
      <c r="A3033" s="12">
        <v>1626.0</v>
      </c>
      <c r="B3033" s="17" t="s">
        <v>7408</v>
      </c>
      <c r="C3033" s="17" t="s">
        <v>7409</v>
      </c>
      <c r="D3033" s="17" t="s">
        <v>7410</v>
      </c>
      <c r="E3033" s="16">
        <v>7.5</v>
      </c>
      <c r="F3033" s="7">
        <f t="shared" si="3"/>
        <v>92.5</v>
      </c>
      <c r="G3033" s="17" t="s">
        <v>3113</v>
      </c>
    </row>
    <row r="3034">
      <c r="A3034" s="12">
        <v>1627.0</v>
      </c>
      <c r="B3034" s="17" t="s">
        <v>7408</v>
      </c>
      <c r="C3034" s="17" t="s">
        <v>7411</v>
      </c>
      <c r="D3034" s="17" t="s">
        <v>7412</v>
      </c>
      <c r="E3034" s="16">
        <v>7.5</v>
      </c>
      <c r="F3034" s="7">
        <f t="shared" si="3"/>
        <v>92.5</v>
      </c>
      <c r="G3034" s="17" t="s">
        <v>3113</v>
      </c>
    </row>
    <row r="3035">
      <c r="A3035" s="12">
        <v>1628.0</v>
      </c>
      <c r="B3035" s="17" t="s">
        <v>7408</v>
      </c>
      <c r="C3035" s="17" t="s">
        <v>7413</v>
      </c>
      <c r="D3035" s="17" t="s">
        <v>7414</v>
      </c>
      <c r="E3035" s="16">
        <v>7.5</v>
      </c>
      <c r="F3035" s="7">
        <f t="shared" si="3"/>
        <v>92.5</v>
      </c>
      <c r="G3035" s="17" t="s">
        <v>3113</v>
      </c>
    </row>
    <row r="3036">
      <c r="A3036" s="12">
        <v>1629.0</v>
      </c>
      <c r="B3036" s="17" t="s">
        <v>7415</v>
      </c>
      <c r="C3036" s="17" t="s">
        <v>7416</v>
      </c>
      <c r="D3036" s="17" t="s">
        <v>7417</v>
      </c>
      <c r="E3036" s="16">
        <v>7.5</v>
      </c>
      <c r="F3036" s="7">
        <f t="shared" si="3"/>
        <v>92.5</v>
      </c>
      <c r="G3036" s="17" t="s">
        <v>3113</v>
      </c>
    </row>
    <row r="3037">
      <c r="A3037" s="12">
        <v>1630.0</v>
      </c>
      <c r="B3037" s="17" t="s">
        <v>7418</v>
      </c>
      <c r="C3037" s="17" t="s">
        <v>7419</v>
      </c>
      <c r="D3037" s="17" t="s">
        <v>7420</v>
      </c>
      <c r="E3037" s="16">
        <v>7.5</v>
      </c>
      <c r="F3037" s="7">
        <f t="shared" si="3"/>
        <v>92.5</v>
      </c>
      <c r="G3037" s="17" t="s">
        <v>3113</v>
      </c>
    </row>
    <row r="3038">
      <c r="A3038" s="12">
        <v>1631.0</v>
      </c>
      <c r="B3038" s="17" t="s">
        <v>7421</v>
      </c>
      <c r="C3038" s="17" t="s">
        <v>7422</v>
      </c>
      <c r="D3038" s="17" t="s">
        <v>7423</v>
      </c>
      <c r="E3038" s="16">
        <v>7.5</v>
      </c>
      <c r="F3038" s="7">
        <f t="shared" si="3"/>
        <v>92.5</v>
      </c>
      <c r="G3038" s="17" t="s">
        <v>3113</v>
      </c>
    </row>
    <row r="3039">
      <c r="A3039" s="12">
        <v>1632.0</v>
      </c>
      <c r="B3039" s="17" t="s">
        <v>7424</v>
      </c>
      <c r="C3039" s="17" t="s">
        <v>7425</v>
      </c>
      <c r="D3039" s="17" t="s">
        <v>7426</v>
      </c>
      <c r="E3039" s="16">
        <v>7.5</v>
      </c>
      <c r="F3039" s="7">
        <f t="shared" si="3"/>
        <v>92.5</v>
      </c>
      <c r="G3039" s="17" t="s">
        <v>3113</v>
      </c>
    </row>
    <row r="3040">
      <c r="A3040" s="12">
        <v>1633.0</v>
      </c>
      <c r="B3040" s="17" t="s">
        <v>7424</v>
      </c>
      <c r="C3040" s="17" t="s">
        <v>7427</v>
      </c>
      <c r="D3040" s="17" t="s">
        <v>7428</v>
      </c>
      <c r="E3040" s="16">
        <v>7.5</v>
      </c>
      <c r="F3040" s="7">
        <f t="shared" si="3"/>
        <v>92.5</v>
      </c>
      <c r="G3040" s="17" t="s">
        <v>3113</v>
      </c>
    </row>
    <row r="3041">
      <c r="A3041" s="12">
        <v>1634.0</v>
      </c>
      <c r="B3041" s="17" t="s">
        <v>7424</v>
      </c>
      <c r="C3041" s="17" t="s">
        <v>7429</v>
      </c>
      <c r="D3041" s="17" t="s">
        <v>7430</v>
      </c>
      <c r="E3041" s="16">
        <v>7.5</v>
      </c>
      <c r="F3041" s="7">
        <f t="shared" si="3"/>
        <v>92.5</v>
      </c>
      <c r="G3041" s="17" t="s">
        <v>3113</v>
      </c>
    </row>
    <row r="3042">
      <c r="A3042" s="12">
        <v>1635.0</v>
      </c>
      <c r="B3042" s="17" t="s">
        <v>7431</v>
      </c>
      <c r="C3042" s="17" t="s">
        <v>7432</v>
      </c>
      <c r="D3042" s="17" t="s">
        <v>7433</v>
      </c>
      <c r="E3042" s="16">
        <v>7.5</v>
      </c>
      <c r="F3042" s="7">
        <f t="shared" si="3"/>
        <v>92.5</v>
      </c>
      <c r="G3042" s="17" t="s">
        <v>3113</v>
      </c>
    </row>
    <row r="3043">
      <c r="A3043" s="12">
        <v>1636.0</v>
      </c>
      <c r="B3043" s="17" t="s">
        <v>7434</v>
      </c>
      <c r="C3043" s="17" t="s">
        <v>7435</v>
      </c>
      <c r="D3043" s="17" t="s">
        <v>7436</v>
      </c>
      <c r="E3043" s="16">
        <v>7.5</v>
      </c>
      <c r="F3043" s="7">
        <f t="shared" si="3"/>
        <v>92.5</v>
      </c>
      <c r="G3043" s="17" t="s">
        <v>3113</v>
      </c>
    </row>
    <row r="3044">
      <c r="A3044" s="12">
        <v>1637.0</v>
      </c>
      <c r="B3044" s="17" t="s">
        <v>7437</v>
      </c>
      <c r="C3044" s="17" t="s">
        <v>7438</v>
      </c>
      <c r="D3044" s="17" t="s">
        <v>7439</v>
      </c>
      <c r="E3044" s="16">
        <v>7.5</v>
      </c>
      <c r="F3044" s="7">
        <f t="shared" si="3"/>
        <v>92.5</v>
      </c>
      <c r="G3044" s="17" t="s">
        <v>3113</v>
      </c>
    </row>
    <row r="3045">
      <c r="A3045" s="12">
        <v>1638.0</v>
      </c>
      <c r="B3045" s="17" t="s">
        <v>7440</v>
      </c>
      <c r="C3045" s="17" t="s">
        <v>7441</v>
      </c>
      <c r="D3045" s="17" t="s">
        <v>7439</v>
      </c>
      <c r="E3045" s="16">
        <v>7.5</v>
      </c>
      <c r="F3045" s="7">
        <f t="shared" si="3"/>
        <v>92.5</v>
      </c>
      <c r="G3045" s="17" t="s">
        <v>3113</v>
      </c>
    </row>
    <row r="3046">
      <c r="A3046" s="12">
        <v>1639.0</v>
      </c>
      <c r="B3046" s="17" t="s">
        <v>7442</v>
      </c>
      <c r="C3046" s="17" t="s">
        <v>7443</v>
      </c>
      <c r="D3046" s="17" t="s">
        <v>7444</v>
      </c>
      <c r="E3046" s="16">
        <v>7.5</v>
      </c>
      <c r="F3046" s="7">
        <f t="shared" si="3"/>
        <v>92.5</v>
      </c>
      <c r="G3046" s="17" t="s">
        <v>3113</v>
      </c>
    </row>
    <row r="3047">
      <c r="A3047" s="12">
        <v>1640.0</v>
      </c>
      <c r="B3047" s="17" t="s">
        <v>7445</v>
      </c>
      <c r="C3047" s="17" t="s">
        <v>7446</v>
      </c>
      <c r="D3047" s="17" t="s">
        <v>7299</v>
      </c>
      <c r="E3047" s="16">
        <v>7.5</v>
      </c>
      <c r="F3047" s="7">
        <f t="shared" si="3"/>
        <v>92.5</v>
      </c>
      <c r="G3047" s="17" t="s">
        <v>3113</v>
      </c>
    </row>
    <row r="3048">
      <c r="A3048" s="12">
        <v>1641.0</v>
      </c>
      <c r="B3048" s="17" t="s">
        <v>7447</v>
      </c>
      <c r="C3048" s="17" t="s">
        <v>7448</v>
      </c>
      <c r="D3048" s="17" t="s">
        <v>7449</v>
      </c>
      <c r="E3048" s="16">
        <v>7.5</v>
      </c>
      <c r="F3048" s="7">
        <f t="shared" si="3"/>
        <v>92.5</v>
      </c>
      <c r="G3048" s="17" t="s">
        <v>3113</v>
      </c>
    </row>
    <row r="3049">
      <c r="A3049" s="12">
        <v>1642.0</v>
      </c>
      <c r="B3049" s="17" t="s">
        <v>7447</v>
      </c>
      <c r="C3049" s="17" t="s">
        <v>7450</v>
      </c>
      <c r="D3049" s="17" t="s">
        <v>7449</v>
      </c>
      <c r="E3049" s="16">
        <v>7.5</v>
      </c>
      <c r="F3049" s="7">
        <f t="shared" si="3"/>
        <v>92.5</v>
      </c>
      <c r="G3049" s="17" t="s">
        <v>3113</v>
      </c>
    </row>
    <row r="3050">
      <c r="A3050" s="12">
        <v>1643.0</v>
      </c>
      <c r="B3050" s="17" t="s">
        <v>7451</v>
      </c>
      <c r="C3050" s="17" t="s">
        <v>7452</v>
      </c>
      <c r="D3050" s="17" t="s">
        <v>7453</v>
      </c>
      <c r="E3050" s="16">
        <v>7.5</v>
      </c>
      <c r="F3050" s="7">
        <f t="shared" si="3"/>
        <v>92.5</v>
      </c>
      <c r="G3050" s="17" t="s">
        <v>3113</v>
      </c>
    </row>
    <row r="3051">
      <c r="A3051" s="12">
        <v>1644.0</v>
      </c>
      <c r="B3051" s="17" t="s">
        <v>7454</v>
      </c>
      <c r="C3051" s="17" t="s">
        <v>7455</v>
      </c>
      <c r="D3051" s="17" t="s">
        <v>7456</v>
      </c>
      <c r="E3051" s="16">
        <v>7.5</v>
      </c>
      <c r="F3051" s="7">
        <f t="shared" si="3"/>
        <v>92.5</v>
      </c>
      <c r="G3051" s="17" t="s">
        <v>3113</v>
      </c>
    </row>
    <row r="3052">
      <c r="A3052" s="12">
        <v>1645.0</v>
      </c>
      <c r="B3052" s="17" t="s">
        <v>7454</v>
      </c>
      <c r="C3052" s="17" t="s">
        <v>7457</v>
      </c>
      <c r="D3052" s="17" t="s">
        <v>7458</v>
      </c>
      <c r="E3052" s="16">
        <v>7.5</v>
      </c>
      <c r="F3052" s="7">
        <f t="shared" si="3"/>
        <v>92.5</v>
      </c>
      <c r="G3052" s="17" t="s">
        <v>3113</v>
      </c>
    </row>
    <row r="3053">
      <c r="A3053" s="12">
        <v>1646.0</v>
      </c>
      <c r="B3053" s="17" t="s">
        <v>7454</v>
      </c>
      <c r="C3053" s="17" t="s">
        <v>7459</v>
      </c>
      <c r="D3053" s="17" t="s">
        <v>7460</v>
      </c>
      <c r="E3053" s="16">
        <v>7.5</v>
      </c>
      <c r="F3053" s="7">
        <f t="shared" si="3"/>
        <v>92.5</v>
      </c>
      <c r="G3053" s="17" t="s">
        <v>3113</v>
      </c>
    </row>
    <row r="3054">
      <c r="A3054" s="12">
        <v>1647.0</v>
      </c>
      <c r="B3054" s="17" t="s">
        <v>7461</v>
      </c>
      <c r="C3054" s="17" t="s">
        <v>7462</v>
      </c>
      <c r="D3054" s="17" t="s">
        <v>7463</v>
      </c>
      <c r="E3054" s="16">
        <v>7.5</v>
      </c>
      <c r="F3054" s="7">
        <f t="shared" si="3"/>
        <v>92.5</v>
      </c>
      <c r="G3054" s="17" t="s">
        <v>3113</v>
      </c>
    </row>
    <row r="3055">
      <c r="A3055" s="12">
        <v>1648.0</v>
      </c>
      <c r="B3055" s="17" t="s">
        <v>7464</v>
      </c>
      <c r="C3055" s="17" t="s">
        <v>7465</v>
      </c>
      <c r="D3055" s="17" t="s">
        <v>7466</v>
      </c>
      <c r="E3055" s="16">
        <v>7.5</v>
      </c>
      <c r="F3055" s="7">
        <f t="shared" si="3"/>
        <v>92.5</v>
      </c>
      <c r="G3055" s="17" t="s">
        <v>3113</v>
      </c>
    </row>
    <row r="3056">
      <c r="A3056" s="12">
        <v>1649.0</v>
      </c>
      <c r="B3056" s="17" t="s">
        <v>7467</v>
      </c>
      <c r="C3056" s="17" t="s">
        <v>7468</v>
      </c>
      <c r="D3056" s="17" t="s">
        <v>7469</v>
      </c>
      <c r="E3056" s="16">
        <v>7.5</v>
      </c>
      <c r="F3056" s="7">
        <f t="shared" si="3"/>
        <v>92.5</v>
      </c>
      <c r="G3056" s="17" t="s">
        <v>3113</v>
      </c>
    </row>
    <row r="3057">
      <c r="A3057" s="12">
        <v>1650.0</v>
      </c>
      <c r="B3057" s="17" t="s">
        <v>7470</v>
      </c>
      <c r="C3057" s="17" t="s">
        <v>7471</v>
      </c>
      <c r="D3057" s="17" t="s">
        <v>7472</v>
      </c>
      <c r="E3057" s="16">
        <v>7.5</v>
      </c>
      <c r="F3057" s="7">
        <f t="shared" si="3"/>
        <v>92.5</v>
      </c>
      <c r="G3057" s="17" t="s">
        <v>3113</v>
      </c>
    </row>
    <row r="3058">
      <c r="A3058" s="12">
        <v>1651.0</v>
      </c>
      <c r="B3058" s="17" t="s">
        <v>7473</v>
      </c>
      <c r="C3058" s="17" t="s">
        <v>7474</v>
      </c>
      <c r="D3058" s="17" t="s">
        <v>7475</v>
      </c>
      <c r="E3058" s="16">
        <v>7.5</v>
      </c>
      <c r="F3058" s="7">
        <f t="shared" si="3"/>
        <v>92.5</v>
      </c>
      <c r="G3058" s="17" t="s">
        <v>3113</v>
      </c>
    </row>
    <row r="3059">
      <c r="A3059" s="12">
        <v>1652.0</v>
      </c>
      <c r="B3059" s="17" t="s">
        <v>7476</v>
      </c>
      <c r="C3059" s="17" t="s">
        <v>7477</v>
      </c>
      <c r="D3059" s="17" t="s">
        <v>7475</v>
      </c>
      <c r="E3059" s="16">
        <v>7.5</v>
      </c>
      <c r="F3059" s="7">
        <f t="shared" si="3"/>
        <v>92.5</v>
      </c>
      <c r="G3059" s="17" t="s">
        <v>3113</v>
      </c>
    </row>
    <row r="3060">
      <c r="A3060" s="12">
        <v>1653.0</v>
      </c>
      <c r="B3060" s="17" t="s">
        <v>7478</v>
      </c>
      <c r="C3060" s="17" t="s">
        <v>7479</v>
      </c>
      <c r="D3060" s="17" t="s">
        <v>7480</v>
      </c>
      <c r="E3060" s="16">
        <v>7.5</v>
      </c>
      <c r="F3060" s="7">
        <f t="shared" si="3"/>
        <v>92.5</v>
      </c>
      <c r="G3060" s="17" t="s">
        <v>3113</v>
      </c>
    </row>
    <row r="3061">
      <c r="A3061" s="12">
        <v>1654.0</v>
      </c>
      <c r="B3061" s="17" t="s">
        <v>7481</v>
      </c>
      <c r="C3061" s="17" t="s">
        <v>7482</v>
      </c>
      <c r="D3061" s="17" t="s">
        <v>7483</v>
      </c>
      <c r="E3061" s="16">
        <v>7.5</v>
      </c>
      <c r="F3061" s="7">
        <f t="shared" si="3"/>
        <v>92.5</v>
      </c>
      <c r="G3061" s="17" t="s">
        <v>3113</v>
      </c>
    </row>
    <row r="3062">
      <c r="A3062" s="12">
        <v>1655.0</v>
      </c>
      <c r="B3062" s="17" t="s">
        <v>7484</v>
      </c>
      <c r="C3062" s="17" t="s">
        <v>7485</v>
      </c>
      <c r="D3062" s="17" t="s">
        <v>7480</v>
      </c>
      <c r="E3062" s="16">
        <v>7.5</v>
      </c>
      <c r="F3062" s="7">
        <f t="shared" si="3"/>
        <v>92.5</v>
      </c>
      <c r="G3062" s="17" t="s">
        <v>3113</v>
      </c>
    </row>
    <row r="3063">
      <c r="A3063" s="12">
        <v>1656.0</v>
      </c>
      <c r="B3063" s="17" t="s">
        <v>7486</v>
      </c>
      <c r="C3063" s="17" t="s">
        <v>7487</v>
      </c>
      <c r="D3063" s="17" t="s">
        <v>7488</v>
      </c>
      <c r="E3063" s="16">
        <v>7.5</v>
      </c>
      <c r="F3063" s="7">
        <f t="shared" si="3"/>
        <v>92.5</v>
      </c>
      <c r="G3063" s="17" t="s">
        <v>3113</v>
      </c>
    </row>
    <row r="3064">
      <c r="A3064" s="12">
        <v>1657.0</v>
      </c>
      <c r="B3064" s="17" t="s">
        <v>7489</v>
      </c>
      <c r="C3064" s="17" t="s">
        <v>7490</v>
      </c>
      <c r="D3064" s="17" t="s">
        <v>7491</v>
      </c>
      <c r="E3064" s="16">
        <v>7.5</v>
      </c>
      <c r="F3064" s="7">
        <f t="shared" si="3"/>
        <v>92.5</v>
      </c>
      <c r="G3064" s="17" t="s">
        <v>3113</v>
      </c>
    </row>
    <row r="3065">
      <c r="A3065" s="12">
        <v>1658.0</v>
      </c>
      <c r="B3065" s="17" t="s">
        <v>7492</v>
      </c>
      <c r="C3065" s="17" t="s">
        <v>7493</v>
      </c>
      <c r="D3065" s="17" t="s">
        <v>7494</v>
      </c>
      <c r="E3065" s="16">
        <v>7.5</v>
      </c>
      <c r="F3065" s="7">
        <f t="shared" si="3"/>
        <v>92.5</v>
      </c>
      <c r="G3065" s="17" t="s">
        <v>3113</v>
      </c>
    </row>
    <row r="3066">
      <c r="A3066" s="12">
        <v>1659.0</v>
      </c>
      <c r="B3066" s="17" t="s">
        <v>7495</v>
      </c>
      <c r="C3066" s="17" t="s">
        <v>7496</v>
      </c>
      <c r="D3066" s="17" t="s">
        <v>7497</v>
      </c>
      <c r="E3066" s="16">
        <v>7.5</v>
      </c>
      <c r="F3066" s="7">
        <f t="shared" si="3"/>
        <v>92.5</v>
      </c>
      <c r="G3066" s="17" t="s">
        <v>3113</v>
      </c>
    </row>
    <row r="3067">
      <c r="A3067" s="12">
        <v>1660.0</v>
      </c>
      <c r="B3067" s="17" t="s">
        <v>7498</v>
      </c>
      <c r="C3067" s="17" t="s">
        <v>7499</v>
      </c>
      <c r="D3067" s="17" t="s">
        <v>7500</v>
      </c>
      <c r="E3067" s="16">
        <v>7.5</v>
      </c>
      <c r="F3067" s="7">
        <f t="shared" si="3"/>
        <v>92.5</v>
      </c>
      <c r="G3067" s="17" t="s">
        <v>3113</v>
      </c>
    </row>
    <row r="3068">
      <c r="A3068" s="12">
        <v>1661.0</v>
      </c>
      <c r="B3068" s="17" t="s">
        <v>7501</v>
      </c>
      <c r="C3068" s="17" t="s">
        <v>7502</v>
      </c>
      <c r="D3068" s="17" t="s">
        <v>7503</v>
      </c>
      <c r="E3068" s="16">
        <v>7.5</v>
      </c>
      <c r="F3068" s="7">
        <f t="shared" si="3"/>
        <v>92.5</v>
      </c>
      <c r="G3068" s="17" t="s">
        <v>3113</v>
      </c>
    </row>
    <row r="3069">
      <c r="A3069" s="12">
        <v>1662.0</v>
      </c>
      <c r="B3069" s="17" t="s">
        <v>7504</v>
      </c>
      <c r="C3069" s="17" t="s">
        <v>7505</v>
      </c>
      <c r="D3069" s="17" t="s">
        <v>7506</v>
      </c>
      <c r="E3069" s="16">
        <v>7.5</v>
      </c>
      <c r="F3069" s="7">
        <f t="shared" si="3"/>
        <v>92.5</v>
      </c>
      <c r="G3069" s="17" t="s">
        <v>3113</v>
      </c>
    </row>
    <row r="3070">
      <c r="A3070" s="12">
        <v>1663.0</v>
      </c>
      <c r="B3070" s="17" t="s">
        <v>7507</v>
      </c>
      <c r="C3070" s="17" t="s">
        <v>7508</v>
      </c>
      <c r="D3070" s="17" t="s">
        <v>7509</v>
      </c>
      <c r="E3070" s="16">
        <v>7.5</v>
      </c>
      <c r="F3070" s="7">
        <f t="shared" si="3"/>
        <v>92.5</v>
      </c>
      <c r="G3070" s="17" t="s">
        <v>3113</v>
      </c>
    </row>
    <row r="3071">
      <c r="A3071" s="12">
        <v>1664.0</v>
      </c>
      <c r="B3071" s="17" t="s">
        <v>7510</v>
      </c>
      <c r="C3071" s="17" t="s">
        <v>7511</v>
      </c>
      <c r="D3071" s="17" t="s">
        <v>7512</v>
      </c>
      <c r="E3071" s="16">
        <v>7.5</v>
      </c>
      <c r="F3071" s="7">
        <f t="shared" si="3"/>
        <v>92.5</v>
      </c>
      <c r="G3071" s="17" t="s">
        <v>3113</v>
      </c>
    </row>
    <row r="3072">
      <c r="A3072" s="12">
        <v>1665.0</v>
      </c>
      <c r="B3072" s="17" t="s">
        <v>7513</v>
      </c>
      <c r="C3072" s="17" t="s">
        <v>7514</v>
      </c>
      <c r="D3072" s="17" t="s">
        <v>7515</v>
      </c>
      <c r="E3072" s="16">
        <v>7.5</v>
      </c>
      <c r="F3072" s="7">
        <f t="shared" si="3"/>
        <v>92.5</v>
      </c>
      <c r="G3072" s="17" t="s">
        <v>3113</v>
      </c>
    </row>
    <row r="3073">
      <c r="A3073" s="12">
        <v>1666.0</v>
      </c>
      <c r="B3073" s="17" t="s">
        <v>7516</v>
      </c>
      <c r="C3073" s="17" t="s">
        <v>7517</v>
      </c>
      <c r="D3073" s="17" t="s">
        <v>7518</v>
      </c>
      <c r="E3073" s="16">
        <v>7.5</v>
      </c>
      <c r="F3073" s="7">
        <f t="shared" si="3"/>
        <v>92.5</v>
      </c>
      <c r="G3073" s="17" t="s">
        <v>3113</v>
      </c>
    </row>
    <row r="3074">
      <c r="A3074" s="12">
        <v>1667.0</v>
      </c>
      <c r="B3074" s="17" t="s">
        <v>7519</v>
      </c>
      <c r="C3074" s="17" t="s">
        <v>7520</v>
      </c>
      <c r="D3074" s="17" t="s">
        <v>7521</v>
      </c>
      <c r="E3074" s="16">
        <v>7.5</v>
      </c>
      <c r="F3074" s="7">
        <f t="shared" si="3"/>
        <v>92.5</v>
      </c>
      <c r="G3074" s="17" t="s">
        <v>3113</v>
      </c>
    </row>
    <row r="3075">
      <c r="A3075" s="12">
        <v>1668.0</v>
      </c>
      <c r="B3075" s="17" t="s">
        <v>7522</v>
      </c>
      <c r="C3075" s="17" t="s">
        <v>7523</v>
      </c>
      <c r="D3075" s="17" t="s">
        <v>7524</v>
      </c>
      <c r="E3075" s="16">
        <v>7.5</v>
      </c>
      <c r="F3075" s="7">
        <f t="shared" si="3"/>
        <v>92.5</v>
      </c>
      <c r="G3075" s="17" t="s">
        <v>3113</v>
      </c>
    </row>
    <row r="3076">
      <c r="A3076" s="12">
        <v>1669.0</v>
      </c>
      <c r="B3076" s="17" t="s">
        <v>7525</v>
      </c>
      <c r="C3076" s="17" t="s">
        <v>7526</v>
      </c>
      <c r="D3076" s="17" t="s">
        <v>7527</v>
      </c>
      <c r="E3076" s="16">
        <v>7.5</v>
      </c>
      <c r="F3076" s="7">
        <f t="shared" si="3"/>
        <v>92.5</v>
      </c>
      <c r="G3076" s="17" t="s">
        <v>3113</v>
      </c>
    </row>
    <row r="3077">
      <c r="A3077" s="12">
        <v>1670.0</v>
      </c>
      <c r="B3077" s="17" t="s">
        <v>7528</v>
      </c>
      <c r="C3077" s="17" t="s">
        <v>7529</v>
      </c>
      <c r="D3077" s="17" t="s">
        <v>7527</v>
      </c>
      <c r="E3077" s="16">
        <v>7.5</v>
      </c>
      <c r="F3077" s="7">
        <f t="shared" si="3"/>
        <v>92.5</v>
      </c>
      <c r="G3077" s="17" t="s">
        <v>3113</v>
      </c>
    </row>
    <row r="3078">
      <c r="A3078" s="12">
        <v>1671.0</v>
      </c>
      <c r="B3078" s="17" t="s">
        <v>7530</v>
      </c>
      <c r="C3078" s="17" t="s">
        <v>7531</v>
      </c>
      <c r="D3078" s="17" t="s">
        <v>7532</v>
      </c>
      <c r="E3078" s="16">
        <v>7.5</v>
      </c>
      <c r="F3078" s="7">
        <f t="shared" si="3"/>
        <v>92.5</v>
      </c>
      <c r="G3078" s="17" t="s">
        <v>3113</v>
      </c>
    </row>
    <row r="3079">
      <c r="A3079" s="12">
        <v>1672.0</v>
      </c>
      <c r="B3079" s="17" t="s">
        <v>7533</v>
      </c>
      <c r="C3079" s="17" t="s">
        <v>7534</v>
      </c>
      <c r="D3079" s="17" t="s">
        <v>7535</v>
      </c>
      <c r="E3079" s="16">
        <v>7.5</v>
      </c>
      <c r="F3079" s="7">
        <f t="shared" si="3"/>
        <v>92.5</v>
      </c>
      <c r="G3079" s="17" t="s">
        <v>3113</v>
      </c>
    </row>
    <row r="3080">
      <c r="A3080" s="12">
        <v>1673.0</v>
      </c>
      <c r="B3080" s="17" t="s">
        <v>7536</v>
      </c>
      <c r="C3080" s="17" t="s">
        <v>7537</v>
      </c>
      <c r="D3080" s="17" t="s">
        <v>7535</v>
      </c>
      <c r="E3080" s="16">
        <v>7.5</v>
      </c>
      <c r="F3080" s="7">
        <f t="shared" si="3"/>
        <v>92.5</v>
      </c>
      <c r="G3080" s="17" t="s">
        <v>3113</v>
      </c>
    </row>
    <row r="3081">
      <c r="A3081" s="12">
        <v>1674.0</v>
      </c>
      <c r="B3081" s="17" t="s">
        <v>7538</v>
      </c>
      <c r="C3081" s="17" t="s">
        <v>7539</v>
      </c>
      <c r="D3081" s="17" t="s">
        <v>7540</v>
      </c>
      <c r="E3081" s="16">
        <v>7.5</v>
      </c>
      <c r="F3081" s="7">
        <f t="shared" si="3"/>
        <v>92.5</v>
      </c>
      <c r="G3081" s="17" t="s">
        <v>3113</v>
      </c>
    </row>
    <row r="3082">
      <c r="A3082" s="12">
        <v>1675.0</v>
      </c>
      <c r="B3082" s="17" t="s">
        <v>7541</v>
      </c>
      <c r="C3082" s="17" t="s">
        <v>7542</v>
      </c>
      <c r="D3082" s="17" t="s">
        <v>7543</v>
      </c>
      <c r="E3082" s="16">
        <v>7.5</v>
      </c>
      <c r="F3082" s="7">
        <f t="shared" si="3"/>
        <v>92.5</v>
      </c>
      <c r="G3082" s="17" t="s">
        <v>3113</v>
      </c>
    </row>
    <row r="3083">
      <c r="A3083" s="12">
        <v>1676.0</v>
      </c>
      <c r="B3083" s="17" t="s">
        <v>7544</v>
      </c>
      <c r="C3083" s="17" t="s">
        <v>7545</v>
      </c>
      <c r="D3083" s="17" t="s">
        <v>7546</v>
      </c>
      <c r="E3083" s="16">
        <v>7.5</v>
      </c>
      <c r="F3083" s="7">
        <f t="shared" si="3"/>
        <v>92.5</v>
      </c>
      <c r="G3083" s="17" t="s">
        <v>3113</v>
      </c>
    </row>
    <row r="3084">
      <c r="A3084" s="12">
        <v>1677.0</v>
      </c>
      <c r="B3084" s="17" t="s">
        <v>7547</v>
      </c>
      <c r="C3084" s="17" t="s">
        <v>7548</v>
      </c>
      <c r="D3084" s="17" t="s">
        <v>7549</v>
      </c>
      <c r="E3084" s="16">
        <v>7.5</v>
      </c>
      <c r="F3084" s="7">
        <f t="shared" si="3"/>
        <v>92.5</v>
      </c>
      <c r="G3084" s="17" t="s">
        <v>3113</v>
      </c>
    </row>
    <row r="3085">
      <c r="A3085" s="12">
        <v>1678.0</v>
      </c>
      <c r="B3085" s="17" t="s">
        <v>7550</v>
      </c>
      <c r="C3085" s="17" t="s">
        <v>7551</v>
      </c>
      <c r="D3085" s="17" t="s">
        <v>7552</v>
      </c>
      <c r="E3085" s="16">
        <v>7.5</v>
      </c>
      <c r="F3085" s="7">
        <f t="shared" si="3"/>
        <v>92.5</v>
      </c>
      <c r="G3085" s="17" t="s">
        <v>3113</v>
      </c>
    </row>
    <row r="3086">
      <c r="A3086" s="12">
        <v>1679.0</v>
      </c>
      <c r="B3086" s="17" t="s">
        <v>7553</v>
      </c>
      <c r="C3086" s="17" t="s">
        <v>7554</v>
      </c>
      <c r="D3086" s="17" t="s">
        <v>7555</v>
      </c>
      <c r="E3086" s="16">
        <v>7.5</v>
      </c>
      <c r="F3086" s="7">
        <f t="shared" si="3"/>
        <v>92.5</v>
      </c>
      <c r="G3086" s="17" t="s">
        <v>3113</v>
      </c>
    </row>
    <row r="3087">
      <c r="A3087" s="12">
        <v>1680.0</v>
      </c>
      <c r="B3087" s="17" t="s">
        <v>7556</v>
      </c>
      <c r="C3087" s="17" t="s">
        <v>7557</v>
      </c>
      <c r="D3087" s="17" t="s">
        <v>7555</v>
      </c>
      <c r="E3087" s="16">
        <v>7.5</v>
      </c>
      <c r="F3087" s="7">
        <f t="shared" si="3"/>
        <v>92.5</v>
      </c>
      <c r="G3087" s="17" t="s">
        <v>3113</v>
      </c>
    </row>
    <row r="3088">
      <c r="A3088" s="12">
        <v>1681.0</v>
      </c>
      <c r="B3088" s="17" t="s">
        <v>7558</v>
      </c>
      <c r="C3088" s="17" t="s">
        <v>7559</v>
      </c>
      <c r="D3088" s="17" t="s">
        <v>7560</v>
      </c>
      <c r="E3088" s="16">
        <v>7.5</v>
      </c>
      <c r="F3088" s="7">
        <f t="shared" si="3"/>
        <v>92.5</v>
      </c>
      <c r="G3088" s="17" t="s">
        <v>3113</v>
      </c>
    </row>
    <row r="3089">
      <c r="A3089" s="12">
        <v>1682.0</v>
      </c>
      <c r="B3089" s="17" t="s">
        <v>7561</v>
      </c>
      <c r="C3089" s="17" t="s">
        <v>7562</v>
      </c>
      <c r="D3089" s="17" t="s">
        <v>7563</v>
      </c>
      <c r="E3089" s="16">
        <v>7.5</v>
      </c>
      <c r="F3089" s="7">
        <f t="shared" si="3"/>
        <v>92.5</v>
      </c>
      <c r="G3089" s="17" t="s">
        <v>3113</v>
      </c>
    </row>
    <row r="3090">
      <c r="A3090" s="12">
        <v>1683.0</v>
      </c>
      <c r="B3090" s="17" t="s">
        <v>7564</v>
      </c>
      <c r="C3090" s="17" t="s">
        <v>7565</v>
      </c>
      <c r="D3090" s="17" t="s">
        <v>7566</v>
      </c>
      <c r="E3090" s="16">
        <v>7.5</v>
      </c>
      <c r="F3090" s="7">
        <f t="shared" si="3"/>
        <v>92.5</v>
      </c>
      <c r="G3090" s="17" t="s">
        <v>3113</v>
      </c>
    </row>
    <row r="3091">
      <c r="A3091" s="12">
        <v>1684.0</v>
      </c>
      <c r="B3091" s="17" t="s">
        <v>7567</v>
      </c>
      <c r="C3091" s="17" t="s">
        <v>7568</v>
      </c>
      <c r="D3091" s="17" t="s">
        <v>7566</v>
      </c>
      <c r="E3091" s="16">
        <v>7.5</v>
      </c>
      <c r="F3091" s="7">
        <f t="shared" si="3"/>
        <v>92.5</v>
      </c>
      <c r="G3091" s="17" t="s">
        <v>3113</v>
      </c>
    </row>
    <row r="3092">
      <c r="A3092" s="12">
        <v>1685.0</v>
      </c>
      <c r="B3092" s="17" t="s">
        <v>7569</v>
      </c>
      <c r="C3092" s="17" t="s">
        <v>7570</v>
      </c>
      <c r="D3092" s="17" t="s">
        <v>7571</v>
      </c>
      <c r="E3092" s="16">
        <v>7.5</v>
      </c>
      <c r="F3092" s="7">
        <f t="shared" si="3"/>
        <v>92.5</v>
      </c>
      <c r="G3092" s="17" t="s">
        <v>3113</v>
      </c>
    </row>
    <row r="3093">
      <c r="A3093" s="12">
        <v>1686.0</v>
      </c>
      <c r="B3093" s="17" t="s">
        <v>7572</v>
      </c>
      <c r="C3093" s="17" t="s">
        <v>7573</v>
      </c>
      <c r="D3093" s="17" t="s">
        <v>7574</v>
      </c>
      <c r="E3093" s="16">
        <v>7.5</v>
      </c>
      <c r="F3093" s="7">
        <f t="shared" si="3"/>
        <v>92.5</v>
      </c>
      <c r="G3093" s="17" t="s">
        <v>3113</v>
      </c>
    </row>
    <row r="3094">
      <c r="A3094" s="12">
        <v>1687.0</v>
      </c>
      <c r="B3094" s="17" t="s">
        <v>7575</v>
      </c>
      <c r="C3094" s="17" t="s">
        <v>7576</v>
      </c>
      <c r="D3094" s="17" t="s">
        <v>7574</v>
      </c>
      <c r="E3094" s="16">
        <v>7.5</v>
      </c>
      <c r="F3094" s="7">
        <f t="shared" si="3"/>
        <v>92.5</v>
      </c>
      <c r="G3094" s="17" t="s">
        <v>3113</v>
      </c>
    </row>
    <row r="3095">
      <c r="A3095" s="12">
        <v>1688.0</v>
      </c>
      <c r="B3095" s="17" t="s">
        <v>7577</v>
      </c>
      <c r="C3095" s="17" t="s">
        <v>7578</v>
      </c>
      <c r="D3095" s="17" t="s">
        <v>7579</v>
      </c>
      <c r="E3095" s="16">
        <v>7.5</v>
      </c>
      <c r="F3095" s="7">
        <f t="shared" si="3"/>
        <v>92.5</v>
      </c>
      <c r="G3095" s="17" t="s">
        <v>3113</v>
      </c>
    </row>
    <row r="3096">
      <c r="A3096" s="12">
        <v>1689.0</v>
      </c>
      <c r="B3096" s="17" t="s">
        <v>7580</v>
      </c>
      <c r="C3096" s="17" t="s">
        <v>7581</v>
      </c>
      <c r="D3096" s="17" t="s">
        <v>7582</v>
      </c>
      <c r="E3096" s="16">
        <v>7.5</v>
      </c>
      <c r="F3096" s="7">
        <f t="shared" si="3"/>
        <v>92.5</v>
      </c>
      <c r="G3096" s="17" t="s">
        <v>3113</v>
      </c>
    </row>
    <row r="3097">
      <c r="A3097" s="12">
        <v>1690.0</v>
      </c>
      <c r="B3097" s="17" t="s">
        <v>7583</v>
      </c>
      <c r="C3097" s="17" t="s">
        <v>7584</v>
      </c>
      <c r="D3097" s="17" t="s">
        <v>7582</v>
      </c>
      <c r="E3097" s="16">
        <v>7.5</v>
      </c>
      <c r="F3097" s="7">
        <f t="shared" si="3"/>
        <v>92.5</v>
      </c>
      <c r="G3097" s="17" t="s">
        <v>3113</v>
      </c>
    </row>
    <row r="3098">
      <c r="A3098" s="12">
        <v>1691.0</v>
      </c>
      <c r="B3098" s="17" t="s">
        <v>7585</v>
      </c>
      <c r="C3098" s="17" t="s">
        <v>7586</v>
      </c>
      <c r="D3098" s="17" t="s">
        <v>7587</v>
      </c>
      <c r="E3098" s="16">
        <v>7.5</v>
      </c>
      <c r="F3098" s="7">
        <f t="shared" si="3"/>
        <v>92.5</v>
      </c>
      <c r="G3098" s="17" t="s">
        <v>3113</v>
      </c>
    </row>
    <row r="3099">
      <c r="A3099" s="12">
        <v>1692.0</v>
      </c>
      <c r="B3099" s="17" t="s">
        <v>7588</v>
      </c>
      <c r="C3099" s="17" t="s">
        <v>7589</v>
      </c>
      <c r="D3099" s="17" t="s">
        <v>7590</v>
      </c>
      <c r="E3099" s="16">
        <v>7.5</v>
      </c>
      <c r="F3099" s="7">
        <f t="shared" si="3"/>
        <v>92.5</v>
      </c>
      <c r="G3099" s="17" t="s">
        <v>3113</v>
      </c>
    </row>
    <row r="3100">
      <c r="A3100" s="12">
        <v>1693.0</v>
      </c>
      <c r="B3100" s="17" t="s">
        <v>7591</v>
      </c>
      <c r="C3100" s="17" t="s">
        <v>7592</v>
      </c>
      <c r="D3100" s="17" t="s">
        <v>7590</v>
      </c>
      <c r="E3100" s="16">
        <v>7.5</v>
      </c>
      <c r="F3100" s="7">
        <f t="shared" si="3"/>
        <v>92.5</v>
      </c>
      <c r="G3100" s="17" t="s">
        <v>3113</v>
      </c>
    </row>
    <row r="3101">
      <c r="A3101" s="12">
        <v>1694.0</v>
      </c>
      <c r="B3101" s="17" t="s">
        <v>7593</v>
      </c>
      <c r="C3101" s="17" t="s">
        <v>7594</v>
      </c>
      <c r="D3101" s="17" t="s">
        <v>7595</v>
      </c>
      <c r="E3101" s="16">
        <v>7.5</v>
      </c>
      <c r="F3101" s="7">
        <f t="shared" si="3"/>
        <v>92.5</v>
      </c>
      <c r="G3101" s="17" t="s">
        <v>3113</v>
      </c>
    </row>
    <row r="3102">
      <c r="A3102" s="12">
        <v>1695.0</v>
      </c>
      <c r="B3102" s="17" t="s">
        <v>7596</v>
      </c>
      <c r="C3102" s="17" t="s">
        <v>7597</v>
      </c>
      <c r="D3102" s="17" t="s">
        <v>7598</v>
      </c>
      <c r="E3102" s="16">
        <v>7.5</v>
      </c>
      <c r="F3102" s="7">
        <f t="shared" si="3"/>
        <v>92.5</v>
      </c>
      <c r="G3102" s="17" t="s">
        <v>3113</v>
      </c>
    </row>
    <row r="3103">
      <c r="A3103" s="12">
        <v>1696.0</v>
      </c>
      <c r="B3103" s="17" t="s">
        <v>7599</v>
      </c>
      <c r="C3103" s="17" t="s">
        <v>7600</v>
      </c>
      <c r="D3103" s="17" t="s">
        <v>7598</v>
      </c>
      <c r="E3103" s="16">
        <v>7.5</v>
      </c>
      <c r="F3103" s="7">
        <f t="shared" si="3"/>
        <v>92.5</v>
      </c>
      <c r="G3103" s="17" t="s">
        <v>3113</v>
      </c>
    </row>
    <row r="3104">
      <c r="A3104" s="12">
        <v>1697.0</v>
      </c>
      <c r="B3104" s="17" t="s">
        <v>7601</v>
      </c>
      <c r="C3104" s="17" t="s">
        <v>7602</v>
      </c>
      <c r="D3104" s="17" t="s">
        <v>7603</v>
      </c>
      <c r="E3104" s="16">
        <v>7.5</v>
      </c>
      <c r="F3104" s="7">
        <f t="shared" si="3"/>
        <v>92.5</v>
      </c>
      <c r="G3104" s="17" t="s">
        <v>3113</v>
      </c>
    </row>
    <row r="3105">
      <c r="A3105" s="12">
        <v>1698.0</v>
      </c>
      <c r="B3105" s="17" t="s">
        <v>7604</v>
      </c>
      <c r="C3105" s="17" t="s">
        <v>7605</v>
      </c>
      <c r="D3105" s="17" t="s">
        <v>7606</v>
      </c>
      <c r="E3105" s="16">
        <v>7.5</v>
      </c>
      <c r="F3105" s="7">
        <f t="shared" si="3"/>
        <v>92.5</v>
      </c>
      <c r="G3105" s="17" t="s">
        <v>3113</v>
      </c>
    </row>
    <row r="3106">
      <c r="A3106" s="12">
        <v>1699.0</v>
      </c>
      <c r="B3106" s="17" t="s">
        <v>7607</v>
      </c>
      <c r="C3106" s="17" t="s">
        <v>7608</v>
      </c>
      <c r="D3106" s="17" t="s">
        <v>7609</v>
      </c>
      <c r="E3106" s="16">
        <v>7.5</v>
      </c>
      <c r="F3106" s="7">
        <f t="shared" si="3"/>
        <v>92.5</v>
      </c>
      <c r="G3106" s="17" t="s">
        <v>3113</v>
      </c>
    </row>
    <row r="3107">
      <c r="A3107" s="12">
        <v>1700.0</v>
      </c>
      <c r="B3107" s="17" t="s">
        <v>7610</v>
      </c>
      <c r="C3107" s="17" t="s">
        <v>7611</v>
      </c>
      <c r="D3107" s="17" t="s">
        <v>7612</v>
      </c>
      <c r="E3107" s="16">
        <v>7.5</v>
      </c>
      <c r="F3107" s="7">
        <f t="shared" si="3"/>
        <v>92.5</v>
      </c>
      <c r="G3107" s="17" t="s">
        <v>3113</v>
      </c>
    </row>
    <row r="3108">
      <c r="A3108" s="12">
        <v>1701.0</v>
      </c>
      <c r="B3108" s="17" t="s">
        <v>7613</v>
      </c>
      <c r="C3108" s="17" t="s">
        <v>7614</v>
      </c>
      <c r="D3108" s="17" t="s">
        <v>7615</v>
      </c>
      <c r="E3108" s="16">
        <v>7.5</v>
      </c>
      <c r="F3108" s="7">
        <f t="shared" si="3"/>
        <v>92.5</v>
      </c>
      <c r="G3108" s="17" t="s">
        <v>3113</v>
      </c>
    </row>
    <row r="3109">
      <c r="A3109" s="12">
        <v>1702.0</v>
      </c>
      <c r="B3109" s="17" t="s">
        <v>7616</v>
      </c>
      <c r="C3109" s="17" t="s">
        <v>7617</v>
      </c>
      <c r="D3109" s="17" t="s">
        <v>7615</v>
      </c>
      <c r="E3109" s="16">
        <v>7.5</v>
      </c>
      <c r="F3109" s="7">
        <f t="shared" si="3"/>
        <v>92.5</v>
      </c>
      <c r="G3109" s="17" t="s">
        <v>3113</v>
      </c>
    </row>
    <row r="3110">
      <c r="A3110" s="12">
        <v>1703.0</v>
      </c>
      <c r="B3110" s="17" t="s">
        <v>7618</v>
      </c>
      <c r="C3110" s="17" t="s">
        <v>7619</v>
      </c>
      <c r="D3110" s="17" t="s">
        <v>7609</v>
      </c>
      <c r="E3110" s="16">
        <v>7.5</v>
      </c>
      <c r="F3110" s="7">
        <f t="shared" si="3"/>
        <v>92.5</v>
      </c>
      <c r="G3110" s="17" t="s">
        <v>3113</v>
      </c>
    </row>
    <row r="3111">
      <c r="A3111" s="12">
        <v>1704.0</v>
      </c>
      <c r="B3111" s="17" t="s">
        <v>7620</v>
      </c>
      <c r="C3111" s="17" t="s">
        <v>7621</v>
      </c>
      <c r="D3111" s="17" t="s">
        <v>7622</v>
      </c>
      <c r="E3111" s="16">
        <v>7.5</v>
      </c>
      <c r="F3111" s="7">
        <f t="shared" si="3"/>
        <v>92.5</v>
      </c>
      <c r="G3111" s="17" t="s">
        <v>3113</v>
      </c>
    </row>
    <row r="3112">
      <c r="A3112" s="12">
        <v>1705.0</v>
      </c>
      <c r="B3112" s="17" t="s">
        <v>7623</v>
      </c>
      <c r="C3112" s="17" t="s">
        <v>7624</v>
      </c>
      <c r="D3112" s="17" t="s">
        <v>7625</v>
      </c>
      <c r="E3112" s="16">
        <v>7.5</v>
      </c>
      <c r="F3112" s="7">
        <f t="shared" si="3"/>
        <v>92.5</v>
      </c>
      <c r="G3112" s="17" t="s">
        <v>3113</v>
      </c>
    </row>
    <row r="3113">
      <c r="A3113" s="12">
        <v>1706.0</v>
      </c>
      <c r="B3113" s="17" t="s">
        <v>7626</v>
      </c>
      <c r="C3113" s="17" t="s">
        <v>7627</v>
      </c>
      <c r="D3113" s="17" t="s">
        <v>7622</v>
      </c>
      <c r="E3113" s="16">
        <v>7.5</v>
      </c>
      <c r="F3113" s="7">
        <f t="shared" si="3"/>
        <v>92.5</v>
      </c>
      <c r="G3113" s="17" t="s">
        <v>3113</v>
      </c>
    </row>
    <row r="3114">
      <c r="A3114" s="12">
        <v>1707.0</v>
      </c>
      <c r="B3114" s="17" t="s">
        <v>7628</v>
      </c>
      <c r="C3114" s="17" t="s">
        <v>7629</v>
      </c>
      <c r="D3114" s="17" t="s">
        <v>7630</v>
      </c>
      <c r="E3114" s="16">
        <v>7.5</v>
      </c>
      <c r="F3114" s="7">
        <f t="shared" si="3"/>
        <v>92.5</v>
      </c>
      <c r="G3114" s="17" t="s">
        <v>3113</v>
      </c>
    </row>
    <row r="3115">
      <c r="A3115" s="12">
        <v>1708.0</v>
      </c>
      <c r="B3115" s="17" t="s">
        <v>7631</v>
      </c>
      <c r="C3115" s="17" t="s">
        <v>7632</v>
      </c>
      <c r="D3115" s="17" t="s">
        <v>7633</v>
      </c>
      <c r="E3115" s="16">
        <v>7.5</v>
      </c>
      <c r="F3115" s="7">
        <f t="shared" si="3"/>
        <v>92.5</v>
      </c>
      <c r="G3115" s="17" t="s">
        <v>3113</v>
      </c>
    </row>
    <row r="3116">
      <c r="A3116" s="12">
        <v>1709.0</v>
      </c>
      <c r="B3116" s="17" t="s">
        <v>7634</v>
      </c>
      <c r="C3116" s="17" t="s">
        <v>7635</v>
      </c>
      <c r="D3116" s="17" t="s">
        <v>7636</v>
      </c>
      <c r="E3116" s="16">
        <v>7.5</v>
      </c>
      <c r="F3116" s="7">
        <f t="shared" si="3"/>
        <v>92.5</v>
      </c>
      <c r="G3116" s="17" t="s">
        <v>3113</v>
      </c>
    </row>
    <row r="3117">
      <c r="A3117" s="12">
        <v>1710.0</v>
      </c>
      <c r="B3117" s="17" t="s">
        <v>7637</v>
      </c>
      <c r="C3117" s="17" t="s">
        <v>7638</v>
      </c>
      <c r="D3117" s="17" t="s">
        <v>7639</v>
      </c>
      <c r="E3117" s="16">
        <v>7.5</v>
      </c>
      <c r="F3117" s="7">
        <f t="shared" si="3"/>
        <v>92.5</v>
      </c>
      <c r="G3117" s="17" t="s">
        <v>3113</v>
      </c>
    </row>
    <row r="3118">
      <c r="A3118" s="12">
        <v>1711.0</v>
      </c>
      <c r="B3118" s="17" t="s">
        <v>7640</v>
      </c>
      <c r="C3118" s="17" t="s">
        <v>7641</v>
      </c>
      <c r="D3118" s="17" t="s">
        <v>7642</v>
      </c>
      <c r="E3118" s="16">
        <v>7.5</v>
      </c>
      <c r="F3118" s="7">
        <f t="shared" si="3"/>
        <v>92.5</v>
      </c>
      <c r="G3118" s="17" t="s">
        <v>3113</v>
      </c>
    </row>
    <row r="3119">
      <c r="A3119" s="12">
        <v>1712.0</v>
      </c>
      <c r="B3119" s="17" t="s">
        <v>7643</v>
      </c>
      <c r="C3119" s="17" t="s">
        <v>7644</v>
      </c>
      <c r="D3119" s="17" t="s">
        <v>7645</v>
      </c>
      <c r="E3119" s="16">
        <v>7.5</v>
      </c>
      <c r="F3119" s="7">
        <f t="shared" si="3"/>
        <v>92.5</v>
      </c>
      <c r="G3119" s="17" t="s">
        <v>3113</v>
      </c>
    </row>
    <row r="3120">
      <c r="A3120" s="12">
        <v>1713.0</v>
      </c>
      <c r="B3120" s="17" t="s">
        <v>7646</v>
      </c>
      <c r="C3120" s="17" t="s">
        <v>7647</v>
      </c>
      <c r="D3120" s="17" t="s">
        <v>7648</v>
      </c>
      <c r="E3120" s="16">
        <v>7.5</v>
      </c>
      <c r="F3120" s="7">
        <f t="shared" si="3"/>
        <v>92.5</v>
      </c>
      <c r="G3120" s="17" t="s">
        <v>3113</v>
      </c>
    </row>
    <row r="3121">
      <c r="A3121" s="12">
        <v>1714.0</v>
      </c>
      <c r="B3121" s="17" t="s">
        <v>7649</v>
      </c>
      <c r="C3121" s="17" t="s">
        <v>7650</v>
      </c>
      <c r="D3121" s="17" t="s">
        <v>7648</v>
      </c>
      <c r="E3121" s="16">
        <v>7.5</v>
      </c>
      <c r="F3121" s="7">
        <f t="shared" si="3"/>
        <v>92.5</v>
      </c>
      <c r="G3121" s="17" t="s">
        <v>3113</v>
      </c>
    </row>
    <row r="3122">
      <c r="A3122" s="12">
        <v>1715.0</v>
      </c>
      <c r="B3122" s="17" t="s">
        <v>7651</v>
      </c>
      <c r="C3122" s="17" t="s">
        <v>7652</v>
      </c>
      <c r="D3122" s="17" t="s">
        <v>7653</v>
      </c>
      <c r="E3122" s="16">
        <v>7.5</v>
      </c>
      <c r="F3122" s="7">
        <f t="shared" si="3"/>
        <v>92.5</v>
      </c>
      <c r="G3122" s="17" t="s">
        <v>3113</v>
      </c>
    </row>
    <row r="3123">
      <c r="A3123" s="12">
        <v>1716.0</v>
      </c>
      <c r="B3123" s="17" t="s">
        <v>7654</v>
      </c>
      <c r="C3123" s="17" t="s">
        <v>7655</v>
      </c>
      <c r="D3123" s="17" t="s">
        <v>7656</v>
      </c>
      <c r="E3123" s="16">
        <v>7.5</v>
      </c>
      <c r="F3123" s="7">
        <f t="shared" si="3"/>
        <v>92.5</v>
      </c>
      <c r="G3123" s="17" t="s">
        <v>3113</v>
      </c>
    </row>
    <row r="3124">
      <c r="A3124" s="12">
        <v>1717.0</v>
      </c>
      <c r="B3124" s="17" t="s">
        <v>7657</v>
      </c>
      <c r="C3124" s="17" t="s">
        <v>7658</v>
      </c>
      <c r="D3124" s="17" t="s">
        <v>7659</v>
      </c>
      <c r="E3124" s="16">
        <v>7.5</v>
      </c>
      <c r="F3124" s="7">
        <f t="shared" si="3"/>
        <v>92.5</v>
      </c>
      <c r="G3124" s="17" t="s">
        <v>3113</v>
      </c>
    </row>
    <row r="3125">
      <c r="A3125" s="12">
        <v>1718.0</v>
      </c>
      <c r="B3125" s="17" t="s">
        <v>7660</v>
      </c>
      <c r="C3125" s="17" t="s">
        <v>7661</v>
      </c>
      <c r="D3125" s="17" t="s">
        <v>7662</v>
      </c>
      <c r="E3125" s="16">
        <v>7.5</v>
      </c>
      <c r="F3125" s="7">
        <f t="shared" si="3"/>
        <v>92.5</v>
      </c>
      <c r="G3125" s="17" t="s">
        <v>3113</v>
      </c>
    </row>
    <row r="3126">
      <c r="A3126" s="12">
        <v>1719.0</v>
      </c>
      <c r="B3126" s="17" t="s">
        <v>7663</v>
      </c>
      <c r="C3126" s="17" t="s">
        <v>7664</v>
      </c>
      <c r="D3126" s="17" t="s">
        <v>7665</v>
      </c>
      <c r="E3126" s="16">
        <v>7.5</v>
      </c>
      <c r="F3126" s="7">
        <f t="shared" si="3"/>
        <v>92.5</v>
      </c>
      <c r="G3126" s="17" t="s">
        <v>3113</v>
      </c>
    </row>
    <row r="3127">
      <c r="A3127" s="12">
        <v>1720.0</v>
      </c>
      <c r="B3127" s="17" t="s">
        <v>7666</v>
      </c>
      <c r="C3127" s="17" t="s">
        <v>7667</v>
      </c>
      <c r="D3127" s="17" t="s">
        <v>7668</v>
      </c>
      <c r="E3127" s="16">
        <v>7.5</v>
      </c>
      <c r="F3127" s="7">
        <f t="shared" si="3"/>
        <v>92.5</v>
      </c>
      <c r="G3127" s="17" t="s">
        <v>3113</v>
      </c>
    </row>
    <row r="3128">
      <c r="A3128" s="12">
        <v>1721.0</v>
      </c>
      <c r="B3128" s="17" t="s">
        <v>7669</v>
      </c>
      <c r="C3128" s="17" t="s">
        <v>7670</v>
      </c>
      <c r="D3128" s="17" t="s">
        <v>7671</v>
      </c>
      <c r="E3128" s="16">
        <v>7.5</v>
      </c>
      <c r="F3128" s="7">
        <f t="shared" si="3"/>
        <v>92.5</v>
      </c>
      <c r="G3128" s="17" t="s">
        <v>3113</v>
      </c>
    </row>
    <row r="3129">
      <c r="A3129" s="12">
        <v>1722.0</v>
      </c>
      <c r="B3129" s="17" t="s">
        <v>7672</v>
      </c>
      <c r="C3129" s="17" t="s">
        <v>7673</v>
      </c>
      <c r="D3129" s="17" t="s">
        <v>7674</v>
      </c>
      <c r="E3129" s="16">
        <v>7.5</v>
      </c>
      <c r="F3129" s="7">
        <f t="shared" si="3"/>
        <v>92.5</v>
      </c>
      <c r="G3129" s="17" t="s">
        <v>3113</v>
      </c>
    </row>
    <row r="3130">
      <c r="A3130" s="12">
        <v>1723.0</v>
      </c>
      <c r="B3130" s="17" t="s">
        <v>7675</v>
      </c>
      <c r="C3130" s="17" t="s">
        <v>7676</v>
      </c>
      <c r="D3130" s="17" t="s">
        <v>7674</v>
      </c>
      <c r="E3130" s="16">
        <v>7.5</v>
      </c>
      <c r="F3130" s="7">
        <f t="shared" si="3"/>
        <v>92.5</v>
      </c>
      <c r="G3130" s="17" t="s">
        <v>3113</v>
      </c>
    </row>
    <row r="3131">
      <c r="A3131" s="12">
        <v>1724.0</v>
      </c>
      <c r="B3131" s="17" t="s">
        <v>7677</v>
      </c>
      <c r="C3131" s="17" t="s">
        <v>7678</v>
      </c>
      <c r="D3131" s="17" t="s">
        <v>7679</v>
      </c>
      <c r="E3131" s="16">
        <v>7.5</v>
      </c>
      <c r="F3131" s="7">
        <f t="shared" si="3"/>
        <v>92.5</v>
      </c>
      <c r="G3131" s="17" t="s">
        <v>3113</v>
      </c>
    </row>
    <row r="3132">
      <c r="A3132" s="12">
        <v>1725.0</v>
      </c>
      <c r="B3132" s="17" t="s">
        <v>7680</v>
      </c>
      <c r="C3132" s="17" t="s">
        <v>7681</v>
      </c>
      <c r="D3132" s="17" t="s">
        <v>7682</v>
      </c>
      <c r="E3132" s="16">
        <v>7.5</v>
      </c>
      <c r="F3132" s="7">
        <f t="shared" si="3"/>
        <v>92.5</v>
      </c>
      <c r="G3132" s="17" t="s">
        <v>3113</v>
      </c>
    </row>
    <row r="3133">
      <c r="A3133" s="12">
        <v>1726.0</v>
      </c>
      <c r="B3133" s="17" t="s">
        <v>7683</v>
      </c>
      <c r="C3133" s="17" t="s">
        <v>7684</v>
      </c>
      <c r="D3133" s="17" t="s">
        <v>7682</v>
      </c>
      <c r="E3133" s="16">
        <v>7.5</v>
      </c>
      <c r="F3133" s="7">
        <f t="shared" si="3"/>
        <v>92.5</v>
      </c>
      <c r="G3133" s="17" t="s">
        <v>3113</v>
      </c>
    </row>
    <row r="3134">
      <c r="A3134" s="12">
        <v>1727.0</v>
      </c>
      <c r="B3134" s="17" t="s">
        <v>7685</v>
      </c>
      <c r="C3134" s="17" t="s">
        <v>7686</v>
      </c>
      <c r="D3134" s="17" t="s">
        <v>7687</v>
      </c>
      <c r="E3134" s="16">
        <v>7.5</v>
      </c>
      <c r="F3134" s="7">
        <f t="shared" si="3"/>
        <v>92.5</v>
      </c>
      <c r="G3134" s="17" t="s">
        <v>3113</v>
      </c>
    </row>
    <row r="3135">
      <c r="A3135" s="12">
        <v>1728.0</v>
      </c>
      <c r="B3135" s="17" t="s">
        <v>7688</v>
      </c>
      <c r="C3135" s="17" t="s">
        <v>7689</v>
      </c>
      <c r="D3135" s="17" t="s">
        <v>7690</v>
      </c>
      <c r="E3135" s="16">
        <v>7.5</v>
      </c>
      <c r="F3135" s="7">
        <f t="shared" si="3"/>
        <v>92.5</v>
      </c>
      <c r="G3135" s="17" t="s">
        <v>3113</v>
      </c>
    </row>
    <row r="3136">
      <c r="A3136" s="12">
        <v>1729.0</v>
      </c>
      <c r="B3136" s="17" t="s">
        <v>7691</v>
      </c>
      <c r="C3136" s="17" t="s">
        <v>7692</v>
      </c>
      <c r="D3136" s="17" t="s">
        <v>7693</v>
      </c>
      <c r="E3136" s="16">
        <v>7.5</v>
      </c>
      <c r="F3136" s="7">
        <f t="shared" si="3"/>
        <v>92.5</v>
      </c>
      <c r="G3136" s="17" t="s">
        <v>3113</v>
      </c>
    </row>
    <row r="3137">
      <c r="A3137" s="12">
        <v>1730.0</v>
      </c>
      <c r="B3137" s="17" t="s">
        <v>7694</v>
      </c>
      <c r="C3137" s="17" t="s">
        <v>7695</v>
      </c>
      <c r="D3137" s="17" t="s">
        <v>7696</v>
      </c>
      <c r="E3137" s="16">
        <v>7.5</v>
      </c>
      <c r="F3137" s="7">
        <f t="shared" si="3"/>
        <v>92.5</v>
      </c>
      <c r="G3137" s="17" t="s">
        <v>3113</v>
      </c>
    </row>
    <row r="3138">
      <c r="A3138" s="12">
        <v>1731.0</v>
      </c>
      <c r="B3138" s="17" t="s">
        <v>7697</v>
      </c>
      <c r="C3138" s="17" t="s">
        <v>7698</v>
      </c>
      <c r="D3138" s="17" t="s">
        <v>7699</v>
      </c>
      <c r="E3138" s="16">
        <v>7.5</v>
      </c>
      <c r="F3138" s="7">
        <f t="shared" si="3"/>
        <v>92.5</v>
      </c>
      <c r="G3138" s="17" t="s">
        <v>3113</v>
      </c>
    </row>
    <row r="3139">
      <c r="A3139" s="12">
        <v>1732.0</v>
      </c>
      <c r="B3139" s="17" t="s">
        <v>7700</v>
      </c>
      <c r="C3139" s="17" t="s">
        <v>7701</v>
      </c>
      <c r="D3139" s="17" t="s">
        <v>7702</v>
      </c>
      <c r="E3139" s="16">
        <v>7.5</v>
      </c>
      <c r="F3139" s="7">
        <f t="shared" si="3"/>
        <v>92.5</v>
      </c>
      <c r="G3139" s="17" t="s">
        <v>3113</v>
      </c>
    </row>
    <row r="3140">
      <c r="A3140" s="12">
        <v>1733.0</v>
      </c>
      <c r="B3140" s="17" t="s">
        <v>7703</v>
      </c>
      <c r="C3140" s="17" t="s">
        <v>7704</v>
      </c>
      <c r="D3140" s="17" t="s">
        <v>7705</v>
      </c>
      <c r="E3140" s="16">
        <v>7.5</v>
      </c>
      <c r="F3140" s="7">
        <f t="shared" si="3"/>
        <v>92.5</v>
      </c>
      <c r="G3140" s="17" t="s">
        <v>3113</v>
      </c>
    </row>
    <row r="3141">
      <c r="A3141" s="12">
        <v>1734.0</v>
      </c>
      <c r="B3141" s="17" t="s">
        <v>7706</v>
      </c>
      <c r="C3141" s="17" t="s">
        <v>7707</v>
      </c>
      <c r="D3141" s="17" t="s">
        <v>7708</v>
      </c>
      <c r="E3141" s="16">
        <v>7.5</v>
      </c>
      <c r="F3141" s="7">
        <f t="shared" si="3"/>
        <v>92.5</v>
      </c>
      <c r="G3141" s="17" t="s">
        <v>3113</v>
      </c>
    </row>
    <row r="3142">
      <c r="A3142" s="12">
        <v>1735.0</v>
      </c>
      <c r="B3142" s="17" t="s">
        <v>7709</v>
      </c>
      <c r="C3142" s="17" t="s">
        <v>7710</v>
      </c>
      <c r="D3142" s="17" t="s">
        <v>7711</v>
      </c>
      <c r="E3142" s="16">
        <v>7.5</v>
      </c>
      <c r="F3142" s="7">
        <f t="shared" si="3"/>
        <v>92.5</v>
      </c>
      <c r="G3142" s="17" t="s">
        <v>3113</v>
      </c>
    </row>
    <row r="3143">
      <c r="A3143" s="12">
        <v>1736.0</v>
      </c>
      <c r="B3143" s="17" t="s">
        <v>7712</v>
      </c>
      <c r="C3143" s="17" t="s">
        <v>7713</v>
      </c>
      <c r="D3143" s="17" t="s">
        <v>7714</v>
      </c>
      <c r="E3143" s="16">
        <v>7.5</v>
      </c>
      <c r="F3143" s="7">
        <f t="shared" si="3"/>
        <v>92.5</v>
      </c>
      <c r="G3143" s="17" t="s">
        <v>3113</v>
      </c>
    </row>
    <row r="3144">
      <c r="A3144" s="12">
        <v>1737.0</v>
      </c>
      <c r="B3144" s="17" t="s">
        <v>7715</v>
      </c>
      <c r="C3144" s="17" t="s">
        <v>7716</v>
      </c>
      <c r="D3144" s="17" t="s">
        <v>7717</v>
      </c>
      <c r="E3144" s="16">
        <v>7.5</v>
      </c>
      <c r="F3144" s="7">
        <f t="shared" si="3"/>
        <v>92.5</v>
      </c>
      <c r="G3144" s="17" t="s">
        <v>3113</v>
      </c>
    </row>
    <row r="3145">
      <c r="A3145" s="12">
        <v>1738.0</v>
      </c>
      <c r="B3145" s="17" t="s">
        <v>7718</v>
      </c>
      <c r="C3145" s="17" t="s">
        <v>7719</v>
      </c>
      <c r="D3145" s="17" t="s">
        <v>7720</v>
      </c>
      <c r="E3145" s="16">
        <v>7.5</v>
      </c>
      <c r="F3145" s="7">
        <f t="shared" si="3"/>
        <v>92.5</v>
      </c>
      <c r="G3145" s="17" t="s">
        <v>3113</v>
      </c>
    </row>
    <row r="3146">
      <c r="A3146" s="12">
        <v>1739.0</v>
      </c>
      <c r="B3146" s="17" t="s">
        <v>7721</v>
      </c>
      <c r="C3146" s="17" t="s">
        <v>7722</v>
      </c>
      <c r="D3146" s="17" t="s">
        <v>7723</v>
      </c>
      <c r="E3146" s="16">
        <v>7.5</v>
      </c>
      <c r="F3146" s="7">
        <f t="shared" si="3"/>
        <v>92.5</v>
      </c>
      <c r="G3146" s="17" t="s">
        <v>3113</v>
      </c>
    </row>
    <row r="3147">
      <c r="A3147" s="12">
        <v>1740.0</v>
      </c>
      <c r="B3147" s="17" t="s">
        <v>7724</v>
      </c>
      <c r="C3147" s="17" t="s">
        <v>7725</v>
      </c>
      <c r="D3147" s="17" t="s">
        <v>7726</v>
      </c>
      <c r="E3147" s="16">
        <v>7.5</v>
      </c>
      <c r="F3147" s="7">
        <f t="shared" si="3"/>
        <v>92.5</v>
      </c>
      <c r="G3147" s="17" t="s">
        <v>3113</v>
      </c>
    </row>
    <row r="3148">
      <c r="A3148" s="12">
        <v>1741.0</v>
      </c>
      <c r="B3148" s="17" t="s">
        <v>7727</v>
      </c>
      <c r="C3148" s="17" t="s">
        <v>7728</v>
      </c>
      <c r="D3148" s="17" t="s">
        <v>7729</v>
      </c>
      <c r="E3148" s="16">
        <v>7.5</v>
      </c>
      <c r="F3148" s="7">
        <f t="shared" si="3"/>
        <v>92.5</v>
      </c>
      <c r="G3148" s="17" t="s">
        <v>3113</v>
      </c>
    </row>
    <row r="3149">
      <c r="A3149" s="12">
        <v>1742.0</v>
      </c>
      <c r="B3149" s="17" t="s">
        <v>7730</v>
      </c>
      <c r="C3149" s="17" t="s">
        <v>7731</v>
      </c>
      <c r="D3149" s="17" t="s">
        <v>7732</v>
      </c>
      <c r="E3149" s="16">
        <v>7.5</v>
      </c>
      <c r="F3149" s="7">
        <f t="shared" si="3"/>
        <v>92.5</v>
      </c>
      <c r="G3149" s="17" t="s">
        <v>3113</v>
      </c>
    </row>
    <row r="3150">
      <c r="A3150" s="12">
        <v>1743.0</v>
      </c>
      <c r="B3150" s="17" t="s">
        <v>7730</v>
      </c>
      <c r="C3150" s="17" t="s">
        <v>7733</v>
      </c>
      <c r="D3150" s="17" t="s">
        <v>7734</v>
      </c>
      <c r="E3150" s="16">
        <v>7.5</v>
      </c>
      <c r="F3150" s="7">
        <f t="shared" si="3"/>
        <v>92.5</v>
      </c>
      <c r="G3150" s="17" t="s">
        <v>3113</v>
      </c>
    </row>
    <row r="3151">
      <c r="A3151" s="12">
        <v>1744.0</v>
      </c>
      <c r="B3151" s="17" t="s">
        <v>7735</v>
      </c>
      <c r="C3151" s="17" t="s">
        <v>7736</v>
      </c>
      <c r="D3151" s="17" t="s">
        <v>7737</v>
      </c>
      <c r="E3151" s="16">
        <v>7.5</v>
      </c>
      <c r="F3151" s="7">
        <f t="shared" si="3"/>
        <v>92.5</v>
      </c>
      <c r="G3151" s="17" t="s">
        <v>3113</v>
      </c>
    </row>
    <row r="3152">
      <c r="A3152" s="12">
        <v>1745.0</v>
      </c>
      <c r="B3152" s="17" t="s">
        <v>7738</v>
      </c>
      <c r="C3152" s="17" t="s">
        <v>7739</v>
      </c>
      <c r="D3152" s="17" t="s">
        <v>7740</v>
      </c>
      <c r="E3152" s="16">
        <v>7.5</v>
      </c>
      <c r="F3152" s="7">
        <f t="shared" si="3"/>
        <v>92.5</v>
      </c>
      <c r="G3152" s="17" t="s">
        <v>3113</v>
      </c>
    </row>
    <row r="3153">
      <c r="A3153" s="12">
        <v>1746.0</v>
      </c>
      <c r="B3153" s="17" t="s">
        <v>7741</v>
      </c>
      <c r="C3153" s="17" t="s">
        <v>7742</v>
      </c>
      <c r="D3153" s="17" t="s">
        <v>7743</v>
      </c>
      <c r="E3153" s="16">
        <v>7.5</v>
      </c>
      <c r="F3153" s="7">
        <f t="shared" si="3"/>
        <v>92.5</v>
      </c>
      <c r="G3153" s="17" t="s">
        <v>3113</v>
      </c>
    </row>
    <row r="3154">
      <c r="A3154" s="12">
        <v>1747.0</v>
      </c>
      <c r="B3154" s="17" t="s">
        <v>7744</v>
      </c>
      <c r="C3154" s="17" t="s">
        <v>7745</v>
      </c>
      <c r="D3154" s="17" t="s">
        <v>7746</v>
      </c>
      <c r="E3154" s="16">
        <v>7.5</v>
      </c>
      <c r="F3154" s="7">
        <f t="shared" si="3"/>
        <v>92.5</v>
      </c>
      <c r="G3154" s="17" t="s">
        <v>3113</v>
      </c>
    </row>
    <row r="3155">
      <c r="A3155" s="12">
        <v>1748.0</v>
      </c>
      <c r="B3155" s="17" t="s">
        <v>7747</v>
      </c>
      <c r="C3155" s="17" t="s">
        <v>7748</v>
      </c>
      <c r="D3155" s="17" t="s">
        <v>7749</v>
      </c>
      <c r="E3155" s="16">
        <v>7.5</v>
      </c>
      <c r="F3155" s="7">
        <f t="shared" si="3"/>
        <v>92.5</v>
      </c>
      <c r="G3155" s="17" t="s">
        <v>3113</v>
      </c>
    </row>
    <row r="3156">
      <c r="A3156" s="12">
        <v>1749.0</v>
      </c>
      <c r="B3156" s="17" t="s">
        <v>7750</v>
      </c>
      <c r="C3156" s="17" t="s">
        <v>7751</v>
      </c>
      <c r="D3156" s="17" t="s">
        <v>7752</v>
      </c>
      <c r="E3156" s="16">
        <v>7.5</v>
      </c>
      <c r="F3156" s="7">
        <f t="shared" si="3"/>
        <v>92.5</v>
      </c>
      <c r="G3156" s="17" t="s">
        <v>3113</v>
      </c>
    </row>
    <row r="3157">
      <c r="A3157" s="12">
        <v>1750.0</v>
      </c>
      <c r="B3157" s="17" t="s">
        <v>7753</v>
      </c>
      <c r="C3157" s="17" t="s">
        <v>7754</v>
      </c>
      <c r="D3157" s="17" t="s">
        <v>7755</v>
      </c>
      <c r="E3157" s="16">
        <v>7.5</v>
      </c>
      <c r="F3157" s="7">
        <f t="shared" si="3"/>
        <v>92.5</v>
      </c>
      <c r="G3157" s="17" t="s">
        <v>3113</v>
      </c>
    </row>
    <row r="3158">
      <c r="A3158" s="12">
        <v>1751.0</v>
      </c>
      <c r="B3158" s="17" t="s">
        <v>7756</v>
      </c>
      <c r="C3158" s="17" t="s">
        <v>7757</v>
      </c>
      <c r="D3158" s="17" t="s">
        <v>7758</v>
      </c>
      <c r="E3158" s="16">
        <v>7.5</v>
      </c>
      <c r="F3158" s="7">
        <f t="shared" si="3"/>
        <v>92.5</v>
      </c>
      <c r="G3158" s="17" t="s">
        <v>3113</v>
      </c>
    </row>
    <row r="3159">
      <c r="A3159" s="12">
        <v>1752.0</v>
      </c>
      <c r="B3159" s="17" t="s">
        <v>7759</v>
      </c>
      <c r="C3159" s="17" t="s">
        <v>7760</v>
      </c>
      <c r="D3159" s="17" t="s">
        <v>7761</v>
      </c>
      <c r="E3159" s="16">
        <v>7.5</v>
      </c>
      <c r="F3159" s="7">
        <f t="shared" si="3"/>
        <v>92.5</v>
      </c>
      <c r="G3159" s="17" t="s">
        <v>3113</v>
      </c>
    </row>
    <row r="3160">
      <c r="A3160" s="12">
        <v>1753.0</v>
      </c>
      <c r="B3160" s="17" t="s">
        <v>7762</v>
      </c>
      <c r="C3160" s="17" t="s">
        <v>7763</v>
      </c>
      <c r="D3160" s="17" t="s">
        <v>7764</v>
      </c>
      <c r="E3160" s="16">
        <v>7.5</v>
      </c>
      <c r="F3160" s="7">
        <f t="shared" si="3"/>
        <v>92.5</v>
      </c>
      <c r="G3160" s="17" t="s">
        <v>3113</v>
      </c>
    </row>
    <row r="3161">
      <c r="A3161" s="12">
        <v>1754.0</v>
      </c>
      <c r="B3161" s="17" t="s">
        <v>7765</v>
      </c>
      <c r="C3161" s="17" t="s">
        <v>7766</v>
      </c>
      <c r="D3161" s="17" t="s">
        <v>7767</v>
      </c>
      <c r="E3161" s="16">
        <v>7.5</v>
      </c>
      <c r="F3161" s="7">
        <f t="shared" si="3"/>
        <v>92.5</v>
      </c>
      <c r="G3161" s="17" t="s">
        <v>3113</v>
      </c>
    </row>
    <row r="3162">
      <c r="A3162" s="12">
        <v>1755.0</v>
      </c>
      <c r="B3162" s="17" t="s">
        <v>7768</v>
      </c>
      <c r="C3162" s="17" t="s">
        <v>7769</v>
      </c>
      <c r="D3162" s="17" t="s">
        <v>7770</v>
      </c>
      <c r="E3162" s="16">
        <v>7.5</v>
      </c>
      <c r="F3162" s="7">
        <f t="shared" si="3"/>
        <v>92.5</v>
      </c>
      <c r="G3162" s="17" t="s">
        <v>3113</v>
      </c>
    </row>
    <row r="3163">
      <c r="A3163" s="12">
        <v>1756.0</v>
      </c>
      <c r="B3163" s="17" t="s">
        <v>7771</v>
      </c>
      <c r="C3163" s="17" t="s">
        <v>7772</v>
      </c>
      <c r="D3163" s="17" t="s">
        <v>7773</v>
      </c>
      <c r="E3163" s="16">
        <v>7.5</v>
      </c>
      <c r="F3163" s="7">
        <f t="shared" si="3"/>
        <v>92.5</v>
      </c>
      <c r="G3163" s="17" t="s">
        <v>3113</v>
      </c>
    </row>
    <row r="3164">
      <c r="A3164" s="12">
        <v>1757.0</v>
      </c>
      <c r="B3164" s="17" t="s">
        <v>7774</v>
      </c>
      <c r="C3164" s="17" t="s">
        <v>7775</v>
      </c>
      <c r="D3164" s="17" t="s">
        <v>7776</v>
      </c>
      <c r="E3164" s="16">
        <v>7.5</v>
      </c>
      <c r="F3164" s="7">
        <f t="shared" si="3"/>
        <v>92.5</v>
      </c>
      <c r="G3164" s="17" t="s">
        <v>3113</v>
      </c>
    </row>
    <row r="3165">
      <c r="A3165" s="12">
        <v>1758.0</v>
      </c>
      <c r="B3165" s="17" t="s">
        <v>7777</v>
      </c>
      <c r="C3165" s="17" t="s">
        <v>7778</v>
      </c>
      <c r="D3165" s="17" t="s">
        <v>7779</v>
      </c>
      <c r="E3165" s="16">
        <v>7.5</v>
      </c>
      <c r="F3165" s="7">
        <f t="shared" si="3"/>
        <v>92.5</v>
      </c>
      <c r="G3165" s="17" t="s">
        <v>3113</v>
      </c>
    </row>
    <row r="3166">
      <c r="A3166" s="12">
        <v>1759.0</v>
      </c>
      <c r="B3166" s="17" t="s">
        <v>7780</v>
      </c>
      <c r="C3166" s="17" t="s">
        <v>7781</v>
      </c>
      <c r="D3166" s="17" t="s">
        <v>7782</v>
      </c>
      <c r="E3166" s="16">
        <v>7.5</v>
      </c>
      <c r="F3166" s="7">
        <f t="shared" si="3"/>
        <v>92.5</v>
      </c>
      <c r="G3166" s="17" t="s">
        <v>3113</v>
      </c>
    </row>
    <row r="3167">
      <c r="A3167" s="12">
        <v>1760.0</v>
      </c>
      <c r="B3167" s="17" t="s">
        <v>7783</v>
      </c>
      <c r="C3167" s="17" t="s">
        <v>7784</v>
      </c>
      <c r="D3167" s="17" t="s">
        <v>7785</v>
      </c>
      <c r="E3167" s="16">
        <v>7.5</v>
      </c>
      <c r="F3167" s="7">
        <f t="shared" si="3"/>
        <v>92.5</v>
      </c>
      <c r="G3167" s="17" t="s">
        <v>3113</v>
      </c>
    </row>
    <row r="3168">
      <c r="A3168" s="12">
        <v>1761.0</v>
      </c>
      <c r="B3168" s="17" t="s">
        <v>7786</v>
      </c>
      <c r="C3168" s="17" t="s">
        <v>7787</v>
      </c>
      <c r="D3168" s="17" t="s">
        <v>7788</v>
      </c>
      <c r="E3168" s="16">
        <v>7.5</v>
      </c>
      <c r="F3168" s="7">
        <f t="shared" si="3"/>
        <v>92.5</v>
      </c>
      <c r="G3168" s="17" t="s">
        <v>3113</v>
      </c>
    </row>
    <row r="3169">
      <c r="A3169" s="12">
        <v>1762.0</v>
      </c>
      <c r="B3169" s="17" t="s">
        <v>7789</v>
      </c>
      <c r="C3169" s="17" t="s">
        <v>7790</v>
      </c>
      <c r="D3169" s="17" t="s">
        <v>7791</v>
      </c>
      <c r="E3169" s="16">
        <v>7.5</v>
      </c>
      <c r="F3169" s="7">
        <f t="shared" si="3"/>
        <v>92.5</v>
      </c>
      <c r="G3169" s="17" t="s">
        <v>3113</v>
      </c>
    </row>
    <row r="3170">
      <c r="A3170" s="12">
        <v>1763.0</v>
      </c>
      <c r="B3170" s="17" t="s">
        <v>7792</v>
      </c>
      <c r="C3170" s="17" t="s">
        <v>7793</v>
      </c>
      <c r="D3170" s="17" t="s">
        <v>7794</v>
      </c>
      <c r="E3170" s="16">
        <v>7.5</v>
      </c>
      <c r="F3170" s="7">
        <f t="shared" si="3"/>
        <v>92.5</v>
      </c>
      <c r="G3170" s="17" t="s">
        <v>3113</v>
      </c>
    </row>
    <row r="3171">
      <c r="A3171" s="12">
        <v>1764.0</v>
      </c>
      <c r="B3171" s="17" t="s">
        <v>7795</v>
      </c>
      <c r="C3171" s="17" t="s">
        <v>7796</v>
      </c>
      <c r="D3171" s="17" t="s">
        <v>7797</v>
      </c>
      <c r="E3171" s="16">
        <v>7.5</v>
      </c>
      <c r="F3171" s="7">
        <f t="shared" si="3"/>
        <v>92.5</v>
      </c>
      <c r="G3171" s="17" t="s">
        <v>3113</v>
      </c>
    </row>
    <row r="3172">
      <c r="A3172" s="12">
        <v>1765.0</v>
      </c>
      <c r="B3172" s="17" t="s">
        <v>7798</v>
      </c>
      <c r="C3172" s="17" t="s">
        <v>7799</v>
      </c>
      <c r="D3172" s="17" t="s">
        <v>7800</v>
      </c>
      <c r="E3172" s="16">
        <v>7.5</v>
      </c>
      <c r="F3172" s="7">
        <f t="shared" si="3"/>
        <v>92.5</v>
      </c>
      <c r="G3172" s="17" t="s">
        <v>3113</v>
      </c>
    </row>
    <row r="3173">
      <c r="A3173" s="12">
        <v>1766.0</v>
      </c>
      <c r="B3173" s="17" t="s">
        <v>7798</v>
      </c>
      <c r="C3173" s="17" t="s">
        <v>7801</v>
      </c>
      <c r="D3173" s="17" t="s">
        <v>7802</v>
      </c>
      <c r="E3173" s="16">
        <v>7.5</v>
      </c>
      <c r="F3173" s="7">
        <f t="shared" si="3"/>
        <v>92.5</v>
      </c>
      <c r="G3173" s="17" t="s">
        <v>3113</v>
      </c>
    </row>
    <row r="3174">
      <c r="A3174" s="12">
        <v>1767.0</v>
      </c>
      <c r="B3174" s="17" t="s">
        <v>7803</v>
      </c>
      <c r="C3174" s="17" t="s">
        <v>7804</v>
      </c>
      <c r="D3174" s="17" t="s">
        <v>7805</v>
      </c>
      <c r="E3174" s="16">
        <v>7.5</v>
      </c>
      <c r="F3174" s="7">
        <f t="shared" si="3"/>
        <v>92.5</v>
      </c>
      <c r="G3174" s="17" t="s">
        <v>3113</v>
      </c>
    </row>
    <row r="3175">
      <c r="A3175" s="12">
        <v>1768.0</v>
      </c>
      <c r="B3175" s="17" t="s">
        <v>7806</v>
      </c>
      <c r="C3175" s="17" t="s">
        <v>7807</v>
      </c>
      <c r="D3175" s="17" t="s">
        <v>7808</v>
      </c>
      <c r="E3175" s="16">
        <v>7.5</v>
      </c>
      <c r="F3175" s="7">
        <f t="shared" si="3"/>
        <v>92.5</v>
      </c>
      <c r="G3175" s="17" t="s">
        <v>3113</v>
      </c>
    </row>
    <row r="3176">
      <c r="A3176" s="12">
        <v>1769.0</v>
      </c>
      <c r="B3176" s="17" t="s">
        <v>7809</v>
      </c>
      <c r="C3176" s="17" t="s">
        <v>7810</v>
      </c>
      <c r="D3176" s="17" t="s">
        <v>7811</v>
      </c>
      <c r="E3176" s="16">
        <v>7.5</v>
      </c>
      <c r="F3176" s="7">
        <f t="shared" si="3"/>
        <v>92.5</v>
      </c>
      <c r="G3176" s="17" t="s">
        <v>3113</v>
      </c>
    </row>
    <row r="3177">
      <c r="A3177" s="12">
        <v>1770.0</v>
      </c>
      <c r="B3177" s="17" t="s">
        <v>7812</v>
      </c>
      <c r="C3177" s="17" t="s">
        <v>7813</v>
      </c>
      <c r="D3177" s="17" t="s">
        <v>7814</v>
      </c>
      <c r="E3177" s="16">
        <v>7.5</v>
      </c>
      <c r="F3177" s="7">
        <f t="shared" si="3"/>
        <v>92.5</v>
      </c>
      <c r="G3177" s="17" t="s">
        <v>3113</v>
      </c>
    </row>
    <row r="3178">
      <c r="A3178" s="12">
        <v>1771.0</v>
      </c>
      <c r="B3178" s="17" t="s">
        <v>7812</v>
      </c>
      <c r="C3178" s="17" t="s">
        <v>7815</v>
      </c>
      <c r="D3178" s="17" t="s">
        <v>7816</v>
      </c>
      <c r="E3178" s="16">
        <v>7.5</v>
      </c>
      <c r="F3178" s="7">
        <f t="shared" si="3"/>
        <v>92.5</v>
      </c>
      <c r="G3178" s="17" t="s">
        <v>3113</v>
      </c>
    </row>
    <row r="3179">
      <c r="A3179" s="12">
        <v>1772.0</v>
      </c>
      <c r="B3179" s="17" t="s">
        <v>7817</v>
      </c>
      <c r="C3179" s="17" t="s">
        <v>7818</v>
      </c>
      <c r="D3179" s="17" t="s">
        <v>7819</v>
      </c>
      <c r="E3179" s="16">
        <v>7.5</v>
      </c>
      <c r="F3179" s="7">
        <f t="shared" si="3"/>
        <v>92.5</v>
      </c>
      <c r="G3179" s="17" t="s">
        <v>3113</v>
      </c>
    </row>
    <row r="3180">
      <c r="A3180" s="12">
        <v>1773.0</v>
      </c>
      <c r="B3180" s="17" t="s">
        <v>7820</v>
      </c>
      <c r="C3180" s="17" t="s">
        <v>7821</v>
      </c>
      <c r="D3180" s="17" t="s">
        <v>7822</v>
      </c>
      <c r="E3180" s="16">
        <v>7.5</v>
      </c>
      <c r="F3180" s="7">
        <f t="shared" si="3"/>
        <v>92.5</v>
      </c>
      <c r="G3180" s="17" t="s">
        <v>3113</v>
      </c>
    </row>
    <row r="3181">
      <c r="A3181" s="12">
        <v>1774.0</v>
      </c>
      <c r="B3181" s="17" t="s">
        <v>7823</v>
      </c>
      <c r="C3181" s="17" t="s">
        <v>7824</v>
      </c>
      <c r="D3181" s="17" t="s">
        <v>7825</v>
      </c>
      <c r="E3181" s="16">
        <v>7.5</v>
      </c>
      <c r="F3181" s="7">
        <f t="shared" si="3"/>
        <v>92.5</v>
      </c>
      <c r="G3181" s="17" t="s">
        <v>3113</v>
      </c>
    </row>
    <row r="3182">
      <c r="A3182" s="12">
        <v>1775.0</v>
      </c>
      <c r="B3182" s="17" t="s">
        <v>7823</v>
      </c>
      <c r="C3182" s="17" t="s">
        <v>7826</v>
      </c>
      <c r="D3182" s="17" t="s">
        <v>7827</v>
      </c>
      <c r="E3182" s="16">
        <v>7.5</v>
      </c>
      <c r="F3182" s="7">
        <f t="shared" si="3"/>
        <v>92.5</v>
      </c>
      <c r="G3182" s="17" t="s">
        <v>3113</v>
      </c>
    </row>
    <row r="3183">
      <c r="A3183" s="12">
        <v>1776.0</v>
      </c>
      <c r="B3183" s="17" t="s">
        <v>7828</v>
      </c>
      <c r="C3183" s="17" t="s">
        <v>7829</v>
      </c>
      <c r="D3183" s="17" t="s">
        <v>7830</v>
      </c>
      <c r="E3183" s="16">
        <v>7.5</v>
      </c>
      <c r="F3183" s="7">
        <f t="shared" si="3"/>
        <v>92.5</v>
      </c>
      <c r="G3183" s="17" t="s">
        <v>3113</v>
      </c>
    </row>
    <row r="3184">
      <c r="A3184" s="12">
        <v>1777.0</v>
      </c>
      <c r="B3184" s="17" t="s">
        <v>7828</v>
      </c>
      <c r="C3184" s="17" t="s">
        <v>7831</v>
      </c>
      <c r="D3184" s="17" t="s">
        <v>7832</v>
      </c>
      <c r="E3184" s="16">
        <v>7.5</v>
      </c>
      <c r="F3184" s="7">
        <f t="shared" si="3"/>
        <v>92.5</v>
      </c>
      <c r="G3184" s="17" t="s">
        <v>3113</v>
      </c>
    </row>
    <row r="3185">
      <c r="A3185" s="12">
        <v>1778.0</v>
      </c>
      <c r="B3185" s="17" t="s">
        <v>7833</v>
      </c>
      <c r="C3185" s="17" t="s">
        <v>7834</v>
      </c>
      <c r="D3185" s="17" t="s">
        <v>7835</v>
      </c>
      <c r="E3185" s="16">
        <v>7.5</v>
      </c>
      <c r="F3185" s="7">
        <f t="shared" si="3"/>
        <v>92.5</v>
      </c>
      <c r="G3185" s="17" t="s">
        <v>3113</v>
      </c>
    </row>
    <row r="3186">
      <c r="A3186" s="12">
        <v>1779.0</v>
      </c>
      <c r="B3186" s="17" t="s">
        <v>7836</v>
      </c>
      <c r="C3186" s="17" t="s">
        <v>7837</v>
      </c>
      <c r="D3186" s="17" t="s">
        <v>7838</v>
      </c>
      <c r="E3186" s="16">
        <v>7.5</v>
      </c>
      <c r="F3186" s="7">
        <f t="shared" si="3"/>
        <v>92.5</v>
      </c>
      <c r="G3186" s="17" t="s">
        <v>3113</v>
      </c>
    </row>
    <row r="3187">
      <c r="A3187" s="12">
        <v>1780.0</v>
      </c>
      <c r="B3187" s="17" t="s">
        <v>7839</v>
      </c>
      <c r="C3187" s="17" t="s">
        <v>7840</v>
      </c>
      <c r="D3187" s="17" t="s">
        <v>7841</v>
      </c>
      <c r="E3187" s="16">
        <v>7.5</v>
      </c>
      <c r="F3187" s="7">
        <f t="shared" si="3"/>
        <v>92.5</v>
      </c>
      <c r="G3187" s="17" t="s">
        <v>3113</v>
      </c>
    </row>
    <row r="3188">
      <c r="A3188" s="12">
        <v>1781.0</v>
      </c>
      <c r="B3188" s="17" t="s">
        <v>7842</v>
      </c>
      <c r="C3188" s="17" t="s">
        <v>7843</v>
      </c>
      <c r="D3188" s="17" t="s">
        <v>7844</v>
      </c>
      <c r="E3188" s="16">
        <v>7.5</v>
      </c>
      <c r="F3188" s="7">
        <f t="shared" si="3"/>
        <v>92.5</v>
      </c>
      <c r="G3188" s="17" t="s">
        <v>3113</v>
      </c>
    </row>
    <row r="3189">
      <c r="A3189" s="12">
        <v>1782.0</v>
      </c>
      <c r="B3189" s="17" t="s">
        <v>7842</v>
      </c>
      <c r="C3189" s="17" t="s">
        <v>7845</v>
      </c>
      <c r="D3189" s="17" t="s">
        <v>7846</v>
      </c>
      <c r="E3189" s="16">
        <v>7.5</v>
      </c>
      <c r="F3189" s="7">
        <f t="shared" si="3"/>
        <v>92.5</v>
      </c>
      <c r="G3189" s="17" t="s">
        <v>3113</v>
      </c>
    </row>
    <row r="3190">
      <c r="A3190" s="12">
        <v>1783.0</v>
      </c>
      <c r="B3190" s="17" t="s">
        <v>7847</v>
      </c>
      <c r="C3190" s="17" t="s">
        <v>7848</v>
      </c>
      <c r="D3190" s="17" t="s">
        <v>7849</v>
      </c>
      <c r="E3190" s="16">
        <v>7.5</v>
      </c>
      <c r="F3190" s="7">
        <f t="shared" si="3"/>
        <v>92.5</v>
      </c>
      <c r="G3190" s="17" t="s">
        <v>3113</v>
      </c>
    </row>
    <row r="3191">
      <c r="A3191" s="12">
        <v>1784.0</v>
      </c>
      <c r="B3191" s="17" t="s">
        <v>7850</v>
      </c>
      <c r="C3191" s="17" t="s">
        <v>7851</v>
      </c>
      <c r="D3191" s="17" t="s">
        <v>7852</v>
      </c>
      <c r="E3191" s="16">
        <v>7.5</v>
      </c>
      <c r="F3191" s="7">
        <f t="shared" si="3"/>
        <v>92.5</v>
      </c>
      <c r="G3191" s="17" t="s">
        <v>3113</v>
      </c>
    </row>
    <row r="3192">
      <c r="A3192" s="12">
        <v>1785.0</v>
      </c>
      <c r="B3192" s="17" t="s">
        <v>7853</v>
      </c>
      <c r="C3192" s="17" t="s">
        <v>7854</v>
      </c>
      <c r="D3192" s="17" t="s">
        <v>7855</v>
      </c>
      <c r="E3192" s="16">
        <v>7.5</v>
      </c>
      <c r="F3192" s="7">
        <f t="shared" si="3"/>
        <v>92.5</v>
      </c>
      <c r="G3192" s="17" t="s">
        <v>3113</v>
      </c>
    </row>
    <row r="3193">
      <c r="A3193" s="12">
        <v>1786.0</v>
      </c>
      <c r="B3193" s="17" t="s">
        <v>7856</v>
      </c>
      <c r="C3193" s="17" t="s">
        <v>7857</v>
      </c>
      <c r="D3193" s="17" t="s">
        <v>7858</v>
      </c>
      <c r="E3193" s="16">
        <v>7.5</v>
      </c>
      <c r="F3193" s="7">
        <f t="shared" si="3"/>
        <v>92.5</v>
      </c>
      <c r="G3193" s="17" t="s">
        <v>3113</v>
      </c>
    </row>
    <row r="3194">
      <c r="A3194" s="12">
        <v>1787.0</v>
      </c>
      <c r="B3194" s="17" t="s">
        <v>7859</v>
      </c>
      <c r="C3194" s="17" t="s">
        <v>7860</v>
      </c>
      <c r="D3194" s="17" t="s">
        <v>7861</v>
      </c>
      <c r="E3194" s="16">
        <v>7.5</v>
      </c>
      <c r="F3194" s="7">
        <f t="shared" si="3"/>
        <v>92.5</v>
      </c>
      <c r="G3194" s="17" t="s">
        <v>3113</v>
      </c>
    </row>
    <row r="3195">
      <c r="A3195" s="12">
        <v>1788.0</v>
      </c>
      <c r="B3195" s="17" t="s">
        <v>7859</v>
      </c>
      <c r="C3195" s="17" t="s">
        <v>7862</v>
      </c>
      <c r="D3195" s="17" t="s">
        <v>7863</v>
      </c>
      <c r="E3195" s="16">
        <v>7.5</v>
      </c>
      <c r="F3195" s="7">
        <f t="shared" si="3"/>
        <v>92.5</v>
      </c>
      <c r="G3195" s="17" t="s">
        <v>3113</v>
      </c>
    </row>
    <row r="3196">
      <c r="A3196" s="12">
        <v>1789.0</v>
      </c>
      <c r="B3196" s="17" t="s">
        <v>7864</v>
      </c>
      <c r="C3196" s="17" t="s">
        <v>7865</v>
      </c>
      <c r="D3196" s="17" t="s">
        <v>7866</v>
      </c>
      <c r="E3196" s="16">
        <v>7.5</v>
      </c>
      <c r="F3196" s="7">
        <f t="shared" si="3"/>
        <v>92.5</v>
      </c>
      <c r="G3196" s="17" t="s">
        <v>3113</v>
      </c>
    </row>
    <row r="3197">
      <c r="A3197" s="12">
        <v>1790.0</v>
      </c>
      <c r="B3197" s="17" t="s">
        <v>7867</v>
      </c>
      <c r="C3197" s="17" t="s">
        <v>7868</v>
      </c>
      <c r="D3197" s="17" t="s">
        <v>7869</v>
      </c>
      <c r="E3197" s="16">
        <v>7.5</v>
      </c>
      <c r="F3197" s="7">
        <f t="shared" si="3"/>
        <v>92.5</v>
      </c>
      <c r="G3197" s="17" t="s">
        <v>3113</v>
      </c>
    </row>
    <row r="3198">
      <c r="A3198" s="12">
        <v>1791.0</v>
      </c>
      <c r="B3198" s="17" t="s">
        <v>7870</v>
      </c>
      <c r="C3198" s="17" t="s">
        <v>7871</v>
      </c>
      <c r="D3198" s="17" t="s">
        <v>7872</v>
      </c>
      <c r="E3198" s="16">
        <v>7.5</v>
      </c>
      <c r="F3198" s="7">
        <f t="shared" si="3"/>
        <v>92.5</v>
      </c>
      <c r="G3198" s="17" t="s">
        <v>3113</v>
      </c>
    </row>
    <row r="3199">
      <c r="A3199" s="12">
        <v>1792.0</v>
      </c>
      <c r="B3199" s="17" t="s">
        <v>7873</v>
      </c>
      <c r="C3199" s="17" t="s">
        <v>7874</v>
      </c>
      <c r="D3199" s="17" t="s">
        <v>7875</v>
      </c>
      <c r="E3199" s="16">
        <v>7.5</v>
      </c>
      <c r="F3199" s="7">
        <f t="shared" si="3"/>
        <v>92.5</v>
      </c>
      <c r="G3199" s="17" t="s">
        <v>3113</v>
      </c>
    </row>
    <row r="3200">
      <c r="A3200" s="12">
        <v>1793.0</v>
      </c>
      <c r="B3200" s="17" t="s">
        <v>7876</v>
      </c>
      <c r="C3200" s="17" t="s">
        <v>7877</v>
      </c>
      <c r="D3200" s="17" t="s">
        <v>7878</v>
      </c>
      <c r="E3200" s="16">
        <v>7.5</v>
      </c>
      <c r="F3200" s="7">
        <f t="shared" si="3"/>
        <v>92.5</v>
      </c>
      <c r="G3200" s="17" t="s">
        <v>3113</v>
      </c>
    </row>
    <row r="3201">
      <c r="A3201" s="12">
        <v>1794.0</v>
      </c>
      <c r="B3201" s="17" t="s">
        <v>7879</v>
      </c>
      <c r="C3201" s="17" t="s">
        <v>7880</v>
      </c>
      <c r="D3201" s="17" t="s">
        <v>7881</v>
      </c>
      <c r="E3201" s="16">
        <v>7.5</v>
      </c>
      <c r="F3201" s="7">
        <f t="shared" si="3"/>
        <v>92.5</v>
      </c>
      <c r="G3201" s="17" t="s">
        <v>3113</v>
      </c>
    </row>
    <row r="3202">
      <c r="A3202" s="12">
        <v>1795.0</v>
      </c>
      <c r="B3202" s="17" t="s">
        <v>7882</v>
      </c>
      <c r="C3202" s="17" t="s">
        <v>7883</v>
      </c>
      <c r="D3202" s="17" t="s">
        <v>7884</v>
      </c>
      <c r="E3202" s="16">
        <v>7.5</v>
      </c>
      <c r="F3202" s="7">
        <f t="shared" si="3"/>
        <v>92.5</v>
      </c>
      <c r="G3202" s="17" t="s">
        <v>3113</v>
      </c>
    </row>
    <row r="3203">
      <c r="A3203" s="12">
        <v>1796.0</v>
      </c>
      <c r="B3203" s="17" t="s">
        <v>7885</v>
      </c>
      <c r="C3203" s="17" t="s">
        <v>7886</v>
      </c>
      <c r="D3203" s="17" t="s">
        <v>7887</v>
      </c>
      <c r="E3203" s="16">
        <v>7.5</v>
      </c>
      <c r="F3203" s="7">
        <f t="shared" si="3"/>
        <v>92.5</v>
      </c>
      <c r="G3203" s="17" t="s">
        <v>3113</v>
      </c>
    </row>
    <row r="3204">
      <c r="A3204" s="12">
        <v>1797.0</v>
      </c>
      <c r="B3204" s="17" t="s">
        <v>7888</v>
      </c>
      <c r="C3204" s="17" t="s">
        <v>7889</v>
      </c>
      <c r="D3204" s="17" t="s">
        <v>7890</v>
      </c>
      <c r="E3204" s="16">
        <v>7.5</v>
      </c>
      <c r="F3204" s="7">
        <f t="shared" si="3"/>
        <v>92.5</v>
      </c>
      <c r="G3204" s="17" t="s">
        <v>3113</v>
      </c>
    </row>
    <row r="3205">
      <c r="A3205" s="12">
        <v>1798.0</v>
      </c>
      <c r="B3205" s="17" t="s">
        <v>7891</v>
      </c>
      <c r="C3205" s="17" t="s">
        <v>7892</v>
      </c>
      <c r="D3205" s="17" t="s">
        <v>7893</v>
      </c>
      <c r="E3205" s="16">
        <v>7.5</v>
      </c>
      <c r="F3205" s="7">
        <f t="shared" si="3"/>
        <v>92.5</v>
      </c>
      <c r="G3205" s="17" t="s">
        <v>3113</v>
      </c>
    </row>
    <row r="3206">
      <c r="A3206" s="12">
        <v>1799.0</v>
      </c>
      <c r="B3206" s="17" t="s">
        <v>7891</v>
      </c>
      <c r="C3206" s="17" t="s">
        <v>7894</v>
      </c>
      <c r="D3206" s="17" t="s">
        <v>7895</v>
      </c>
      <c r="E3206" s="16">
        <v>7.5</v>
      </c>
      <c r="F3206" s="7">
        <f t="shared" si="3"/>
        <v>92.5</v>
      </c>
      <c r="G3206" s="17" t="s">
        <v>3113</v>
      </c>
    </row>
    <row r="3207">
      <c r="A3207" s="12">
        <v>1800.0</v>
      </c>
      <c r="B3207" s="17" t="s">
        <v>7896</v>
      </c>
      <c r="C3207" s="17" t="s">
        <v>7897</v>
      </c>
      <c r="D3207" s="17" t="s">
        <v>7898</v>
      </c>
      <c r="E3207" s="16">
        <v>7.5</v>
      </c>
      <c r="F3207" s="7">
        <f t="shared" si="3"/>
        <v>92.5</v>
      </c>
      <c r="G3207" s="17" t="s">
        <v>3113</v>
      </c>
    </row>
    <row r="3208">
      <c r="A3208" s="12">
        <v>1801.0</v>
      </c>
      <c r="B3208" s="17" t="s">
        <v>7896</v>
      </c>
      <c r="C3208" s="17" t="s">
        <v>7899</v>
      </c>
      <c r="D3208" s="17" t="s">
        <v>7900</v>
      </c>
      <c r="E3208" s="16">
        <v>7.5</v>
      </c>
      <c r="F3208" s="7">
        <f t="shared" si="3"/>
        <v>92.5</v>
      </c>
      <c r="G3208" s="17" t="s">
        <v>3113</v>
      </c>
    </row>
    <row r="3209">
      <c r="A3209" s="12">
        <v>1802.0</v>
      </c>
      <c r="B3209" s="17" t="s">
        <v>7901</v>
      </c>
      <c r="C3209" s="17" t="s">
        <v>7902</v>
      </c>
      <c r="D3209" s="17" t="s">
        <v>7903</v>
      </c>
      <c r="E3209" s="16">
        <v>7.5</v>
      </c>
      <c r="F3209" s="7">
        <f t="shared" si="3"/>
        <v>92.5</v>
      </c>
      <c r="G3209" s="17" t="s">
        <v>3113</v>
      </c>
    </row>
    <row r="3210">
      <c r="A3210" s="12">
        <v>1803.0</v>
      </c>
      <c r="B3210" s="17" t="s">
        <v>7904</v>
      </c>
      <c r="C3210" s="17" t="s">
        <v>7905</v>
      </c>
      <c r="D3210" s="17" t="s">
        <v>7906</v>
      </c>
      <c r="E3210" s="16">
        <v>7.5</v>
      </c>
      <c r="F3210" s="7">
        <f t="shared" si="3"/>
        <v>92.5</v>
      </c>
      <c r="G3210" s="17" t="s">
        <v>3113</v>
      </c>
    </row>
    <row r="3211">
      <c r="A3211" s="12">
        <v>1804.0</v>
      </c>
      <c r="B3211" s="17" t="s">
        <v>7907</v>
      </c>
      <c r="C3211" s="17" t="s">
        <v>7908</v>
      </c>
      <c r="D3211" s="17" t="s">
        <v>7909</v>
      </c>
      <c r="E3211" s="16">
        <v>7.5</v>
      </c>
      <c r="F3211" s="7">
        <f t="shared" si="3"/>
        <v>92.5</v>
      </c>
      <c r="G3211" s="17" t="s">
        <v>3113</v>
      </c>
    </row>
    <row r="3212">
      <c r="A3212" s="12">
        <v>1805.0</v>
      </c>
      <c r="B3212" s="17" t="s">
        <v>7907</v>
      </c>
      <c r="C3212" s="17" t="s">
        <v>7910</v>
      </c>
      <c r="D3212" s="17" t="s">
        <v>7911</v>
      </c>
      <c r="E3212" s="16">
        <v>7.5</v>
      </c>
      <c r="F3212" s="7">
        <f t="shared" si="3"/>
        <v>92.5</v>
      </c>
      <c r="G3212" s="17" t="s">
        <v>3113</v>
      </c>
    </row>
    <row r="3213">
      <c r="A3213" s="12">
        <v>1806.0</v>
      </c>
      <c r="B3213" s="17" t="s">
        <v>7912</v>
      </c>
      <c r="C3213" s="17" t="s">
        <v>7913</v>
      </c>
      <c r="D3213" s="17" t="s">
        <v>7914</v>
      </c>
      <c r="E3213" s="16">
        <v>7.5</v>
      </c>
      <c r="F3213" s="7">
        <f t="shared" si="3"/>
        <v>92.5</v>
      </c>
      <c r="G3213" s="17" t="s">
        <v>3113</v>
      </c>
    </row>
    <row r="3214">
      <c r="A3214" s="12">
        <v>1807.0</v>
      </c>
      <c r="B3214" s="17" t="s">
        <v>7915</v>
      </c>
      <c r="C3214" s="17" t="s">
        <v>7916</v>
      </c>
      <c r="D3214" s="17" t="s">
        <v>7917</v>
      </c>
      <c r="E3214" s="16">
        <v>7.5</v>
      </c>
      <c r="F3214" s="7">
        <f t="shared" si="3"/>
        <v>92.5</v>
      </c>
      <c r="G3214" s="17" t="s">
        <v>3113</v>
      </c>
    </row>
    <row r="3215">
      <c r="A3215" s="12">
        <v>1808.0</v>
      </c>
      <c r="B3215" s="17" t="s">
        <v>7918</v>
      </c>
      <c r="C3215" s="17" t="s">
        <v>7919</v>
      </c>
      <c r="D3215" s="17" t="s">
        <v>7920</v>
      </c>
      <c r="E3215" s="16">
        <v>7.5</v>
      </c>
      <c r="F3215" s="7">
        <f t="shared" si="3"/>
        <v>92.5</v>
      </c>
      <c r="G3215" s="17" t="s">
        <v>3113</v>
      </c>
    </row>
    <row r="3216">
      <c r="A3216" s="12">
        <v>1809.0</v>
      </c>
      <c r="B3216" s="17" t="s">
        <v>7921</v>
      </c>
      <c r="C3216" s="17" t="s">
        <v>7922</v>
      </c>
      <c r="D3216" s="17" t="s">
        <v>7923</v>
      </c>
      <c r="E3216" s="16">
        <v>7.5</v>
      </c>
      <c r="F3216" s="7">
        <f t="shared" si="3"/>
        <v>92.5</v>
      </c>
      <c r="G3216" s="17" t="s">
        <v>3113</v>
      </c>
    </row>
    <row r="3217">
      <c r="A3217" s="12">
        <v>1810.0</v>
      </c>
      <c r="B3217" s="17" t="s">
        <v>7924</v>
      </c>
      <c r="C3217" s="17" t="s">
        <v>7925</v>
      </c>
      <c r="D3217" s="17" t="s">
        <v>7926</v>
      </c>
      <c r="E3217" s="16">
        <v>7.5</v>
      </c>
      <c r="F3217" s="7">
        <f t="shared" si="3"/>
        <v>92.5</v>
      </c>
      <c r="G3217" s="17" t="s">
        <v>3113</v>
      </c>
    </row>
    <row r="3218">
      <c r="A3218" s="12">
        <v>1811.0</v>
      </c>
      <c r="B3218" s="17" t="s">
        <v>7927</v>
      </c>
      <c r="C3218" s="17" t="s">
        <v>7928</v>
      </c>
      <c r="D3218" s="17" t="s">
        <v>7929</v>
      </c>
      <c r="E3218" s="16">
        <v>7.5</v>
      </c>
      <c r="F3218" s="7">
        <f t="shared" si="3"/>
        <v>92.5</v>
      </c>
      <c r="G3218" s="17" t="s">
        <v>3113</v>
      </c>
    </row>
    <row r="3219">
      <c r="A3219" s="12">
        <v>1812.0</v>
      </c>
      <c r="B3219" s="17" t="s">
        <v>7930</v>
      </c>
      <c r="C3219" s="17" t="s">
        <v>7931</v>
      </c>
      <c r="D3219" s="17" t="s">
        <v>7932</v>
      </c>
      <c r="E3219" s="16">
        <v>7.5</v>
      </c>
      <c r="F3219" s="7">
        <f t="shared" si="3"/>
        <v>92.5</v>
      </c>
      <c r="G3219" s="17" t="s">
        <v>3113</v>
      </c>
    </row>
    <row r="3220">
      <c r="A3220" s="12">
        <v>1813.0</v>
      </c>
      <c r="B3220" s="17" t="s">
        <v>7933</v>
      </c>
      <c r="C3220" s="17" t="s">
        <v>7934</v>
      </c>
      <c r="D3220" s="17" t="s">
        <v>7935</v>
      </c>
      <c r="E3220" s="16">
        <v>7.5</v>
      </c>
      <c r="F3220" s="7">
        <f t="shared" si="3"/>
        <v>92.5</v>
      </c>
      <c r="G3220" s="17" t="s">
        <v>3113</v>
      </c>
    </row>
    <row r="3221">
      <c r="A3221" s="12">
        <v>1814.0</v>
      </c>
      <c r="B3221" s="17" t="s">
        <v>7936</v>
      </c>
      <c r="C3221" s="17" t="s">
        <v>7937</v>
      </c>
      <c r="D3221" s="17" t="s">
        <v>7932</v>
      </c>
      <c r="E3221" s="16">
        <v>7.5</v>
      </c>
      <c r="F3221" s="7">
        <f t="shared" si="3"/>
        <v>92.5</v>
      </c>
      <c r="G3221" s="17" t="s">
        <v>3113</v>
      </c>
    </row>
    <row r="3222">
      <c r="A3222" s="12">
        <v>1815.0</v>
      </c>
      <c r="B3222" s="17" t="s">
        <v>7938</v>
      </c>
      <c r="C3222" s="17" t="s">
        <v>7939</v>
      </c>
      <c r="D3222" s="17" t="s">
        <v>7940</v>
      </c>
      <c r="E3222" s="16">
        <v>7.5</v>
      </c>
      <c r="F3222" s="7">
        <f t="shared" si="3"/>
        <v>92.5</v>
      </c>
      <c r="G3222" s="17" t="s">
        <v>3113</v>
      </c>
    </row>
    <row r="3223">
      <c r="A3223" s="12">
        <v>1816.0</v>
      </c>
      <c r="B3223" s="17" t="s">
        <v>7941</v>
      </c>
      <c r="C3223" s="17" t="s">
        <v>7942</v>
      </c>
      <c r="D3223" s="17" t="s">
        <v>7943</v>
      </c>
      <c r="E3223" s="16">
        <v>7.5</v>
      </c>
      <c r="F3223" s="7">
        <f t="shared" si="3"/>
        <v>92.5</v>
      </c>
      <c r="G3223" s="17" t="s">
        <v>3113</v>
      </c>
    </row>
    <row r="3224">
      <c r="A3224" s="12">
        <v>1817.0</v>
      </c>
      <c r="B3224" s="17" t="s">
        <v>7944</v>
      </c>
      <c r="C3224" s="17" t="s">
        <v>7945</v>
      </c>
      <c r="D3224" s="17" t="s">
        <v>7940</v>
      </c>
      <c r="E3224" s="16">
        <v>7.5</v>
      </c>
      <c r="F3224" s="7">
        <f t="shared" si="3"/>
        <v>92.5</v>
      </c>
      <c r="G3224" s="17" t="s">
        <v>3113</v>
      </c>
    </row>
    <row r="3225">
      <c r="A3225" s="12">
        <v>1818.0</v>
      </c>
      <c r="B3225" s="17" t="s">
        <v>7946</v>
      </c>
      <c r="C3225" s="17" t="s">
        <v>7947</v>
      </c>
      <c r="D3225" s="17" t="s">
        <v>7948</v>
      </c>
      <c r="E3225" s="16">
        <v>7.5</v>
      </c>
      <c r="F3225" s="7">
        <f t="shared" si="3"/>
        <v>92.5</v>
      </c>
      <c r="G3225" s="17" t="s">
        <v>3113</v>
      </c>
    </row>
    <row r="3226">
      <c r="A3226" s="12">
        <v>1819.0</v>
      </c>
      <c r="B3226" s="17" t="s">
        <v>7949</v>
      </c>
      <c r="C3226" s="17" t="s">
        <v>7950</v>
      </c>
      <c r="D3226" s="17" t="s">
        <v>7951</v>
      </c>
      <c r="E3226" s="16">
        <v>7.5</v>
      </c>
      <c r="F3226" s="7">
        <f t="shared" si="3"/>
        <v>92.5</v>
      </c>
      <c r="G3226" s="17" t="s">
        <v>3113</v>
      </c>
    </row>
    <row r="3227">
      <c r="A3227" s="12">
        <v>1820.0</v>
      </c>
      <c r="B3227" s="17" t="s">
        <v>7952</v>
      </c>
      <c r="C3227" s="17" t="s">
        <v>7953</v>
      </c>
      <c r="D3227" s="17" t="s">
        <v>7954</v>
      </c>
      <c r="E3227" s="16">
        <v>7.5</v>
      </c>
      <c r="F3227" s="7">
        <f t="shared" si="3"/>
        <v>92.5</v>
      </c>
      <c r="G3227" s="17" t="s">
        <v>3113</v>
      </c>
    </row>
    <row r="3228">
      <c r="A3228" s="12">
        <v>1821.0</v>
      </c>
      <c r="B3228" s="17" t="s">
        <v>7955</v>
      </c>
      <c r="C3228" s="17" t="s">
        <v>7956</v>
      </c>
      <c r="D3228" s="17" t="s">
        <v>7957</v>
      </c>
      <c r="E3228" s="16">
        <v>7.5</v>
      </c>
      <c r="F3228" s="7">
        <f t="shared" si="3"/>
        <v>92.5</v>
      </c>
      <c r="G3228" s="17" t="s">
        <v>3113</v>
      </c>
    </row>
    <row r="3229">
      <c r="A3229" s="12">
        <v>1822.0</v>
      </c>
      <c r="B3229" s="17" t="s">
        <v>7958</v>
      </c>
      <c r="C3229" s="17" t="s">
        <v>7959</v>
      </c>
      <c r="D3229" s="17" t="s">
        <v>7960</v>
      </c>
      <c r="E3229" s="16">
        <v>7.5</v>
      </c>
      <c r="F3229" s="7">
        <f t="shared" si="3"/>
        <v>92.5</v>
      </c>
      <c r="G3229" s="17" t="s">
        <v>3113</v>
      </c>
    </row>
    <row r="3230">
      <c r="A3230" s="12">
        <v>1823.0</v>
      </c>
      <c r="B3230" s="17" t="s">
        <v>7961</v>
      </c>
      <c r="C3230" s="17" t="s">
        <v>7962</v>
      </c>
      <c r="D3230" s="17" t="s">
        <v>7963</v>
      </c>
      <c r="E3230" s="16">
        <v>7.5</v>
      </c>
      <c r="F3230" s="7">
        <f t="shared" si="3"/>
        <v>92.5</v>
      </c>
      <c r="G3230" s="17" t="s">
        <v>3113</v>
      </c>
    </row>
    <row r="3231">
      <c r="A3231" s="12">
        <v>1824.0</v>
      </c>
      <c r="B3231" s="17" t="s">
        <v>7964</v>
      </c>
      <c r="C3231" s="17" t="s">
        <v>7965</v>
      </c>
      <c r="D3231" s="17" t="s">
        <v>7966</v>
      </c>
      <c r="E3231" s="16">
        <v>7.5</v>
      </c>
      <c r="F3231" s="7">
        <f t="shared" si="3"/>
        <v>92.5</v>
      </c>
      <c r="G3231" s="17" t="s">
        <v>3113</v>
      </c>
    </row>
    <row r="3232">
      <c r="A3232" s="12">
        <v>1825.0</v>
      </c>
      <c r="B3232" s="17" t="s">
        <v>7967</v>
      </c>
      <c r="C3232" s="17" t="s">
        <v>7968</v>
      </c>
      <c r="D3232" s="17" t="s">
        <v>7969</v>
      </c>
      <c r="E3232" s="16">
        <v>7.5</v>
      </c>
      <c r="F3232" s="7">
        <f t="shared" si="3"/>
        <v>92.5</v>
      </c>
      <c r="G3232" s="17" t="s">
        <v>3113</v>
      </c>
    </row>
    <row r="3233">
      <c r="A3233" s="12">
        <v>1826.0</v>
      </c>
      <c r="B3233" s="17" t="s">
        <v>7970</v>
      </c>
      <c r="C3233" s="17" t="s">
        <v>7971</v>
      </c>
      <c r="D3233" s="17" t="s">
        <v>7972</v>
      </c>
      <c r="E3233" s="16">
        <v>7.5</v>
      </c>
      <c r="F3233" s="7">
        <f t="shared" si="3"/>
        <v>92.5</v>
      </c>
      <c r="G3233" s="17" t="s">
        <v>3113</v>
      </c>
    </row>
    <row r="3234">
      <c r="A3234" s="12">
        <v>1827.0</v>
      </c>
      <c r="B3234" s="17" t="s">
        <v>7973</v>
      </c>
      <c r="C3234" s="17" t="s">
        <v>7974</v>
      </c>
      <c r="D3234" s="17" t="s">
        <v>7975</v>
      </c>
      <c r="E3234" s="16">
        <v>7.5</v>
      </c>
      <c r="F3234" s="7">
        <f t="shared" si="3"/>
        <v>92.5</v>
      </c>
      <c r="G3234" s="17" t="s">
        <v>3113</v>
      </c>
    </row>
    <row r="3235">
      <c r="A3235" s="12">
        <v>1828.0</v>
      </c>
      <c r="B3235" s="17" t="s">
        <v>7976</v>
      </c>
      <c r="C3235" s="17" t="s">
        <v>7977</v>
      </c>
      <c r="D3235" s="17" t="s">
        <v>7978</v>
      </c>
      <c r="E3235" s="16">
        <v>7.5</v>
      </c>
      <c r="F3235" s="7">
        <f t="shared" si="3"/>
        <v>92.5</v>
      </c>
      <c r="G3235" s="17" t="s">
        <v>3113</v>
      </c>
    </row>
    <row r="3236">
      <c r="A3236" s="12">
        <v>1829.0</v>
      </c>
      <c r="B3236" s="17" t="s">
        <v>7979</v>
      </c>
      <c r="C3236" s="17" t="s">
        <v>7980</v>
      </c>
      <c r="D3236" s="17" t="s">
        <v>7981</v>
      </c>
      <c r="E3236" s="16">
        <v>7.5</v>
      </c>
      <c r="F3236" s="7">
        <f t="shared" si="3"/>
        <v>92.5</v>
      </c>
      <c r="G3236" s="17" t="s">
        <v>3113</v>
      </c>
    </row>
    <row r="3237">
      <c r="A3237" s="12">
        <v>1830.0</v>
      </c>
      <c r="B3237" s="17" t="s">
        <v>7982</v>
      </c>
      <c r="C3237" s="17" t="s">
        <v>7983</v>
      </c>
      <c r="D3237" s="17" t="s">
        <v>7984</v>
      </c>
      <c r="E3237" s="16">
        <v>7.5</v>
      </c>
      <c r="F3237" s="7">
        <f t="shared" si="3"/>
        <v>92.5</v>
      </c>
      <c r="G3237" s="17" t="s">
        <v>3113</v>
      </c>
    </row>
    <row r="3238">
      <c r="A3238" s="12">
        <v>1831.0</v>
      </c>
      <c r="B3238" s="17" t="s">
        <v>7985</v>
      </c>
      <c r="C3238" s="17" t="s">
        <v>7986</v>
      </c>
      <c r="D3238" s="17" t="s">
        <v>7987</v>
      </c>
      <c r="E3238" s="16">
        <v>7.5</v>
      </c>
      <c r="F3238" s="7">
        <f t="shared" si="3"/>
        <v>92.5</v>
      </c>
      <c r="G3238" s="17" t="s">
        <v>3113</v>
      </c>
    </row>
    <row r="3239">
      <c r="A3239" s="12">
        <v>1832.0</v>
      </c>
      <c r="B3239" s="17" t="s">
        <v>7988</v>
      </c>
      <c r="C3239" s="17" t="s">
        <v>7989</v>
      </c>
      <c r="D3239" s="17" t="s">
        <v>7990</v>
      </c>
      <c r="E3239" s="16">
        <v>7.5</v>
      </c>
      <c r="F3239" s="7">
        <f t="shared" si="3"/>
        <v>92.5</v>
      </c>
      <c r="G3239" s="17" t="s">
        <v>3113</v>
      </c>
    </row>
    <row r="3240">
      <c r="A3240" s="12">
        <v>1833.0</v>
      </c>
      <c r="B3240" s="17" t="s">
        <v>7991</v>
      </c>
      <c r="C3240" s="17" t="s">
        <v>7992</v>
      </c>
      <c r="D3240" s="17" t="s">
        <v>7993</v>
      </c>
      <c r="E3240" s="16">
        <v>7.5</v>
      </c>
      <c r="F3240" s="7">
        <f t="shared" si="3"/>
        <v>92.5</v>
      </c>
      <c r="G3240" s="17" t="s">
        <v>3113</v>
      </c>
    </row>
    <row r="3241">
      <c r="A3241" s="12">
        <v>1834.0</v>
      </c>
      <c r="B3241" s="17" t="s">
        <v>7994</v>
      </c>
      <c r="C3241" s="17" t="s">
        <v>7995</v>
      </c>
      <c r="D3241" s="17" t="s">
        <v>7990</v>
      </c>
      <c r="E3241" s="16">
        <v>7.5</v>
      </c>
      <c r="F3241" s="7">
        <f t="shared" si="3"/>
        <v>92.5</v>
      </c>
      <c r="G3241" s="17" t="s">
        <v>3113</v>
      </c>
    </row>
    <row r="3242">
      <c r="A3242" s="12">
        <v>1835.0</v>
      </c>
      <c r="B3242" s="17" t="s">
        <v>7996</v>
      </c>
      <c r="C3242" s="17" t="s">
        <v>7997</v>
      </c>
      <c r="D3242" s="17" t="s">
        <v>7998</v>
      </c>
      <c r="E3242" s="16">
        <v>7.5</v>
      </c>
      <c r="F3242" s="7">
        <f t="shared" si="3"/>
        <v>92.5</v>
      </c>
      <c r="G3242" s="17" t="s">
        <v>3113</v>
      </c>
    </row>
    <row r="3243">
      <c r="A3243" s="12">
        <v>1836.0</v>
      </c>
      <c r="B3243" s="17" t="s">
        <v>7999</v>
      </c>
      <c r="C3243" s="17" t="s">
        <v>8000</v>
      </c>
      <c r="D3243" s="17" t="s">
        <v>8001</v>
      </c>
      <c r="E3243" s="16">
        <v>7.5</v>
      </c>
      <c r="F3243" s="7">
        <f t="shared" si="3"/>
        <v>92.5</v>
      </c>
      <c r="G3243" s="17" t="s">
        <v>3113</v>
      </c>
    </row>
    <row r="3244">
      <c r="A3244" s="12">
        <v>1837.0</v>
      </c>
      <c r="B3244" s="17" t="s">
        <v>8002</v>
      </c>
      <c r="C3244" s="17" t="s">
        <v>8003</v>
      </c>
      <c r="D3244" s="17" t="s">
        <v>7998</v>
      </c>
      <c r="E3244" s="16">
        <v>7.5</v>
      </c>
      <c r="F3244" s="7">
        <f t="shared" si="3"/>
        <v>92.5</v>
      </c>
      <c r="G3244" s="17" t="s">
        <v>3113</v>
      </c>
    </row>
    <row r="3245">
      <c r="A3245" s="12">
        <v>1838.0</v>
      </c>
      <c r="B3245" s="17" t="s">
        <v>8004</v>
      </c>
      <c r="C3245" s="17" t="s">
        <v>8005</v>
      </c>
      <c r="D3245" s="17" t="s">
        <v>8006</v>
      </c>
      <c r="E3245" s="16">
        <v>7.5</v>
      </c>
      <c r="F3245" s="7">
        <f t="shared" si="3"/>
        <v>92.5</v>
      </c>
      <c r="G3245" s="17" t="s">
        <v>3113</v>
      </c>
    </row>
    <row r="3246">
      <c r="A3246" s="12">
        <v>1839.0</v>
      </c>
      <c r="B3246" s="17" t="s">
        <v>8007</v>
      </c>
      <c r="C3246" s="17" t="s">
        <v>8008</v>
      </c>
      <c r="D3246" s="17" t="s">
        <v>8009</v>
      </c>
      <c r="E3246" s="16">
        <v>7.5</v>
      </c>
      <c r="F3246" s="7">
        <f t="shared" si="3"/>
        <v>92.5</v>
      </c>
      <c r="G3246" s="17" t="s">
        <v>3113</v>
      </c>
    </row>
    <row r="3247">
      <c r="A3247" s="12">
        <v>1840.0</v>
      </c>
      <c r="B3247" s="17" t="s">
        <v>8010</v>
      </c>
      <c r="C3247" s="17" t="s">
        <v>8011</v>
      </c>
      <c r="D3247" s="17" t="s">
        <v>8012</v>
      </c>
      <c r="E3247" s="16">
        <v>7.5</v>
      </c>
      <c r="F3247" s="7">
        <f t="shared" si="3"/>
        <v>92.5</v>
      </c>
      <c r="G3247" s="17" t="s">
        <v>3113</v>
      </c>
    </row>
    <row r="3248">
      <c r="A3248" s="12">
        <v>1841.0</v>
      </c>
      <c r="B3248" s="17" t="s">
        <v>8013</v>
      </c>
      <c r="C3248" s="17" t="s">
        <v>8014</v>
      </c>
      <c r="D3248" s="17" t="s">
        <v>8009</v>
      </c>
      <c r="E3248" s="16">
        <v>7.5</v>
      </c>
      <c r="F3248" s="7">
        <f t="shared" si="3"/>
        <v>92.5</v>
      </c>
      <c r="G3248" s="17" t="s">
        <v>3113</v>
      </c>
    </row>
    <row r="3249">
      <c r="A3249" s="12">
        <v>1842.0</v>
      </c>
      <c r="B3249" s="17" t="s">
        <v>8015</v>
      </c>
      <c r="C3249" s="17" t="s">
        <v>8016</v>
      </c>
      <c r="D3249" s="17" t="s">
        <v>8017</v>
      </c>
      <c r="E3249" s="16">
        <v>7.5</v>
      </c>
      <c r="F3249" s="7">
        <f t="shared" si="3"/>
        <v>92.5</v>
      </c>
      <c r="G3249" s="17" t="s">
        <v>3113</v>
      </c>
    </row>
    <row r="3250">
      <c r="A3250" s="12">
        <v>1843.0</v>
      </c>
      <c r="B3250" s="17" t="s">
        <v>8018</v>
      </c>
      <c r="C3250" s="17" t="s">
        <v>8019</v>
      </c>
      <c r="D3250" s="17" t="s">
        <v>8020</v>
      </c>
      <c r="E3250" s="16">
        <v>7.5</v>
      </c>
      <c r="F3250" s="7">
        <f t="shared" si="3"/>
        <v>92.5</v>
      </c>
      <c r="G3250" s="17" t="s">
        <v>3113</v>
      </c>
    </row>
    <row r="3251">
      <c r="A3251" s="12">
        <v>1844.0</v>
      </c>
      <c r="B3251" s="17" t="s">
        <v>8021</v>
      </c>
      <c r="C3251" s="17" t="s">
        <v>8022</v>
      </c>
      <c r="D3251" s="17" t="s">
        <v>8023</v>
      </c>
      <c r="E3251" s="16">
        <v>7.5</v>
      </c>
      <c r="F3251" s="7">
        <f t="shared" si="3"/>
        <v>92.5</v>
      </c>
      <c r="G3251" s="17" t="s">
        <v>3113</v>
      </c>
    </row>
    <row r="3252">
      <c r="A3252" s="12">
        <v>1845.0</v>
      </c>
      <c r="B3252" s="17" t="s">
        <v>8024</v>
      </c>
      <c r="C3252" s="17" t="s">
        <v>8025</v>
      </c>
      <c r="D3252" s="17" t="s">
        <v>8020</v>
      </c>
      <c r="E3252" s="16">
        <v>7.5</v>
      </c>
      <c r="F3252" s="7">
        <f t="shared" si="3"/>
        <v>92.5</v>
      </c>
      <c r="G3252" s="17" t="s">
        <v>3113</v>
      </c>
    </row>
    <row r="3253">
      <c r="A3253" s="12">
        <v>1846.0</v>
      </c>
      <c r="B3253" s="17" t="s">
        <v>8026</v>
      </c>
      <c r="C3253" s="17" t="s">
        <v>8027</v>
      </c>
      <c r="D3253" s="17" t="s">
        <v>8028</v>
      </c>
      <c r="E3253" s="16">
        <v>7.5</v>
      </c>
      <c r="F3253" s="7">
        <f t="shared" si="3"/>
        <v>92.5</v>
      </c>
      <c r="G3253" s="17" t="s">
        <v>3113</v>
      </c>
    </row>
    <row r="3254">
      <c r="A3254" s="12">
        <v>1847.0</v>
      </c>
      <c r="B3254" s="17" t="s">
        <v>8029</v>
      </c>
      <c r="C3254" s="17" t="s">
        <v>8030</v>
      </c>
      <c r="D3254" s="17" t="s">
        <v>8031</v>
      </c>
      <c r="E3254" s="16">
        <v>7.5</v>
      </c>
      <c r="F3254" s="7">
        <f t="shared" si="3"/>
        <v>92.5</v>
      </c>
      <c r="G3254" s="17" t="s">
        <v>3113</v>
      </c>
    </row>
    <row r="3255">
      <c r="A3255" s="12">
        <v>1848.0</v>
      </c>
      <c r="B3255" s="17" t="s">
        <v>8032</v>
      </c>
      <c r="C3255" s="17" t="s">
        <v>8033</v>
      </c>
      <c r="D3255" s="17" t="s">
        <v>8034</v>
      </c>
      <c r="E3255" s="16">
        <v>7.5</v>
      </c>
      <c r="F3255" s="7">
        <f t="shared" si="3"/>
        <v>92.5</v>
      </c>
      <c r="G3255" s="17" t="s">
        <v>3113</v>
      </c>
    </row>
    <row r="3256">
      <c r="A3256" s="12">
        <v>1849.0</v>
      </c>
      <c r="B3256" s="17" t="s">
        <v>8035</v>
      </c>
      <c r="C3256" s="17" t="s">
        <v>8036</v>
      </c>
      <c r="D3256" s="17" t="s">
        <v>8037</v>
      </c>
      <c r="E3256" s="16">
        <v>7.5</v>
      </c>
      <c r="F3256" s="7">
        <f t="shared" si="3"/>
        <v>92.5</v>
      </c>
      <c r="G3256" s="17" t="s">
        <v>3113</v>
      </c>
    </row>
    <row r="3257">
      <c r="A3257" s="12">
        <v>1850.0</v>
      </c>
      <c r="B3257" s="17" t="s">
        <v>8038</v>
      </c>
      <c r="C3257" s="17" t="s">
        <v>8039</v>
      </c>
      <c r="D3257" s="17" t="s">
        <v>8040</v>
      </c>
      <c r="E3257" s="16">
        <v>7.5</v>
      </c>
      <c r="F3257" s="7">
        <f t="shared" si="3"/>
        <v>92.5</v>
      </c>
      <c r="G3257" s="17" t="s">
        <v>3113</v>
      </c>
    </row>
    <row r="3258">
      <c r="A3258" s="12">
        <v>1851.0</v>
      </c>
      <c r="B3258" s="17" t="s">
        <v>8041</v>
      </c>
      <c r="C3258" s="17" t="s">
        <v>8042</v>
      </c>
      <c r="D3258" s="17" t="s">
        <v>8043</v>
      </c>
      <c r="E3258" s="16">
        <v>7.5</v>
      </c>
      <c r="F3258" s="7">
        <f t="shared" si="3"/>
        <v>92.5</v>
      </c>
      <c r="G3258" s="17" t="s">
        <v>3113</v>
      </c>
    </row>
    <row r="3259">
      <c r="A3259" s="12">
        <v>1852.0</v>
      </c>
      <c r="B3259" s="17" t="s">
        <v>8044</v>
      </c>
      <c r="C3259" s="17" t="s">
        <v>8045</v>
      </c>
      <c r="D3259" s="17" t="s">
        <v>8046</v>
      </c>
      <c r="E3259" s="16">
        <v>7.5</v>
      </c>
      <c r="F3259" s="7">
        <f t="shared" si="3"/>
        <v>92.5</v>
      </c>
      <c r="G3259" s="17" t="s">
        <v>3113</v>
      </c>
    </row>
    <row r="3260">
      <c r="A3260" s="12">
        <v>1853.0</v>
      </c>
      <c r="B3260" s="17" t="s">
        <v>8047</v>
      </c>
      <c r="C3260" s="17" t="s">
        <v>8048</v>
      </c>
      <c r="D3260" s="17" t="s">
        <v>8049</v>
      </c>
      <c r="E3260" s="16">
        <v>7.5</v>
      </c>
      <c r="F3260" s="7">
        <f t="shared" si="3"/>
        <v>92.5</v>
      </c>
      <c r="G3260" s="17" t="s">
        <v>3113</v>
      </c>
    </row>
    <row r="3261">
      <c r="A3261" s="12">
        <v>1854.0</v>
      </c>
      <c r="B3261" s="17" t="s">
        <v>8050</v>
      </c>
      <c r="C3261" s="17" t="s">
        <v>8051</v>
      </c>
      <c r="D3261" s="17" t="s">
        <v>8052</v>
      </c>
      <c r="E3261" s="16">
        <v>7.5</v>
      </c>
      <c r="F3261" s="7">
        <f t="shared" si="3"/>
        <v>92.5</v>
      </c>
      <c r="G3261" s="17" t="s">
        <v>3113</v>
      </c>
    </row>
    <row r="3262">
      <c r="A3262" s="12">
        <v>1855.0</v>
      </c>
      <c r="B3262" s="17" t="s">
        <v>8053</v>
      </c>
      <c r="C3262" s="17" t="s">
        <v>8054</v>
      </c>
      <c r="D3262" s="17" t="s">
        <v>8055</v>
      </c>
      <c r="E3262" s="16">
        <v>7.5</v>
      </c>
      <c r="F3262" s="7">
        <f t="shared" si="3"/>
        <v>92.5</v>
      </c>
      <c r="G3262" s="17" t="s">
        <v>3113</v>
      </c>
    </row>
    <row r="3263">
      <c r="A3263" s="12">
        <v>1856.0</v>
      </c>
      <c r="B3263" s="17" t="s">
        <v>8056</v>
      </c>
      <c r="C3263" s="17" t="s">
        <v>8057</v>
      </c>
      <c r="D3263" s="17" t="s">
        <v>8058</v>
      </c>
      <c r="E3263" s="16">
        <v>7.5</v>
      </c>
      <c r="F3263" s="7">
        <f t="shared" si="3"/>
        <v>92.5</v>
      </c>
      <c r="G3263" s="17" t="s">
        <v>3113</v>
      </c>
    </row>
    <row r="3264">
      <c r="A3264" s="12">
        <v>1857.0</v>
      </c>
      <c r="B3264" s="17" t="s">
        <v>8059</v>
      </c>
      <c r="C3264" s="17" t="s">
        <v>8060</v>
      </c>
      <c r="D3264" s="17" t="s">
        <v>8061</v>
      </c>
      <c r="E3264" s="16">
        <v>7.5</v>
      </c>
      <c r="F3264" s="7">
        <f t="shared" si="3"/>
        <v>92.5</v>
      </c>
      <c r="G3264" s="17" t="s">
        <v>3113</v>
      </c>
    </row>
    <row r="3265">
      <c r="A3265" s="12">
        <v>1858.0</v>
      </c>
      <c r="B3265" s="17" t="s">
        <v>8062</v>
      </c>
      <c r="C3265" s="17" t="s">
        <v>8063</v>
      </c>
      <c r="D3265" s="17" t="s">
        <v>8064</v>
      </c>
      <c r="E3265" s="16">
        <v>7.5</v>
      </c>
      <c r="F3265" s="7">
        <f t="shared" si="3"/>
        <v>92.5</v>
      </c>
      <c r="G3265" s="17" t="s">
        <v>3113</v>
      </c>
    </row>
    <row r="3266">
      <c r="A3266" s="12">
        <v>1859.0</v>
      </c>
      <c r="B3266" s="17" t="s">
        <v>8065</v>
      </c>
      <c r="C3266" s="17" t="s">
        <v>8066</v>
      </c>
      <c r="D3266" s="17" t="s">
        <v>8067</v>
      </c>
      <c r="E3266" s="16">
        <v>7.5</v>
      </c>
      <c r="F3266" s="7">
        <f t="shared" si="3"/>
        <v>92.5</v>
      </c>
      <c r="G3266" s="17" t="s">
        <v>3113</v>
      </c>
    </row>
    <row r="3267">
      <c r="A3267" s="12">
        <v>1860.0</v>
      </c>
      <c r="B3267" s="17" t="s">
        <v>8068</v>
      </c>
      <c r="C3267" s="17" t="s">
        <v>8069</v>
      </c>
      <c r="D3267" s="17" t="s">
        <v>8070</v>
      </c>
      <c r="E3267" s="16">
        <v>7.5</v>
      </c>
      <c r="F3267" s="7">
        <f t="shared" si="3"/>
        <v>92.5</v>
      </c>
      <c r="G3267" s="17" t="s">
        <v>3113</v>
      </c>
    </row>
    <row r="3268">
      <c r="A3268" s="12">
        <v>1861.0</v>
      </c>
      <c r="B3268" s="17" t="s">
        <v>8071</v>
      </c>
      <c r="C3268" s="17" t="s">
        <v>8072</v>
      </c>
      <c r="D3268" s="17" t="s">
        <v>8073</v>
      </c>
      <c r="E3268" s="16">
        <v>7.5</v>
      </c>
      <c r="F3268" s="7">
        <f t="shared" si="3"/>
        <v>92.5</v>
      </c>
      <c r="G3268" s="17" t="s">
        <v>3113</v>
      </c>
    </row>
    <row r="3269">
      <c r="A3269" s="12">
        <v>1862.0</v>
      </c>
      <c r="B3269" s="17" t="s">
        <v>8074</v>
      </c>
      <c r="C3269" s="17" t="s">
        <v>8075</v>
      </c>
      <c r="D3269" s="17" t="s">
        <v>8076</v>
      </c>
      <c r="E3269" s="16">
        <v>7.5</v>
      </c>
      <c r="F3269" s="7">
        <f t="shared" si="3"/>
        <v>92.5</v>
      </c>
      <c r="G3269" s="17" t="s">
        <v>3113</v>
      </c>
    </row>
    <row r="3270">
      <c r="A3270" s="12">
        <v>1863.0</v>
      </c>
      <c r="B3270" s="17" t="s">
        <v>8074</v>
      </c>
      <c r="C3270" s="17" t="s">
        <v>8077</v>
      </c>
      <c r="D3270" s="17" t="s">
        <v>8078</v>
      </c>
      <c r="E3270" s="16">
        <v>7.5</v>
      </c>
      <c r="F3270" s="7">
        <f t="shared" si="3"/>
        <v>92.5</v>
      </c>
      <c r="G3270" s="17" t="s">
        <v>3113</v>
      </c>
    </row>
    <row r="3271">
      <c r="A3271" s="12">
        <v>1864.0</v>
      </c>
      <c r="B3271" s="17" t="s">
        <v>8079</v>
      </c>
      <c r="C3271" s="17" t="s">
        <v>8080</v>
      </c>
      <c r="D3271" s="17" t="s">
        <v>8081</v>
      </c>
      <c r="E3271" s="16">
        <v>7.5</v>
      </c>
      <c r="F3271" s="7">
        <f t="shared" si="3"/>
        <v>92.5</v>
      </c>
      <c r="G3271" s="17" t="s">
        <v>3113</v>
      </c>
    </row>
    <row r="3272">
      <c r="A3272" s="12">
        <v>1865.0</v>
      </c>
      <c r="B3272" s="17" t="s">
        <v>8082</v>
      </c>
      <c r="C3272" s="17" t="s">
        <v>8083</v>
      </c>
      <c r="D3272" s="17" t="s">
        <v>8084</v>
      </c>
      <c r="E3272" s="16">
        <v>7.5</v>
      </c>
      <c r="F3272" s="7">
        <f t="shared" si="3"/>
        <v>92.5</v>
      </c>
      <c r="G3272" s="17" t="s">
        <v>3113</v>
      </c>
    </row>
    <row r="3273">
      <c r="A3273" s="12">
        <v>1866.0</v>
      </c>
      <c r="B3273" s="17" t="s">
        <v>8085</v>
      </c>
      <c r="C3273" s="17" t="s">
        <v>8086</v>
      </c>
      <c r="D3273" s="17" t="s">
        <v>8087</v>
      </c>
      <c r="E3273" s="16">
        <v>7.5</v>
      </c>
      <c r="F3273" s="7">
        <f t="shared" si="3"/>
        <v>92.5</v>
      </c>
      <c r="G3273" s="17" t="s">
        <v>3113</v>
      </c>
    </row>
    <row r="3274">
      <c r="A3274" s="12">
        <v>1867.0</v>
      </c>
      <c r="B3274" s="17" t="s">
        <v>8088</v>
      </c>
      <c r="C3274" s="17" t="s">
        <v>8089</v>
      </c>
      <c r="D3274" s="17" t="s">
        <v>8090</v>
      </c>
      <c r="E3274" s="16">
        <v>7.5</v>
      </c>
      <c r="F3274" s="7">
        <f t="shared" si="3"/>
        <v>92.5</v>
      </c>
      <c r="G3274" s="17" t="s">
        <v>3113</v>
      </c>
    </row>
    <row r="3275">
      <c r="A3275" s="12">
        <v>1868.0</v>
      </c>
      <c r="B3275" s="17" t="s">
        <v>8091</v>
      </c>
      <c r="C3275" s="17" t="s">
        <v>8092</v>
      </c>
      <c r="D3275" s="17" t="s">
        <v>8093</v>
      </c>
      <c r="E3275" s="16">
        <v>7.5</v>
      </c>
      <c r="F3275" s="7">
        <f t="shared" si="3"/>
        <v>92.5</v>
      </c>
      <c r="G3275" s="17" t="s">
        <v>3113</v>
      </c>
    </row>
    <row r="3276">
      <c r="A3276" s="12">
        <v>1869.0</v>
      </c>
      <c r="B3276" s="17" t="s">
        <v>8094</v>
      </c>
      <c r="C3276" s="17" t="s">
        <v>8095</v>
      </c>
      <c r="D3276" s="17" t="s">
        <v>8096</v>
      </c>
      <c r="E3276" s="16">
        <v>7.5</v>
      </c>
      <c r="F3276" s="7">
        <f t="shared" si="3"/>
        <v>92.5</v>
      </c>
      <c r="G3276" s="17" t="s">
        <v>3113</v>
      </c>
    </row>
    <row r="3277">
      <c r="A3277" s="12">
        <v>1870.0</v>
      </c>
      <c r="B3277" s="17" t="s">
        <v>8097</v>
      </c>
      <c r="C3277" s="17" t="s">
        <v>8098</v>
      </c>
      <c r="D3277" s="17" t="s">
        <v>8099</v>
      </c>
      <c r="E3277" s="16">
        <v>7.5</v>
      </c>
      <c r="F3277" s="7">
        <f t="shared" si="3"/>
        <v>92.5</v>
      </c>
      <c r="G3277" s="17" t="s">
        <v>3113</v>
      </c>
    </row>
    <row r="3278">
      <c r="A3278" s="12">
        <v>1871.0</v>
      </c>
      <c r="B3278" s="17" t="s">
        <v>8100</v>
      </c>
      <c r="C3278" s="17" t="s">
        <v>8101</v>
      </c>
      <c r="D3278" s="17" t="s">
        <v>8102</v>
      </c>
      <c r="E3278" s="16">
        <v>7.5</v>
      </c>
      <c r="F3278" s="7">
        <f t="shared" si="3"/>
        <v>92.5</v>
      </c>
      <c r="G3278" s="17" t="s">
        <v>3113</v>
      </c>
    </row>
    <row r="3279">
      <c r="A3279" s="12">
        <v>1872.0</v>
      </c>
      <c r="B3279" s="17" t="s">
        <v>8103</v>
      </c>
      <c r="C3279" s="17" t="s">
        <v>8104</v>
      </c>
      <c r="D3279" s="17" t="s">
        <v>8105</v>
      </c>
      <c r="E3279" s="16">
        <v>7.5</v>
      </c>
      <c r="F3279" s="7">
        <f t="shared" si="3"/>
        <v>92.5</v>
      </c>
      <c r="G3279" s="17" t="s">
        <v>3113</v>
      </c>
    </row>
    <row r="3280">
      <c r="A3280" s="12">
        <v>1873.0</v>
      </c>
      <c r="B3280" s="17" t="s">
        <v>8106</v>
      </c>
      <c r="C3280" s="17" t="s">
        <v>8107</v>
      </c>
      <c r="D3280" s="17" t="s">
        <v>8108</v>
      </c>
      <c r="E3280" s="16">
        <v>7.5</v>
      </c>
      <c r="F3280" s="7">
        <f t="shared" si="3"/>
        <v>92.5</v>
      </c>
      <c r="G3280" s="17" t="s">
        <v>3113</v>
      </c>
    </row>
    <row r="3281">
      <c r="A3281" s="12">
        <v>1874.0</v>
      </c>
      <c r="B3281" s="17" t="s">
        <v>8109</v>
      </c>
      <c r="C3281" s="17" t="s">
        <v>8110</v>
      </c>
      <c r="D3281" s="17" t="s">
        <v>8111</v>
      </c>
      <c r="E3281" s="16">
        <v>7.5</v>
      </c>
      <c r="F3281" s="7">
        <f t="shared" si="3"/>
        <v>92.5</v>
      </c>
      <c r="G3281" s="17" t="s">
        <v>3113</v>
      </c>
    </row>
    <row r="3282">
      <c r="A3282" s="12">
        <v>1875.0</v>
      </c>
      <c r="B3282" s="17" t="s">
        <v>8112</v>
      </c>
      <c r="C3282" s="17" t="s">
        <v>8113</v>
      </c>
      <c r="D3282" s="17" t="s">
        <v>8114</v>
      </c>
      <c r="E3282" s="16">
        <v>7.5</v>
      </c>
      <c r="F3282" s="7">
        <f t="shared" si="3"/>
        <v>92.5</v>
      </c>
      <c r="G3282" s="17" t="s">
        <v>3113</v>
      </c>
    </row>
    <row r="3283">
      <c r="A3283" s="12">
        <v>1876.0</v>
      </c>
      <c r="B3283" s="17" t="s">
        <v>8115</v>
      </c>
      <c r="C3283" s="17" t="s">
        <v>8116</v>
      </c>
      <c r="D3283" s="17" t="s">
        <v>8117</v>
      </c>
      <c r="E3283" s="16">
        <v>7.5</v>
      </c>
      <c r="F3283" s="7">
        <f t="shared" si="3"/>
        <v>92.5</v>
      </c>
      <c r="G3283" s="17" t="s">
        <v>3113</v>
      </c>
    </row>
    <row r="3284">
      <c r="A3284" s="12">
        <v>1877.0</v>
      </c>
      <c r="B3284" s="17" t="s">
        <v>8118</v>
      </c>
      <c r="C3284" s="17" t="s">
        <v>8119</v>
      </c>
      <c r="D3284" s="17" t="s">
        <v>8120</v>
      </c>
      <c r="E3284" s="16">
        <v>7.5</v>
      </c>
      <c r="F3284" s="7">
        <f t="shared" si="3"/>
        <v>92.5</v>
      </c>
      <c r="G3284" s="17" t="s">
        <v>3113</v>
      </c>
    </row>
    <row r="3285">
      <c r="A3285" s="12">
        <v>1878.0</v>
      </c>
      <c r="B3285" s="17" t="s">
        <v>8121</v>
      </c>
      <c r="C3285" s="17" t="s">
        <v>8122</v>
      </c>
      <c r="D3285" s="17" t="s">
        <v>8123</v>
      </c>
      <c r="E3285" s="16">
        <v>7.5</v>
      </c>
      <c r="F3285" s="7">
        <f t="shared" si="3"/>
        <v>92.5</v>
      </c>
      <c r="G3285" s="17" t="s">
        <v>3113</v>
      </c>
    </row>
    <row r="3286">
      <c r="A3286" s="12">
        <v>1879.0</v>
      </c>
      <c r="B3286" s="17" t="s">
        <v>8124</v>
      </c>
      <c r="C3286" s="17" t="s">
        <v>8125</v>
      </c>
      <c r="D3286" s="17" t="s">
        <v>8126</v>
      </c>
      <c r="E3286" s="16">
        <v>7.5</v>
      </c>
      <c r="F3286" s="7">
        <f t="shared" si="3"/>
        <v>92.5</v>
      </c>
      <c r="G3286" s="17" t="s">
        <v>3113</v>
      </c>
    </row>
    <row r="3287">
      <c r="A3287" s="12">
        <v>1880.0</v>
      </c>
      <c r="B3287" s="17" t="s">
        <v>8127</v>
      </c>
      <c r="C3287" s="17" t="s">
        <v>8128</v>
      </c>
      <c r="D3287" s="17" t="s">
        <v>8129</v>
      </c>
      <c r="E3287" s="16">
        <v>7.5</v>
      </c>
      <c r="F3287" s="7">
        <f t="shared" si="3"/>
        <v>92.5</v>
      </c>
      <c r="G3287" s="17" t="s">
        <v>3113</v>
      </c>
    </row>
    <row r="3288">
      <c r="A3288" s="12">
        <v>1881.0</v>
      </c>
      <c r="B3288" s="17" t="s">
        <v>8130</v>
      </c>
      <c r="C3288" s="17" t="s">
        <v>8131</v>
      </c>
      <c r="D3288" s="17" t="s">
        <v>8132</v>
      </c>
      <c r="E3288" s="16">
        <v>7.5</v>
      </c>
      <c r="F3288" s="7">
        <f t="shared" si="3"/>
        <v>92.5</v>
      </c>
      <c r="G3288" s="17" t="s">
        <v>3113</v>
      </c>
    </row>
    <row r="3289">
      <c r="A3289" s="12">
        <v>1882.0</v>
      </c>
      <c r="B3289" s="17" t="s">
        <v>8133</v>
      </c>
      <c r="C3289" s="17" t="s">
        <v>8134</v>
      </c>
      <c r="D3289" s="17" t="s">
        <v>8135</v>
      </c>
      <c r="E3289" s="16">
        <v>7.5</v>
      </c>
      <c r="F3289" s="7">
        <f t="shared" si="3"/>
        <v>92.5</v>
      </c>
      <c r="G3289" s="17" t="s">
        <v>3113</v>
      </c>
    </row>
    <row r="3290">
      <c r="A3290" s="12">
        <v>1883.0</v>
      </c>
      <c r="B3290" s="17" t="s">
        <v>8136</v>
      </c>
      <c r="C3290" s="17" t="s">
        <v>8137</v>
      </c>
      <c r="D3290" s="17" t="s">
        <v>8138</v>
      </c>
      <c r="E3290" s="16">
        <v>7.5</v>
      </c>
      <c r="F3290" s="7">
        <f t="shared" si="3"/>
        <v>92.5</v>
      </c>
      <c r="G3290" s="17" t="s">
        <v>3113</v>
      </c>
    </row>
    <row r="3291">
      <c r="A3291" s="12">
        <v>1884.0</v>
      </c>
      <c r="B3291" s="17" t="s">
        <v>8139</v>
      </c>
      <c r="C3291" s="17" t="s">
        <v>8140</v>
      </c>
      <c r="D3291" s="17" t="s">
        <v>8141</v>
      </c>
      <c r="E3291" s="16">
        <v>7.5</v>
      </c>
      <c r="F3291" s="7">
        <f t="shared" si="3"/>
        <v>92.5</v>
      </c>
      <c r="G3291" s="17" t="s">
        <v>3113</v>
      </c>
    </row>
    <row r="3292">
      <c r="A3292" s="12">
        <v>1885.0</v>
      </c>
      <c r="B3292" s="17" t="s">
        <v>8142</v>
      </c>
      <c r="C3292" s="17" t="s">
        <v>8143</v>
      </c>
      <c r="D3292" s="17" t="s">
        <v>8144</v>
      </c>
      <c r="E3292" s="16">
        <v>7.5</v>
      </c>
      <c r="F3292" s="7">
        <f t="shared" si="3"/>
        <v>92.5</v>
      </c>
      <c r="G3292" s="17" t="s">
        <v>3113</v>
      </c>
    </row>
    <row r="3293">
      <c r="A3293" s="12">
        <v>1886.0</v>
      </c>
      <c r="B3293" s="17" t="s">
        <v>8145</v>
      </c>
      <c r="C3293" s="17" t="s">
        <v>8146</v>
      </c>
      <c r="D3293" s="17" t="s">
        <v>8147</v>
      </c>
      <c r="E3293" s="16">
        <v>7.5</v>
      </c>
      <c r="F3293" s="7">
        <f t="shared" si="3"/>
        <v>92.5</v>
      </c>
      <c r="G3293" s="17" t="s">
        <v>3113</v>
      </c>
    </row>
    <row r="3294">
      <c r="A3294" s="12">
        <v>1887.0</v>
      </c>
      <c r="B3294" s="17" t="s">
        <v>8148</v>
      </c>
      <c r="C3294" s="17" t="s">
        <v>8149</v>
      </c>
      <c r="D3294" s="17" t="s">
        <v>8150</v>
      </c>
      <c r="E3294" s="16">
        <v>7.5</v>
      </c>
      <c r="F3294" s="7">
        <f t="shared" si="3"/>
        <v>92.5</v>
      </c>
      <c r="G3294" s="17" t="s">
        <v>3113</v>
      </c>
    </row>
    <row r="3295">
      <c r="A3295" s="12">
        <v>1888.0</v>
      </c>
      <c r="B3295" s="17" t="s">
        <v>8151</v>
      </c>
      <c r="C3295" s="17" t="s">
        <v>8152</v>
      </c>
      <c r="D3295" s="17" t="s">
        <v>8153</v>
      </c>
      <c r="E3295" s="16">
        <v>7.5</v>
      </c>
      <c r="F3295" s="7">
        <f t="shared" si="3"/>
        <v>92.5</v>
      </c>
      <c r="G3295" s="17" t="s">
        <v>3113</v>
      </c>
    </row>
    <row r="3296">
      <c r="A3296" s="12">
        <v>1889.0</v>
      </c>
      <c r="B3296" s="17" t="s">
        <v>8154</v>
      </c>
      <c r="C3296" s="17" t="s">
        <v>8155</v>
      </c>
      <c r="D3296" s="17" t="s">
        <v>8156</v>
      </c>
      <c r="E3296" s="16">
        <v>7.5</v>
      </c>
      <c r="F3296" s="7">
        <f t="shared" si="3"/>
        <v>92.5</v>
      </c>
      <c r="G3296" s="17" t="s">
        <v>3113</v>
      </c>
    </row>
    <row r="3297">
      <c r="A3297" s="12">
        <v>1890.0</v>
      </c>
      <c r="B3297" s="17" t="s">
        <v>8157</v>
      </c>
      <c r="C3297" s="17" t="s">
        <v>8158</v>
      </c>
      <c r="D3297" s="17" t="s">
        <v>8159</v>
      </c>
      <c r="E3297" s="16">
        <v>7.5</v>
      </c>
      <c r="F3297" s="7">
        <f t="shared" si="3"/>
        <v>92.5</v>
      </c>
      <c r="G3297" s="17" t="s">
        <v>3113</v>
      </c>
    </row>
    <row r="3298">
      <c r="A3298" s="12">
        <v>1891.0</v>
      </c>
      <c r="B3298" s="17" t="s">
        <v>8160</v>
      </c>
      <c r="C3298" s="17" t="s">
        <v>8161</v>
      </c>
      <c r="D3298" s="17" t="s">
        <v>8162</v>
      </c>
      <c r="E3298" s="16">
        <v>7.5</v>
      </c>
      <c r="F3298" s="7">
        <f t="shared" si="3"/>
        <v>92.5</v>
      </c>
      <c r="G3298" s="17" t="s">
        <v>3113</v>
      </c>
    </row>
    <row r="3299">
      <c r="A3299" s="12">
        <v>1892.0</v>
      </c>
      <c r="B3299" s="17" t="s">
        <v>8163</v>
      </c>
      <c r="C3299" s="17" t="s">
        <v>8164</v>
      </c>
      <c r="D3299" s="17" t="s">
        <v>8165</v>
      </c>
      <c r="E3299" s="16">
        <v>7.5</v>
      </c>
      <c r="F3299" s="7">
        <f t="shared" si="3"/>
        <v>92.5</v>
      </c>
      <c r="G3299" s="17" t="s">
        <v>3113</v>
      </c>
    </row>
    <row r="3300">
      <c r="A3300" s="12">
        <v>1893.0</v>
      </c>
      <c r="B3300" s="17" t="s">
        <v>8166</v>
      </c>
      <c r="C3300" s="17" t="s">
        <v>8167</v>
      </c>
      <c r="D3300" s="17" t="s">
        <v>8168</v>
      </c>
      <c r="E3300" s="16">
        <v>7.5</v>
      </c>
      <c r="F3300" s="7">
        <f t="shared" si="3"/>
        <v>92.5</v>
      </c>
      <c r="G3300" s="17" t="s">
        <v>3113</v>
      </c>
    </row>
    <row r="3301">
      <c r="A3301" s="12">
        <v>1894.0</v>
      </c>
      <c r="B3301" s="17" t="s">
        <v>8169</v>
      </c>
      <c r="C3301" s="17" t="s">
        <v>8170</v>
      </c>
      <c r="D3301" s="17" t="s">
        <v>8168</v>
      </c>
      <c r="E3301" s="16">
        <v>7.5</v>
      </c>
      <c r="F3301" s="7">
        <f t="shared" si="3"/>
        <v>92.5</v>
      </c>
      <c r="G3301" s="17" t="s">
        <v>3113</v>
      </c>
    </row>
    <row r="3302">
      <c r="A3302" s="12">
        <v>1895.0</v>
      </c>
      <c r="B3302" s="17" t="s">
        <v>8171</v>
      </c>
      <c r="C3302" s="17" t="s">
        <v>8172</v>
      </c>
      <c r="D3302" s="17" t="s">
        <v>8173</v>
      </c>
      <c r="E3302" s="16">
        <v>7.5</v>
      </c>
      <c r="F3302" s="7">
        <f t="shared" si="3"/>
        <v>92.5</v>
      </c>
      <c r="G3302" s="17" t="s">
        <v>3113</v>
      </c>
    </row>
    <row r="3303">
      <c r="A3303" s="12">
        <v>1896.0</v>
      </c>
      <c r="B3303" s="17" t="s">
        <v>8174</v>
      </c>
      <c r="C3303" s="17" t="s">
        <v>8175</v>
      </c>
      <c r="D3303" s="17" t="s">
        <v>8176</v>
      </c>
      <c r="E3303" s="16">
        <v>7.5</v>
      </c>
      <c r="F3303" s="7">
        <f t="shared" si="3"/>
        <v>92.5</v>
      </c>
      <c r="G3303" s="17" t="s">
        <v>3113</v>
      </c>
    </row>
    <row r="3304">
      <c r="A3304" s="12">
        <v>1897.0</v>
      </c>
      <c r="B3304" s="17" t="s">
        <v>8177</v>
      </c>
      <c r="C3304" s="17" t="s">
        <v>8178</v>
      </c>
      <c r="D3304" s="17" t="s">
        <v>8176</v>
      </c>
      <c r="E3304" s="16">
        <v>7.5</v>
      </c>
      <c r="F3304" s="7">
        <f t="shared" si="3"/>
        <v>92.5</v>
      </c>
      <c r="G3304" s="17" t="s">
        <v>3113</v>
      </c>
    </row>
    <row r="3305">
      <c r="A3305" s="12">
        <v>1898.0</v>
      </c>
      <c r="B3305" s="17" t="s">
        <v>8179</v>
      </c>
      <c r="C3305" s="17" t="s">
        <v>8180</v>
      </c>
      <c r="D3305" s="17" t="s">
        <v>8181</v>
      </c>
      <c r="E3305" s="16">
        <v>7.5</v>
      </c>
      <c r="F3305" s="7">
        <f t="shared" si="3"/>
        <v>92.5</v>
      </c>
      <c r="G3305" s="17" t="s">
        <v>3113</v>
      </c>
    </row>
    <row r="3306">
      <c r="A3306" s="12">
        <v>1899.0</v>
      </c>
      <c r="B3306" s="17" t="s">
        <v>8182</v>
      </c>
      <c r="C3306" s="17" t="s">
        <v>8183</v>
      </c>
      <c r="D3306" s="17" t="s">
        <v>8184</v>
      </c>
      <c r="E3306" s="16">
        <v>7.5</v>
      </c>
      <c r="F3306" s="7">
        <f t="shared" si="3"/>
        <v>92.5</v>
      </c>
      <c r="G3306" s="17" t="s">
        <v>3113</v>
      </c>
    </row>
    <row r="3307">
      <c r="A3307" s="12">
        <v>1900.0</v>
      </c>
      <c r="B3307" s="17" t="s">
        <v>8185</v>
      </c>
      <c r="C3307" s="17" t="s">
        <v>8186</v>
      </c>
      <c r="D3307" s="17" t="s">
        <v>8187</v>
      </c>
      <c r="E3307" s="16">
        <v>7.5</v>
      </c>
      <c r="F3307" s="7">
        <f t="shared" si="3"/>
        <v>92.5</v>
      </c>
      <c r="G3307" s="17" t="s">
        <v>3113</v>
      </c>
    </row>
    <row r="3308">
      <c r="A3308" s="12">
        <v>1901.0</v>
      </c>
      <c r="B3308" s="17" t="s">
        <v>8188</v>
      </c>
      <c r="C3308" s="17" t="s">
        <v>8189</v>
      </c>
      <c r="D3308" s="17" t="s">
        <v>8190</v>
      </c>
      <c r="E3308" s="16">
        <v>7.5</v>
      </c>
      <c r="F3308" s="7">
        <f t="shared" si="3"/>
        <v>92.5</v>
      </c>
      <c r="G3308" s="17" t="s">
        <v>3113</v>
      </c>
    </row>
    <row r="3309">
      <c r="A3309" s="12">
        <v>1902.0</v>
      </c>
      <c r="B3309" s="17" t="s">
        <v>8191</v>
      </c>
      <c r="C3309" s="17" t="s">
        <v>8192</v>
      </c>
      <c r="D3309" s="17" t="s">
        <v>8193</v>
      </c>
      <c r="E3309" s="16">
        <v>7.5</v>
      </c>
      <c r="F3309" s="7">
        <f t="shared" si="3"/>
        <v>92.5</v>
      </c>
      <c r="G3309" s="17" t="s">
        <v>3113</v>
      </c>
    </row>
    <row r="3310">
      <c r="A3310" s="12">
        <v>1903.0</v>
      </c>
      <c r="B3310" s="17" t="s">
        <v>8194</v>
      </c>
      <c r="C3310" s="17" t="s">
        <v>8195</v>
      </c>
      <c r="D3310" s="17" t="s">
        <v>8196</v>
      </c>
      <c r="E3310" s="16">
        <v>7.5</v>
      </c>
      <c r="F3310" s="7">
        <f t="shared" si="3"/>
        <v>92.5</v>
      </c>
      <c r="G3310" s="17" t="s">
        <v>3113</v>
      </c>
    </row>
    <row r="3311">
      <c r="A3311" s="12">
        <v>1904.0</v>
      </c>
      <c r="B3311" s="17" t="s">
        <v>8197</v>
      </c>
      <c r="C3311" s="17" t="s">
        <v>8198</v>
      </c>
      <c r="D3311" s="17" t="s">
        <v>8196</v>
      </c>
      <c r="E3311" s="16">
        <v>7.5</v>
      </c>
      <c r="F3311" s="7">
        <f t="shared" si="3"/>
        <v>92.5</v>
      </c>
      <c r="G3311" s="17" t="s">
        <v>3113</v>
      </c>
    </row>
    <row r="3312">
      <c r="A3312" s="12">
        <v>1905.0</v>
      </c>
      <c r="B3312" s="17" t="s">
        <v>8199</v>
      </c>
      <c r="C3312" s="17" t="s">
        <v>8200</v>
      </c>
      <c r="D3312" s="17" t="s">
        <v>8201</v>
      </c>
      <c r="E3312" s="16">
        <v>7.5</v>
      </c>
      <c r="F3312" s="7">
        <f t="shared" si="3"/>
        <v>92.5</v>
      </c>
      <c r="G3312" s="17" t="s">
        <v>3113</v>
      </c>
    </row>
    <row r="3313">
      <c r="A3313" s="12">
        <v>1906.0</v>
      </c>
      <c r="B3313" s="17" t="s">
        <v>8202</v>
      </c>
      <c r="C3313" s="17" t="s">
        <v>8203</v>
      </c>
      <c r="D3313" s="17" t="s">
        <v>8204</v>
      </c>
      <c r="E3313" s="16">
        <v>7.5</v>
      </c>
      <c r="F3313" s="7">
        <f t="shared" si="3"/>
        <v>92.5</v>
      </c>
      <c r="G3313" s="17" t="s">
        <v>3113</v>
      </c>
    </row>
    <row r="3314">
      <c r="A3314" s="12">
        <v>1907.0</v>
      </c>
      <c r="B3314" s="17" t="s">
        <v>8205</v>
      </c>
      <c r="C3314" s="17" t="s">
        <v>8206</v>
      </c>
      <c r="D3314" s="17" t="s">
        <v>8207</v>
      </c>
      <c r="E3314" s="16">
        <v>7.5</v>
      </c>
      <c r="F3314" s="7">
        <f t="shared" si="3"/>
        <v>92.5</v>
      </c>
      <c r="G3314" s="17" t="s">
        <v>3113</v>
      </c>
    </row>
    <row r="3315">
      <c r="A3315" s="12">
        <v>1908.0</v>
      </c>
      <c r="B3315" s="17" t="s">
        <v>8208</v>
      </c>
      <c r="C3315" s="17" t="s">
        <v>8209</v>
      </c>
      <c r="D3315" s="17" t="s">
        <v>8207</v>
      </c>
      <c r="E3315" s="16">
        <v>7.5</v>
      </c>
      <c r="F3315" s="7">
        <f t="shared" si="3"/>
        <v>92.5</v>
      </c>
      <c r="G3315" s="17" t="s">
        <v>3113</v>
      </c>
    </row>
    <row r="3316">
      <c r="A3316" s="12">
        <v>1909.0</v>
      </c>
      <c r="B3316" s="17" t="s">
        <v>8210</v>
      </c>
      <c r="C3316" s="17" t="s">
        <v>8211</v>
      </c>
      <c r="D3316" s="17" t="s">
        <v>8212</v>
      </c>
      <c r="E3316" s="16">
        <v>7.5</v>
      </c>
      <c r="F3316" s="7">
        <f t="shared" si="3"/>
        <v>92.5</v>
      </c>
      <c r="G3316" s="17" t="s">
        <v>3113</v>
      </c>
    </row>
    <row r="3317">
      <c r="A3317" s="12">
        <v>1910.0</v>
      </c>
      <c r="B3317" s="17" t="s">
        <v>8213</v>
      </c>
      <c r="C3317" s="17" t="s">
        <v>8214</v>
      </c>
      <c r="D3317" s="17" t="s">
        <v>8215</v>
      </c>
      <c r="E3317" s="16">
        <v>7.5</v>
      </c>
      <c r="F3317" s="7">
        <f t="shared" si="3"/>
        <v>92.5</v>
      </c>
      <c r="G3317" s="17" t="s">
        <v>3113</v>
      </c>
    </row>
    <row r="3318">
      <c r="A3318" s="12">
        <v>1911.0</v>
      </c>
      <c r="B3318" s="17" t="s">
        <v>8216</v>
      </c>
      <c r="C3318" s="17" t="s">
        <v>8217</v>
      </c>
      <c r="D3318" s="17" t="s">
        <v>8218</v>
      </c>
      <c r="E3318" s="16">
        <v>7.5</v>
      </c>
      <c r="F3318" s="7">
        <f t="shared" si="3"/>
        <v>92.5</v>
      </c>
      <c r="G3318" s="17" t="s">
        <v>3113</v>
      </c>
    </row>
    <row r="3319">
      <c r="A3319" s="12">
        <v>1912.0</v>
      </c>
      <c r="B3319" s="17" t="s">
        <v>8219</v>
      </c>
      <c r="C3319" s="17" t="s">
        <v>8220</v>
      </c>
      <c r="D3319" s="17" t="s">
        <v>8221</v>
      </c>
      <c r="E3319" s="16">
        <v>7.5</v>
      </c>
      <c r="F3319" s="7">
        <f t="shared" si="3"/>
        <v>92.5</v>
      </c>
      <c r="G3319" s="17" t="s">
        <v>3113</v>
      </c>
    </row>
    <row r="3320">
      <c r="A3320" s="12">
        <v>1913.0</v>
      </c>
      <c r="B3320" s="17" t="s">
        <v>8219</v>
      </c>
      <c r="C3320" s="17" t="s">
        <v>8222</v>
      </c>
      <c r="D3320" s="17" t="s">
        <v>8223</v>
      </c>
      <c r="E3320" s="16">
        <v>7.5</v>
      </c>
      <c r="F3320" s="7">
        <f t="shared" si="3"/>
        <v>92.5</v>
      </c>
      <c r="G3320" s="17" t="s">
        <v>3113</v>
      </c>
    </row>
    <row r="3321">
      <c r="A3321" s="12">
        <v>1914.0</v>
      </c>
      <c r="B3321" s="17" t="s">
        <v>8224</v>
      </c>
      <c r="C3321" s="17" t="s">
        <v>8225</v>
      </c>
      <c r="D3321" s="17" t="s">
        <v>8226</v>
      </c>
      <c r="E3321" s="16">
        <v>7.5</v>
      </c>
      <c r="F3321" s="7">
        <f t="shared" si="3"/>
        <v>92.5</v>
      </c>
      <c r="G3321" s="17" t="s">
        <v>3113</v>
      </c>
    </row>
    <row r="3322">
      <c r="A3322" s="12">
        <v>1915.0</v>
      </c>
      <c r="B3322" s="17" t="s">
        <v>8227</v>
      </c>
      <c r="C3322" s="17" t="s">
        <v>8228</v>
      </c>
      <c r="D3322" s="17" t="s">
        <v>8229</v>
      </c>
      <c r="E3322" s="16">
        <v>7.5</v>
      </c>
      <c r="F3322" s="7">
        <f t="shared" si="3"/>
        <v>92.5</v>
      </c>
      <c r="G3322" s="17" t="s">
        <v>3113</v>
      </c>
    </row>
    <row r="3323">
      <c r="A3323" s="12">
        <v>1916.0</v>
      </c>
      <c r="B3323" s="17" t="s">
        <v>8227</v>
      </c>
      <c r="C3323" s="17" t="s">
        <v>8230</v>
      </c>
      <c r="D3323" s="17" t="s">
        <v>8231</v>
      </c>
      <c r="E3323" s="16">
        <v>7.5</v>
      </c>
      <c r="F3323" s="7">
        <f t="shared" si="3"/>
        <v>92.5</v>
      </c>
      <c r="G3323" s="17" t="s">
        <v>3113</v>
      </c>
    </row>
    <row r="3324">
      <c r="A3324" s="12">
        <v>1917.0</v>
      </c>
      <c r="B3324" s="17" t="s">
        <v>8232</v>
      </c>
      <c r="C3324" s="17" t="s">
        <v>8233</v>
      </c>
      <c r="D3324" s="17" t="s">
        <v>8234</v>
      </c>
      <c r="E3324" s="16">
        <v>7.5</v>
      </c>
      <c r="F3324" s="7">
        <f t="shared" si="3"/>
        <v>92.5</v>
      </c>
      <c r="G3324" s="17" t="s">
        <v>3113</v>
      </c>
    </row>
    <row r="3325">
      <c r="A3325" s="12">
        <v>1918.0</v>
      </c>
      <c r="B3325" s="17" t="s">
        <v>8232</v>
      </c>
      <c r="C3325" s="17" t="s">
        <v>8235</v>
      </c>
      <c r="D3325" s="17" t="s">
        <v>8236</v>
      </c>
      <c r="E3325" s="16">
        <v>7.5</v>
      </c>
      <c r="F3325" s="7">
        <f t="shared" si="3"/>
        <v>92.5</v>
      </c>
      <c r="G3325" s="17" t="s">
        <v>3113</v>
      </c>
    </row>
    <row r="3326">
      <c r="A3326" s="12">
        <v>1919.0</v>
      </c>
      <c r="B3326" s="17" t="s">
        <v>8237</v>
      </c>
      <c r="C3326" s="17" t="s">
        <v>8238</v>
      </c>
      <c r="D3326" s="17" t="s">
        <v>8239</v>
      </c>
      <c r="E3326" s="16">
        <v>7.5</v>
      </c>
      <c r="F3326" s="7">
        <f t="shared" si="3"/>
        <v>92.5</v>
      </c>
      <c r="G3326" s="17" t="s">
        <v>3113</v>
      </c>
    </row>
    <row r="3327">
      <c r="A3327" s="12">
        <v>1920.0</v>
      </c>
      <c r="B3327" s="17" t="s">
        <v>8240</v>
      </c>
      <c r="C3327" s="17" t="s">
        <v>8241</v>
      </c>
      <c r="D3327" s="17" t="s">
        <v>8242</v>
      </c>
      <c r="E3327" s="16">
        <v>7.5</v>
      </c>
      <c r="F3327" s="7">
        <f t="shared" si="3"/>
        <v>92.5</v>
      </c>
      <c r="G3327" s="17" t="s">
        <v>3113</v>
      </c>
    </row>
    <row r="3328">
      <c r="A3328" s="12">
        <v>1921.0</v>
      </c>
      <c r="B3328" s="17" t="s">
        <v>8243</v>
      </c>
      <c r="C3328" s="17" t="s">
        <v>8244</v>
      </c>
      <c r="D3328" s="17" t="s">
        <v>8245</v>
      </c>
      <c r="E3328" s="16">
        <v>7.5</v>
      </c>
      <c r="F3328" s="7">
        <f t="shared" si="3"/>
        <v>92.5</v>
      </c>
      <c r="G3328" s="17" t="s">
        <v>3113</v>
      </c>
    </row>
    <row r="3329">
      <c r="A3329" s="12">
        <v>1922.0</v>
      </c>
      <c r="B3329" s="17" t="s">
        <v>8243</v>
      </c>
      <c r="C3329" s="17" t="s">
        <v>8246</v>
      </c>
      <c r="D3329" s="17" t="s">
        <v>8247</v>
      </c>
      <c r="E3329" s="16">
        <v>7.5</v>
      </c>
      <c r="F3329" s="7">
        <f t="shared" si="3"/>
        <v>92.5</v>
      </c>
      <c r="G3329" s="17" t="s">
        <v>3113</v>
      </c>
    </row>
    <row r="3330">
      <c r="A3330" s="12">
        <v>1923.0</v>
      </c>
      <c r="B3330" s="17" t="s">
        <v>8248</v>
      </c>
      <c r="C3330" s="17" t="s">
        <v>8249</v>
      </c>
      <c r="D3330" s="17" t="s">
        <v>8250</v>
      </c>
      <c r="E3330" s="16">
        <v>7.5</v>
      </c>
      <c r="F3330" s="7">
        <f t="shared" si="3"/>
        <v>92.5</v>
      </c>
      <c r="G3330" s="17" t="s">
        <v>3113</v>
      </c>
    </row>
    <row r="3331">
      <c r="A3331" s="12">
        <v>1924.0</v>
      </c>
      <c r="B3331" s="17" t="s">
        <v>8248</v>
      </c>
      <c r="C3331" s="17" t="s">
        <v>8251</v>
      </c>
      <c r="D3331" s="17" t="s">
        <v>8252</v>
      </c>
      <c r="E3331" s="16">
        <v>7.5</v>
      </c>
      <c r="F3331" s="7">
        <f t="shared" si="3"/>
        <v>92.5</v>
      </c>
      <c r="G3331" s="17" t="s">
        <v>3113</v>
      </c>
    </row>
    <row r="3332">
      <c r="A3332" s="12">
        <v>1925.0</v>
      </c>
      <c r="B3332" s="17" t="s">
        <v>8253</v>
      </c>
      <c r="C3332" s="17" t="s">
        <v>8254</v>
      </c>
      <c r="D3332" s="17" t="s">
        <v>8255</v>
      </c>
      <c r="E3332" s="16">
        <v>7.5</v>
      </c>
      <c r="F3332" s="7">
        <f t="shared" si="3"/>
        <v>92.5</v>
      </c>
      <c r="G3332" s="17" t="s">
        <v>3113</v>
      </c>
    </row>
    <row r="3333">
      <c r="A3333" s="12">
        <v>1926.0</v>
      </c>
      <c r="B3333" s="17" t="s">
        <v>8256</v>
      </c>
      <c r="C3333" s="17" t="s">
        <v>8257</v>
      </c>
      <c r="D3333" s="17" t="s">
        <v>8258</v>
      </c>
      <c r="E3333" s="16">
        <v>7.5</v>
      </c>
      <c r="F3333" s="7">
        <f t="shared" si="3"/>
        <v>92.5</v>
      </c>
      <c r="G3333" s="17" t="s">
        <v>3113</v>
      </c>
    </row>
    <row r="3334">
      <c r="A3334" s="12">
        <v>1927.0</v>
      </c>
      <c r="B3334" s="17" t="s">
        <v>8259</v>
      </c>
      <c r="C3334" s="17" t="s">
        <v>8260</v>
      </c>
      <c r="D3334" s="17" t="s">
        <v>8261</v>
      </c>
      <c r="E3334" s="16">
        <v>7.5</v>
      </c>
      <c r="F3334" s="7">
        <f t="shared" si="3"/>
        <v>92.5</v>
      </c>
      <c r="G3334" s="17" t="s">
        <v>3113</v>
      </c>
    </row>
    <row r="3335">
      <c r="A3335" s="12">
        <v>1928.0</v>
      </c>
      <c r="B3335" s="17" t="s">
        <v>8259</v>
      </c>
      <c r="C3335" s="17" t="s">
        <v>8262</v>
      </c>
      <c r="D3335" s="17" t="s">
        <v>8263</v>
      </c>
      <c r="E3335" s="16">
        <v>7.5</v>
      </c>
      <c r="F3335" s="7">
        <f t="shared" si="3"/>
        <v>92.5</v>
      </c>
      <c r="G3335" s="17" t="s">
        <v>3113</v>
      </c>
    </row>
    <row r="3336">
      <c r="A3336" s="12">
        <v>1929.0</v>
      </c>
      <c r="B3336" s="17" t="s">
        <v>8264</v>
      </c>
      <c r="C3336" s="17" t="s">
        <v>8265</v>
      </c>
      <c r="D3336" s="17" t="s">
        <v>8266</v>
      </c>
      <c r="E3336" s="16">
        <v>7.5</v>
      </c>
      <c r="F3336" s="7">
        <f t="shared" si="3"/>
        <v>92.5</v>
      </c>
      <c r="G3336" s="17" t="s">
        <v>3113</v>
      </c>
    </row>
    <row r="3337">
      <c r="A3337" s="12">
        <v>1930.0</v>
      </c>
      <c r="B3337" s="17" t="s">
        <v>8267</v>
      </c>
      <c r="C3337" s="17" t="s">
        <v>8268</v>
      </c>
      <c r="D3337" s="17" t="s">
        <v>8269</v>
      </c>
      <c r="E3337" s="16">
        <v>7.5</v>
      </c>
      <c r="F3337" s="7">
        <f t="shared" si="3"/>
        <v>92.5</v>
      </c>
      <c r="G3337" s="17" t="s">
        <v>3113</v>
      </c>
    </row>
    <row r="3338">
      <c r="A3338" s="12">
        <v>1931.0</v>
      </c>
      <c r="B3338" s="17" t="s">
        <v>8270</v>
      </c>
      <c r="C3338" s="17" t="s">
        <v>8271</v>
      </c>
      <c r="D3338" s="17" t="s">
        <v>8272</v>
      </c>
      <c r="E3338" s="16">
        <v>7.5</v>
      </c>
      <c r="F3338" s="7">
        <f t="shared" si="3"/>
        <v>92.5</v>
      </c>
      <c r="G3338" s="17" t="s">
        <v>3113</v>
      </c>
    </row>
    <row r="3339">
      <c r="A3339" s="12">
        <v>1932.0</v>
      </c>
      <c r="B3339" s="17" t="s">
        <v>8273</v>
      </c>
      <c r="C3339" s="17" t="s">
        <v>8274</v>
      </c>
      <c r="D3339" s="17" t="s">
        <v>8275</v>
      </c>
      <c r="E3339" s="16">
        <v>7.5</v>
      </c>
      <c r="F3339" s="7">
        <f t="shared" si="3"/>
        <v>92.5</v>
      </c>
      <c r="G3339" s="17" t="s">
        <v>3113</v>
      </c>
    </row>
    <row r="3340">
      <c r="A3340" s="12">
        <v>1933.0</v>
      </c>
      <c r="B3340" s="17" t="s">
        <v>8276</v>
      </c>
      <c r="C3340" s="17" t="s">
        <v>8277</v>
      </c>
      <c r="D3340" s="17" t="s">
        <v>8278</v>
      </c>
      <c r="E3340" s="16">
        <v>7.5</v>
      </c>
      <c r="F3340" s="7">
        <f t="shared" si="3"/>
        <v>92.5</v>
      </c>
      <c r="G3340" s="17" t="s">
        <v>3113</v>
      </c>
    </row>
    <row r="3341">
      <c r="A3341" s="12">
        <v>1934.0</v>
      </c>
      <c r="B3341" s="17" t="s">
        <v>8276</v>
      </c>
      <c r="C3341" s="17" t="s">
        <v>8279</v>
      </c>
      <c r="D3341" s="17" t="s">
        <v>8280</v>
      </c>
      <c r="E3341" s="16">
        <v>7.5</v>
      </c>
      <c r="F3341" s="7">
        <f t="shared" si="3"/>
        <v>92.5</v>
      </c>
      <c r="G3341" s="17" t="s">
        <v>3113</v>
      </c>
    </row>
    <row r="3342">
      <c r="A3342" s="12">
        <v>1935.0</v>
      </c>
      <c r="B3342" s="17" t="s">
        <v>8281</v>
      </c>
      <c r="C3342" s="17" t="s">
        <v>8282</v>
      </c>
      <c r="D3342" s="17" t="s">
        <v>8283</v>
      </c>
      <c r="E3342" s="16">
        <v>7.5</v>
      </c>
      <c r="F3342" s="7">
        <f t="shared" si="3"/>
        <v>92.5</v>
      </c>
      <c r="G3342" s="17" t="s">
        <v>3113</v>
      </c>
    </row>
    <row r="3343">
      <c r="A3343" s="12">
        <v>1936.0</v>
      </c>
      <c r="B3343" s="17" t="s">
        <v>8284</v>
      </c>
      <c r="C3343" s="17" t="s">
        <v>8285</v>
      </c>
      <c r="D3343" s="17" t="s">
        <v>8286</v>
      </c>
      <c r="E3343" s="16">
        <v>7.5</v>
      </c>
      <c r="F3343" s="7">
        <f t="shared" si="3"/>
        <v>92.5</v>
      </c>
      <c r="G3343" s="17" t="s">
        <v>3113</v>
      </c>
    </row>
    <row r="3344">
      <c r="A3344" s="12">
        <v>1937.0</v>
      </c>
      <c r="B3344" s="17" t="s">
        <v>8287</v>
      </c>
      <c r="C3344" s="17" t="s">
        <v>8288</v>
      </c>
      <c r="D3344" s="17" t="s">
        <v>8289</v>
      </c>
      <c r="E3344" s="16">
        <v>7.5</v>
      </c>
      <c r="F3344" s="7">
        <f t="shared" si="3"/>
        <v>92.5</v>
      </c>
      <c r="G3344" s="17" t="s">
        <v>3113</v>
      </c>
    </row>
    <row r="3345">
      <c r="A3345" s="12">
        <v>1938.0</v>
      </c>
      <c r="B3345" s="17" t="s">
        <v>8287</v>
      </c>
      <c r="C3345" s="17" t="s">
        <v>8290</v>
      </c>
      <c r="D3345" s="17" t="s">
        <v>8291</v>
      </c>
      <c r="E3345" s="16">
        <v>7.5</v>
      </c>
      <c r="F3345" s="7">
        <f t="shared" si="3"/>
        <v>92.5</v>
      </c>
      <c r="G3345" s="17" t="s">
        <v>3113</v>
      </c>
    </row>
    <row r="3346">
      <c r="A3346" s="12">
        <v>1939.0</v>
      </c>
      <c r="B3346" s="17" t="s">
        <v>8292</v>
      </c>
      <c r="C3346" s="17" t="s">
        <v>8293</v>
      </c>
      <c r="D3346" s="17" t="s">
        <v>8294</v>
      </c>
      <c r="E3346" s="16">
        <v>7.5</v>
      </c>
      <c r="F3346" s="7">
        <f t="shared" si="3"/>
        <v>92.5</v>
      </c>
      <c r="G3346" s="17" t="s">
        <v>3113</v>
      </c>
    </row>
    <row r="3347">
      <c r="A3347" s="12">
        <v>1940.0</v>
      </c>
      <c r="B3347" s="17" t="s">
        <v>8292</v>
      </c>
      <c r="C3347" s="17" t="s">
        <v>8295</v>
      </c>
      <c r="D3347" s="17" t="s">
        <v>8296</v>
      </c>
      <c r="E3347" s="16">
        <v>7.5</v>
      </c>
      <c r="F3347" s="7">
        <f t="shared" si="3"/>
        <v>92.5</v>
      </c>
      <c r="G3347" s="17" t="s">
        <v>3113</v>
      </c>
    </row>
    <row r="3348">
      <c r="A3348" s="12">
        <v>1941.0</v>
      </c>
      <c r="B3348" s="17" t="s">
        <v>8297</v>
      </c>
      <c r="C3348" s="17" t="s">
        <v>8298</v>
      </c>
      <c r="D3348" s="17" t="s">
        <v>8299</v>
      </c>
      <c r="E3348" s="16">
        <v>7.5</v>
      </c>
      <c r="F3348" s="7">
        <f t="shared" si="3"/>
        <v>92.5</v>
      </c>
      <c r="G3348" s="17" t="s">
        <v>3113</v>
      </c>
    </row>
    <row r="3349">
      <c r="A3349" s="12">
        <v>1942.0</v>
      </c>
      <c r="B3349" s="17" t="s">
        <v>8300</v>
      </c>
      <c r="C3349" s="17" t="s">
        <v>8301</v>
      </c>
      <c r="D3349" s="17" t="s">
        <v>8302</v>
      </c>
      <c r="E3349" s="16">
        <v>7.5</v>
      </c>
      <c r="F3349" s="7">
        <f t="shared" si="3"/>
        <v>92.5</v>
      </c>
      <c r="G3349" s="17" t="s">
        <v>3113</v>
      </c>
    </row>
    <row r="3350">
      <c r="A3350" s="12">
        <v>1943.0</v>
      </c>
      <c r="B3350" s="17" t="s">
        <v>8303</v>
      </c>
      <c r="C3350" s="17" t="s">
        <v>8304</v>
      </c>
      <c r="D3350" s="17" t="s">
        <v>8305</v>
      </c>
      <c r="E3350" s="16">
        <v>7.5</v>
      </c>
      <c r="F3350" s="7">
        <f t="shared" si="3"/>
        <v>92.5</v>
      </c>
      <c r="G3350" s="17" t="s">
        <v>3113</v>
      </c>
    </row>
    <row r="3351">
      <c r="A3351" s="12">
        <v>1944.0</v>
      </c>
      <c r="B3351" s="17" t="s">
        <v>8303</v>
      </c>
      <c r="C3351" s="17" t="s">
        <v>8306</v>
      </c>
      <c r="D3351" s="17" t="s">
        <v>8307</v>
      </c>
      <c r="E3351" s="16">
        <v>7.5</v>
      </c>
      <c r="F3351" s="7">
        <f t="shared" si="3"/>
        <v>92.5</v>
      </c>
      <c r="G3351" s="17" t="s">
        <v>3113</v>
      </c>
    </row>
    <row r="3352">
      <c r="A3352" s="12">
        <v>1945.0</v>
      </c>
      <c r="B3352" s="17" t="s">
        <v>8308</v>
      </c>
      <c r="C3352" s="17" t="s">
        <v>8309</v>
      </c>
      <c r="D3352" s="17" t="s">
        <v>8310</v>
      </c>
      <c r="E3352" s="16">
        <v>7.5</v>
      </c>
      <c r="F3352" s="7">
        <f t="shared" si="3"/>
        <v>92.5</v>
      </c>
      <c r="G3352" s="17" t="s">
        <v>3113</v>
      </c>
    </row>
    <row r="3353">
      <c r="A3353" s="12">
        <v>1946.0</v>
      </c>
      <c r="B3353" s="17" t="s">
        <v>8311</v>
      </c>
      <c r="C3353" s="17" t="s">
        <v>8312</v>
      </c>
      <c r="D3353" s="17" t="s">
        <v>8313</v>
      </c>
      <c r="E3353" s="16">
        <v>7.5</v>
      </c>
      <c r="F3353" s="7">
        <f t="shared" si="3"/>
        <v>92.5</v>
      </c>
      <c r="G3353" s="17" t="s">
        <v>3113</v>
      </c>
    </row>
    <row r="3354">
      <c r="A3354" s="12">
        <v>1947.0</v>
      </c>
      <c r="B3354" s="17" t="s">
        <v>8314</v>
      </c>
      <c r="C3354" s="17" t="s">
        <v>8315</v>
      </c>
      <c r="D3354" s="17" t="s">
        <v>8316</v>
      </c>
      <c r="E3354" s="16">
        <v>7.5</v>
      </c>
      <c r="F3354" s="7">
        <f t="shared" si="3"/>
        <v>92.5</v>
      </c>
      <c r="G3354" s="17" t="s">
        <v>3113</v>
      </c>
    </row>
    <row r="3355">
      <c r="A3355" s="12">
        <v>1948.0</v>
      </c>
      <c r="B3355" s="17" t="s">
        <v>8317</v>
      </c>
      <c r="C3355" s="17" t="s">
        <v>8318</v>
      </c>
      <c r="D3355" s="17" t="s">
        <v>8319</v>
      </c>
      <c r="E3355" s="16">
        <v>7.5</v>
      </c>
      <c r="F3355" s="7">
        <f t="shared" si="3"/>
        <v>92.5</v>
      </c>
      <c r="G3355" s="17" t="s">
        <v>3113</v>
      </c>
    </row>
    <row r="3356">
      <c r="A3356" s="12">
        <v>1949.0</v>
      </c>
      <c r="B3356" s="17" t="s">
        <v>8320</v>
      </c>
      <c r="C3356" s="17" t="s">
        <v>8321</v>
      </c>
      <c r="D3356" s="17" t="s">
        <v>8322</v>
      </c>
      <c r="E3356" s="16">
        <v>7.5</v>
      </c>
      <c r="F3356" s="7">
        <f t="shared" si="3"/>
        <v>92.5</v>
      </c>
      <c r="G3356" s="17" t="s">
        <v>3113</v>
      </c>
    </row>
    <row r="3357">
      <c r="A3357" s="12">
        <v>1950.0</v>
      </c>
      <c r="B3357" s="17" t="s">
        <v>8323</v>
      </c>
      <c r="C3357" s="17" t="s">
        <v>8324</v>
      </c>
      <c r="D3357" s="17" t="s">
        <v>8325</v>
      </c>
      <c r="E3357" s="16">
        <v>7.5</v>
      </c>
      <c r="F3357" s="7">
        <f t="shared" si="3"/>
        <v>92.5</v>
      </c>
      <c r="G3357" s="17" t="s">
        <v>3113</v>
      </c>
    </row>
    <row r="3358">
      <c r="A3358" s="12">
        <v>1951.0</v>
      </c>
      <c r="B3358" s="17" t="s">
        <v>8326</v>
      </c>
      <c r="C3358" s="17" t="s">
        <v>8327</v>
      </c>
      <c r="D3358" s="17" t="s">
        <v>8328</v>
      </c>
      <c r="E3358" s="16">
        <v>7.5</v>
      </c>
      <c r="F3358" s="7">
        <f t="shared" si="3"/>
        <v>92.5</v>
      </c>
      <c r="G3358" s="17" t="s">
        <v>3113</v>
      </c>
    </row>
    <row r="3359">
      <c r="A3359" s="12">
        <v>1952.0</v>
      </c>
      <c r="B3359" s="17" t="s">
        <v>8326</v>
      </c>
      <c r="C3359" s="17" t="s">
        <v>8329</v>
      </c>
      <c r="D3359" s="17" t="s">
        <v>8330</v>
      </c>
      <c r="E3359" s="16">
        <v>7.5</v>
      </c>
      <c r="F3359" s="7">
        <f t="shared" si="3"/>
        <v>92.5</v>
      </c>
      <c r="G3359" s="17" t="s">
        <v>3113</v>
      </c>
    </row>
    <row r="3360">
      <c r="A3360" s="12">
        <v>1953.0</v>
      </c>
      <c r="B3360" s="17" t="s">
        <v>8331</v>
      </c>
      <c r="C3360" s="17" t="s">
        <v>8332</v>
      </c>
      <c r="D3360" s="17" t="s">
        <v>8333</v>
      </c>
      <c r="E3360" s="16">
        <v>7.5</v>
      </c>
      <c r="F3360" s="7">
        <f t="shared" si="3"/>
        <v>92.5</v>
      </c>
      <c r="G3360" s="17" t="s">
        <v>3113</v>
      </c>
    </row>
    <row r="3361">
      <c r="A3361" s="12">
        <v>1954.0</v>
      </c>
      <c r="B3361" s="17" t="s">
        <v>8334</v>
      </c>
      <c r="C3361" s="17" t="s">
        <v>8335</v>
      </c>
      <c r="D3361" s="17" t="s">
        <v>8336</v>
      </c>
      <c r="E3361" s="16">
        <v>7.5</v>
      </c>
      <c r="F3361" s="7">
        <f t="shared" si="3"/>
        <v>92.5</v>
      </c>
      <c r="G3361" s="17" t="s">
        <v>3113</v>
      </c>
    </row>
    <row r="3362">
      <c r="A3362" s="12">
        <v>1955.0</v>
      </c>
      <c r="B3362" s="17" t="s">
        <v>8337</v>
      </c>
      <c r="C3362" s="17" t="s">
        <v>8338</v>
      </c>
      <c r="D3362" s="17" t="s">
        <v>8339</v>
      </c>
      <c r="E3362" s="16">
        <v>7.5</v>
      </c>
      <c r="F3362" s="7">
        <f t="shared" si="3"/>
        <v>92.5</v>
      </c>
      <c r="G3362" s="17" t="s">
        <v>3113</v>
      </c>
    </row>
    <row r="3363">
      <c r="A3363" s="12">
        <v>1956.0</v>
      </c>
      <c r="B3363" s="17" t="s">
        <v>8340</v>
      </c>
      <c r="C3363" s="17" t="s">
        <v>8341</v>
      </c>
      <c r="D3363" s="17" t="s">
        <v>8342</v>
      </c>
      <c r="E3363" s="16">
        <v>7.5</v>
      </c>
      <c r="F3363" s="7">
        <f t="shared" si="3"/>
        <v>92.5</v>
      </c>
      <c r="G3363" s="17" t="s">
        <v>3113</v>
      </c>
    </row>
    <row r="3364">
      <c r="A3364" s="12">
        <v>1957.0</v>
      </c>
      <c r="B3364" s="17" t="s">
        <v>8343</v>
      </c>
      <c r="C3364" s="17" t="s">
        <v>8344</v>
      </c>
      <c r="D3364" s="17" t="s">
        <v>8345</v>
      </c>
      <c r="E3364" s="16">
        <v>7.5</v>
      </c>
      <c r="F3364" s="7">
        <f t="shared" si="3"/>
        <v>92.5</v>
      </c>
      <c r="G3364" s="17" t="s">
        <v>3113</v>
      </c>
    </row>
    <row r="3365">
      <c r="A3365" s="12">
        <v>1958.0</v>
      </c>
      <c r="B3365" s="17" t="s">
        <v>8346</v>
      </c>
      <c r="C3365" s="17" t="s">
        <v>8347</v>
      </c>
      <c r="D3365" s="17" t="s">
        <v>8348</v>
      </c>
      <c r="E3365" s="16">
        <v>7.5</v>
      </c>
      <c r="F3365" s="7">
        <f t="shared" si="3"/>
        <v>92.5</v>
      </c>
      <c r="G3365" s="17" t="s">
        <v>3113</v>
      </c>
    </row>
    <row r="3366">
      <c r="A3366" s="12">
        <v>1959.0</v>
      </c>
      <c r="B3366" s="17" t="s">
        <v>8349</v>
      </c>
      <c r="C3366" s="17" t="s">
        <v>8350</v>
      </c>
      <c r="D3366" s="17" t="s">
        <v>8351</v>
      </c>
      <c r="E3366" s="16">
        <v>7.5</v>
      </c>
      <c r="F3366" s="7">
        <f t="shared" si="3"/>
        <v>92.5</v>
      </c>
      <c r="G3366" s="17" t="s">
        <v>3113</v>
      </c>
    </row>
    <row r="3367">
      <c r="A3367" s="12">
        <v>1960.0</v>
      </c>
      <c r="B3367" s="17" t="s">
        <v>8352</v>
      </c>
      <c r="C3367" s="17" t="s">
        <v>8353</v>
      </c>
      <c r="D3367" s="17" t="s">
        <v>8354</v>
      </c>
      <c r="E3367" s="16">
        <v>7.5</v>
      </c>
      <c r="F3367" s="7">
        <f t="shared" si="3"/>
        <v>92.5</v>
      </c>
      <c r="G3367" s="17" t="s">
        <v>3113</v>
      </c>
    </row>
    <row r="3368">
      <c r="A3368" s="12">
        <v>1961.0</v>
      </c>
      <c r="B3368" s="17" t="s">
        <v>8355</v>
      </c>
      <c r="C3368" s="17" t="s">
        <v>8356</v>
      </c>
      <c r="D3368" s="17" t="s">
        <v>8357</v>
      </c>
      <c r="E3368" s="16">
        <v>7.5</v>
      </c>
      <c r="F3368" s="7">
        <f t="shared" si="3"/>
        <v>92.5</v>
      </c>
      <c r="G3368" s="17" t="s">
        <v>3113</v>
      </c>
    </row>
    <row r="3369">
      <c r="A3369" s="12">
        <v>1962.0</v>
      </c>
      <c r="B3369" s="17" t="s">
        <v>8358</v>
      </c>
      <c r="C3369" s="17" t="s">
        <v>8359</v>
      </c>
      <c r="D3369" s="17" t="s">
        <v>8360</v>
      </c>
      <c r="E3369" s="16">
        <v>7.5</v>
      </c>
      <c r="F3369" s="7">
        <f t="shared" si="3"/>
        <v>92.5</v>
      </c>
      <c r="G3369" s="17" t="s">
        <v>3113</v>
      </c>
    </row>
    <row r="3370">
      <c r="A3370" s="12">
        <v>1963.0</v>
      </c>
      <c r="B3370" s="17" t="s">
        <v>8358</v>
      </c>
      <c r="C3370" s="17" t="s">
        <v>8361</v>
      </c>
      <c r="D3370" s="17" t="s">
        <v>8362</v>
      </c>
      <c r="E3370" s="16">
        <v>7.5</v>
      </c>
      <c r="F3370" s="7">
        <f t="shared" si="3"/>
        <v>92.5</v>
      </c>
      <c r="G3370" s="17" t="s">
        <v>3113</v>
      </c>
    </row>
    <row r="3371">
      <c r="A3371" s="12">
        <v>1964.0</v>
      </c>
      <c r="B3371" s="17" t="s">
        <v>8363</v>
      </c>
      <c r="C3371" s="17" t="s">
        <v>8364</v>
      </c>
      <c r="D3371" s="17" t="s">
        <v>8365</v>
      </c>
      <c r="E3371" s="16">
        <v>7.5</v>
      </c>
      <c r="F3371" s="7">
        <f t="shared" si="3"/>
        <v>92.5</v>
      </c>
      <c r="G3371" s="17" t="s">
        <v>3113</v>
      </c>
    </row>
    <row r="3372">
      <c r="A3372" s="12">
        <v>1965.0</v>
      </c>
      <c r="B3372" s="17" t="s">
        <v>8366</v>
      </c>
      <c r="C3372" s="17" t="s">
        <v>8367</v>
      </c>
      <c r="D3372" s="17" t="s">
        <v>8368</v>
      </c>
      <c r="E3372" s="16">
        <v>7.5</v>
      </c>
      <c r="F3372" s="7">
        <f t="shared" si="3"/>
        <v>92.5</v>
      </c>
      <c r="G3372" s="17" t="s">
        <v>3113</v>
      </c>
    </row>
    <row r="3373">
      <c r="A3373" s="12">
        <v>1966.0</v>
      </c>
      <c r="B3373" s="17" t="s">
        <v>8369</v>
      </c>
      <c r="C3373" s="17" t="s">
        <v>8370</v>
      </c>
      <c r="D3373" s="17" t="s">
        <v>8371</v>
      </c>
      <c r="E3373" s="16">
        <v>7.5</v>
      </c>
      <c r="F3373" s="7">
        <f t="shared" si="3"/>
        <v>92.5</v>
      </c>
      <c r="G3373" s="17" t="s">
        <v>3113</v>
      </c>
    </row>
    <row r="3374">
      <c r="A3374" s="12">
        <v>1967.0</v>
      </c>
      <c r="B3374" s="17" t="s">
        <v>8372</v>
      </c>
      <c r="C3374" s="17" t="s">
        <v>8373</v>
      </c>
      <c r="D3374" s="17" t="s">
        <v>8374</v>
      </c>
      <c r="E3374" s="16">
        <v>7.5</v>
      </c>
      <c r="F3374" s="7">
        <f t="shared" si="3"/>
        <v>92.5</v>
      </c>
      <c r="G3374" s="17" t="s">
        <v>3113</v>
      </c>
    </row>
    <row r="3375">
      <c r="A3375" s="12">
        <v>1968.0</v>
      </c>
      <c r="B3375" s="17" t="s">
        <v>8375</v>
      </c>
      <c r="C3375" s="17" t="s">
        <v>8376</v>
      </c>
      <c r="D3375" s="17" t="s">
        <v>8377</v>
      </c>
      <c r="E3375" s="16">
        <v>7.5</v>
      </c>
      <c r="F3375" s="7">
        <f t="shared" si="3"/>
        <v>92.5</v>
      </c>
      <c r="G3375" s="17" t="s">
        <v>3113</v>
      </c>
    </row>
    <row r="3376">
      <c r="A3376" s="12">
        <v>1969.0</v>
      </c>
      <c r="B3376" s="17" t="s">
        <v>8378</v>
      </c>
      <c r="C3376" s="17" t="s">
        <v>8379</v>
      </c>
      <c r="D3376" s="17" t="s">
        <v>8380</v>
      </c>
      <c r="E3376" s="16">
        <v>7.5</v>
      </c>
      <c r="F3376" s="7">
        <f t="shared" si="3"/>
        <v>92.5</v>
      </c>
      <c r="G3376" s="17" t="s">
        <v>3113</v>
      </c>
    </row>
    <row r="3377">
      <c r="A3377" s="12">
        <v>1970.0</v>
      </c>
      <c r="B3377" s="17" t="s">
        <v>8381</v>
      </c>
      <c r="C3377" s="17" t="s">
        <v>8382</v>
      </c>
      <c r="D3377" s="17" t="s">
        <v>8383</v>
      </c>
      <c r="E3377" s="16">
        <v>7.5</v>
      </c>
      <c r="F3377" s="7">
        <f t="shared" si="3"/>
        <v>92.5</v>
      </c>
      <c r="G3377" s="17" t="s">
        <v>3113</v>
      </c>
    </row>
    <row r="3378">
      <c r="A3378" s="12">
        <v>1971.0</v>
      </c>
      <c r="B3378" s="17" t="s">
        <v>8384</v>
      </c>
      <c r="C3378" s="17" t="s">
        <v>8385</v>
      </c>
      <c r="D3378" s="17" t="s">
        <v>8386</v>
      </c>
      <c r="E3378" s="16">
        <v>7.5</v>
      </c>
      <c r="F3378" s="7">
        <f t="shared" si="3"/>
        <v>92.5</v>
      </c>
      <c r="G3378" s="17" t="s">
        <v>3113</v>
      </c>
    </row>
    <row r="3379">
      <c r="A3379" s="12">
        <v>1972.0</v>
      </c>
      <c r="B3379" s="17" t="s">
        <v>8387</v>
      </c>
      <c r="C3379" s="17" t="s">
        <v>8388</v>
      </c>
      <c r="D3379" s="17" t="s">
        <v>8389</v>
      </c>
      <c r="E3379" s="16">
        <v>7.5</v>
      </c>
      <c r="F3379" s="7">
        <f t="shared" si="3"/>
        <v>92.5</v>
      </c>
      <c r="G3379" s="17" t="s">
        <v>3113</v>
      </c>
    </row>
    <row r="3380">
      <c r="A3380" s="12">
        <v>1973.0</v>
      </c>
      <c r="B3380" s="17" t="s">
        <v>8390</v>
      </c>
      <c r="C3380" s="17" t="s">
        <v>8391</v>
      </c>
      <c r="D3380" s="17" t="s">
        <v>8392</v>
      </c>
      <c r="E3380" s="16">
        <v>7.5</v>
      </c>
      <c r="F3380" s="7">
        <f t="shared" si="3"/>
        <v>92.5</v>
      </c>
      <c r="G3380" s="17" t="s">
        <v>3113</v>
      </c>
    </row>
    <row r="3381">
      <c r="A3381" s="12">
        <v>1974.0</v>
      </c>
      <c r="B3381" s="17" t="s">
        <v>8393</v>
      </c>
      <c r="C3381" s="17" t="s">
        <v>8394</v>
      </c>
      <c r="D3381" s="17" t="s">
        <v>8395</v>
      </c>
      <c r="E3381" s="16">
        <v>7.5</v>
      </c>
      <c r="F3381" s="7">
        <f t="shared" si="3"/>
        <v>92.5</v>
      </c>
      <c r="G3381" s="17" t="s">
        <v>3113</v>
      </c>
    </row>
    <row r="3382">
      <c r="A3382" s="12">
        <v>1975.0</v>
      </c>
      <c r="B3382" s="17" t="s">
        <v>8396</v>
      </c>
      <c r="C3382" s="17" t="s">
        <v>8397</v>
      </c>
      <c r="D3382" s="17" t="s">
        <v>8398</v>
      </c>
      <c r="E3382" s="16">
        <v>7.5</v>
      </c>
      <c r="F3382" s="7">
        <f t="shared" si="3"/>
        <v>92.5</v>
      </c>
      <c r="G3382" s="17" t="s">
        <v>3113</v>
      </c>
    </row>
    <row r="3383">
      <c r="A3383" s="12">
        <v>1976.0</v>
      </c>
      <c r="B3383" s="17" t="s">
        <v>8399</v>
      </c>
      <c r="C3383" s="17" t="s">
        <v>8400</v>
      </c>
      <c r="D3383" s="17" t="s">
        <v>8401</v>
      </c>
      <c r="E3383" s="16">
        <v>7.5</v>
      </c>
      <c r="F3383" s="7">
        <f t="shared" si="3"/>
        <v>92.5</v>
      </c>
      <c r="G3383" s="17" t="s">
        <v>3113</v>
      </c>
    </row>
    <row r="3384">
      <c r="A3384" s="12">
        <v>1977.0</v>
      </c>
      <c r="B3384" s="17" t="s">
        <v>8402</v>
      </c>
      <c r="C3384" s="17" t="s">
        <v>8403</v>
      </c>
      <c r="D3384" s="17" t="s">
        <v>8404</v>
      </c>
      <c r="E3384" s="16">
        <v>7.5</v>
      </c>
      <c r="F3384" s="7">
        <f t="shared" si="3"/>
        <v>92.5</v>
      </c>
      <c r="G3384" s="17" t="s">
        <v>3113</v>
      </c>
    </row>
    <row r="3385">
      <c r="A3385" s="12">
        <v>1978.0</v>
      </c>
      <c r="B3385" s="17" t="s">
        <v>8402</v>
      </c>
      <c r="C3385" s="17" t="s">
        <v>8405</v>
      </c>
      <c r="D3385" s="17" t="s">
        <v>8406</v>
      </c>
      <c r="E3385" s="16">
        <v>7.5</v>
      </c>
      <c r="F3385" s="7">
        <f t="shared" si="3"/>
        <v>92.5</v>
      </c>
      <c r="G3385" s="17" t="s">
        <v>3113</v>
      </c>
    </row>
    <row r="3386">
      <c r="A3386" s="12">
        <v>1979.0</v>
      </c>
      <c r="B3386" s="17" t="s">
        <v>8407</v>
      </c>
      <c r="C3386" s="17" t="s">
        <v>8408</v>
      </c>
      <c r="D3386" s="17" t="s">
        <v>8409</v>
      </c>
      <c r="E3386" s="16">
        <v>7.5</v>
      </c>
      <c r="F3386" s="7">
        <f t="shared" si="3"/>
        <v>92.5</v>
      </c>
      <c r="G3386" s="17" t="s">
        <v>3113</v>
      </c>
    </row>
    <row r="3387">
      <c r="A3387" s="12">
        <v>1980.0</v>
      </c>
      <c r="B3387" s="17" t="s">
        <v>8410</v>
      </c>
      <c r="C3387" s="17" t="s">
        <v>8411</v>
      </c>
      <c r="D3387" s="17" t="s">
        <v>8412</v>
      </c>
      <c r="E3387" s="16">
        <v>7.5</v>
      </c>
      <c r="F3387" s="7">
        <f t="shared" si="3"/>
        <v>92.5</v>
      </c>
      <c r="G3387" s="17" t="s">
        <v>3113</v>
      </c>
    </row>
    <row r="3388">
      <c r="A3388" s="12">
        <v>1981.0</v>
      </c>
      <c r="B3388" s="17" t="s">
        <v>8413</v>
      </c>
      <c r="C3388" s="17" t="s">
        <v>8414</v>
      </c>
      <c r="D3388" s="17" t="s">
        <v>8415</v>
      </c>
      <c r="E3388" s="16">
        <v>7.5</v>
      </c>
      <c r="F3388" s="7">
        <f t="shared" si="3"/>
        <v>92.5</v>
      </c>
      <c r="G3388" s="17" t="s">
        <v>3113</v>
      </c>
    </row>
    <row r="3389">
      <c r="A3389" s="12">
        <v>1982.0</v>
      </c>
      <c r="B3389" s="17" t="s">
        <v>8416</v>
      </c>
      <c r="C3389" s="17" t="s">
        <v>8417</v>
      </c>
      <c r="D3389" s="17" t="s">
        <v>8418</v>
      </c>
      <c r="E3389" s="16">
        <v>7.5</v>
      </c>
      <c r="F3389" s="7">
        <f t="shared" si="3"/>
        <v>92.5</v>
      </c>
      <c r="G3389" s="17" t="s">
        <v>3113</v>
      </c>
    </row>
    <row r="3390">
      <c r="A3390" s="12">
        <v>1983.0</v>
      </c>
      <c r="B3390" s="17" t="s">
        <v>8419</v>
      </c>
      <c r="C3390" s="17" t="s">
        <v>8420</v>
      </c>
      <c r="D3390" s="17" t="s">
        <v>8421</v>
      </c>
      <c r="E3390" s="16">
        <v>7.5</v>
      </c>
      <c r="F3390" s="7">
        <f t="shared" si="3"/>
        <v>92.5</v>
      </c>
      <c r="G3390" s="17" t="s">
        <v>3113</v>
      </c>
    </row>
    <row r="3391">
      <c r="A3391" s="12">
        <v>1984.0</v>
      </c>
      <c r="B3391" s="17" t="s">
        <v>8422</v>
      </c>
      <c r="C3391" s="17" t="s">
        <v>8423</v>
      </c>
      <c r="D3391" s="17" t="s">
        <v>8424</v>
      </c>
      <c r="E3391" s="16">
        <v>7.5</v>
      </c>
      <c r="F3391" s="7">
        <f t="shared" si="3"/>
        <v>92.5</v>
      </c>
      <c r="G3391" s="17" t="s">
        <v>3113</v>
      </c>
    </row>
    <row r="3392">
      <c r="A3392" s="12">
        <v>1985.0</v>
      </c>
      <c r="B3392" s="17" t="s">
        <v>8422</v>
      </c>
      <c r="C3392" s="17" t="s">
        <v>8425</v>
      </c>
      <c r="D3392" s="17" t="s">
        <v>8426</v>
      </c>
      <c r="E3392" s="16">
        <v>7.5</v>
      </c>
      <c r="F3392" s="7">
        <f t="shared" si="3"/>
        <v>92.5</v>
      </c>
      <c r="G3392" s="17" t="s">
        <v>3113</v>
      </c>
    </row>
    <row r="3393">
      <c r="A3393" s="12">
        <v>1986.0</v>
      </c>
      <c r="B3393" s="17" t="s">
        <v>8427</v>
      </c>
      <c r="C3393" s="17" t="s">
        <v>8428</v>
      </c>
      <c r="D3393" s="17" t="s">
        <v>8429</v>
      </c>
      <c r="E3393" s="16">
        <v>7.5</v>
      </c>
      <c r="F3393" s="7">
        <f t="shared" si="3"/>
        <v>92.5</v>
      </c>
      <c r="G3393" s="17" t="s">
        <v>3113</v>
      </c>
    </row>
    <row r="3394">
      <c r="A3394" s="12">
        <v>1987.0</v>
      </c>
      <c r="B3394" s="17" t="s">
        <v>8430</v>
      </c>
      <c r="C3394" s="17" t="s">
        <v>8431</v>
      </c>
      <c r="D3394" s="17" t="s">
        <v>8432</v>
      </c>
      <c r="E3394" s="16">
        <v>7.5</v>
      </c>
      <c r="F3394" s="7">
        <f t="shared" si="3"/>
        <v>92.5</v>
      </c>
      <c r="G3394" s="17" t="s">
        <v>3113</v>
      </c>
    </row>
    <row r="3395">
      <c r="A3395" s="12">
        <v>1988.0</v>
      </c>
      <c r="B3395" s="17" t="s">
        <v>8433</v>
      </c>
      <c r="C3395" s="17" t="s">
        <v>8434</v>
      </c>
      <c r="D3395" s="17" t="s">
        <v>8435</v>
      </c>
      <c r="E3395" s="16">
        <v>7.5</v>
      </c>
      <c r="F3395" s="7">
        <f t="shared" si="3"/>
        <v>92.5</v>
      </c>
      <c r="G3395" s="17" t="s">
        <v>3113</v>
      </c>
    </row>
    <row r="3396">
      <c r="A3396" s="12">
        <v>1989.0</v>
      </c>
      <c r="B3396" s="17" t="s">
        <v>8436</v>
      </c>
      <c r="C3396" s="17" t="s">
        <v>8437</v>
      </c>
      <c r="D3396" s="17" t="s">
        <v>8438</v>
      </c>
      <c r="E3396" s="16">
        <v>7.5</v>
      </c>
      <c r="F3396" s="7">
        <f t="shared" si="3"/>
        <v>92.5</v>
      </c>
      <c r="G3396" s="17" t="s">
        <v>3113</v>
      </c>
    </row>
    <row r="3397">
      <c r="A3397" s="12">
        <v>1990.0</v>
      </c>
      <c r="B3397" s="17" t="s">
        <v>8439</v>
      </c>
      <c r="C3397" s="17" t="s">
        <v>8440</v>
      </c>
      <c r="D3397" s="17" t="s">
        <v>8441</v>
      </c>
      <c r="E3397" s="16">
        <v>7.5</v>
      </c>
      <c r="F3397" s="7">
        <f t="shared" si="3"/>
        <v>92.5</v>
      </c>
      <c r="G3397" s="17" t="s">
        <v>3113</v>
      </c>
    </row>
    <row r="3398">
      <c r="A3398" s="12">
        <v>1991.0</v>
      </c>
      <c r="B3398" s="17" t="s">
        <v>8439</v>
      </c>
      <c r="C3398" s="17" t="s">
        <v>8442</v>
      </c>
      <c r="D3398" s="17" t="s">
        <v>8443</v>
      </c>
      <c r="E3398" s="16">
        <v>7.5</v>
      </c>
      <c r="F3398" s="7">
        <f t="shared" si="3"/>
        <v>92.5</v>
      </c>
      <c r="G3398" s="17" t="s">
        <v>3113</v>
      </c>
    </row>
    <row r="3399">
      <c r="A3399" s="12">
        <v>1992.0</v>
      </c>
      <c r="B3399" s="17" t="s">
        <v>8444</v>
      </c>
      <c r="C3399" s="17" t="s">
        <v>8445</v>
      </c>
      <c r="D3399" s="17" t="s">
        <v>8446</v>
      </c>
      <c r="E3399" s="16">
        <v>7.5</v>
      </c>
      <c r="F3399" s="7">
        <f t="shared" si="3"/>
        <v>92.5</v>
      </c>
      <c r="G3399" s="17" t="s">
        <v>3113</v>
      </c>
    </row>
    <row r="3400">
      <c r="A3400" s="12">
        <v>1993.0</v>
      </c>
      <c r="B3400" s="17" t="s">
        <v>8447</v>
      </c>
      <c r="C3400" s="17" t="s">
        <v>8448</v>
      </c>
      <c r="D3400" s="17" t="s">
        <v>8449</v>
      </c>
      <c r="E3400" s="16">
        <v>7.5</v>
      </c>
      <c r="F3400" s="7">
        <f t="shared" si="3"/>
        <v>92.5</v>
      </c>
      <c r="G3400" s="17" t="s">
        <v>3113</v>
      </c>
    </row>
    <row r="3401">
      <c r="A3401" s="12">
        <v>1994.0</v>
      </c>
      <c r="B3401" s="17" t="s">
        <v>8450</v>
      </c>
      <c r="C3401" s="17" t="s">
        <v>8451</v>
      </c>
      <c r="D3401" s="17" t="s">
        <v>8452</v>
      </c>
      <c r="E3401" s="16">
        <v>7.5</v>
      </c>
      <c r="F3401" s="7">
        <f t="shared" si="3"/>
        <v>92.5</v>
      </c>
      <c r="G3401" s="17" t="s">
        <v>3113</v>
      </c>
    </row>
    <row r="3402">
      <c r="A3402" s="12">
        <v>1995.0</v>
      </c>
      <c r="B3402" s="17" t="s">
        <v>8453</v>
      </c>
      <c r="C3402" s="17" t="s">
        <v>8454</v>
      </c>
      <c r="D3402" s="17" t="s">
        <v>8455</v>
      </c>
      <c r="E3402" s="16">
        <v>7.5</v>
      </c>
      <c r="F3402" s="7">
        <f t="shared" si="3"/>
        <v>92.5</v>
      </c>
      <c r="G3402" s="17" t="s">
        <v>3113</v>
      </c>
    </row>
    <row r="3403">
      <c r="A3403" s="12">
        <v>1996.0</v>
      </c>
      <c r="B3403" s="17" t="s">
        <v>8456</v>
      </c>
      <c r="C3403" s="17" t="s">
        <v>8457</v>
      </c>
      <c r="D3403" s="17" t="s">
        <v>8458</v>
      </c>
      <c r="E3403" s="16">
        <v>7.5</v>
      </c>
      <c r="F3403" s="7">
        <f t="shared" si="3"/>
        <v>92.5</v>
      </c>
      <c r="G3403" s="17" t="s">
        <v>3113</v>
      </c>
    </row>
    <row r="3404">
      <c r="A3404" s="12">
        <v>1997.0</v>
      </c>
      <c r="B3404" s="17" t="s">
        <v>8459</v>
      </c>
      <c r="C3404" s="17" t="s">
        <v>8460</v>
      </c>
      <c r="D3404" s="17" t="s">
        <v>8461</v>
      </c>
      <c r="E3404" s="16">
        <v>7.5</v>
      </c>
      <c r="F3404" s="7">
        <f t="shared" si="3"/>
        <v>92.5</v>
      </c>
      <c r="G3404" s="17" t="s">
        <v>3113</v>
      </c>
    </row>
    <row r="3405">
      <c r="A3405" s="12">
        <v>1998.0</v>
      </c>
      <c r="B3405" s="17" t="s">
        <v>8462</v>
      </c>
      <c r="C3405" s="17" t="s">
        <v>8463</v>
      </c>
      <c r="D3405" s="17" t="s">
        <v>8464</v>
      </c>
      <c r="E3405" s="16">
        <v>7.5</v>
      </c>
      <c r="F3405" s="7">
        <f t="shared" si="3"/>
        <v>92.5</v>
      </c>
      <c r="G3405" s="17" t="s">
        <v>3113</v>
      </c>
    </row>
    <row r="3406">
      <c r="A3406" s="12">
        <v>1999.0</v>
      </c>
      <c r="B3406" s="17" t="s">
        <v>8462</v>
      </c>
      <c r="C3406" s="17" t="s">
        <v>8465</v>
      </c>
      <c r="D3406" s="17" t="s">
        <v>8466</v>
      </c>
      <c r="E3406" s="16">
        <v>7.5</v>
      </c>
      <c r="F3406" s="7">
        <f t="shared" si="3"/>
        <v>92.5</v>
      </c>
      <c r="G3406" s="17" t="s">
        <v>3113</v>
      </c>
    </row>
    <row r="3407">
      <c r="A3407" s="12">
        <v>2000.0</v>
      </c>
      <c r="B3407" s="17" t="s">
        <v>8467</v>
      </c>
      <c r="C3407" s="17" t="s">
        <v>8468</v>
      </c>
      <c r="D3407" s="17" t="s">
        <v>8469</v>
      </c>
      <c r="E3407" s="16">
        <v>7.5</v>
      </c>
      <c r="F3407" s="7">
        <f t="shared" si="3"/>
        <v>92.5</v>
      </c>
      <c r="G3407" s="17" t="s">
        <v>3113</v>
      </c>
    </row>
    <row r="3408">
      <c r="A3408" s="12">
        <v>2001.0</v>
      </c>
      <c r="B3408" s="17" t="s">
        <v>8467</v>
      </c>
      <c r="C3408" s="17" t="s">
        <v>8470</v>
      </c>
      <c r="D3408" s="17" t="s">
        <v>8471</v>
      </c>
      <c r="E3408" s="16">
        <v>7.5</v>
      </c>
      <c r="F3408" s="7">
        <f t="shared" si="3"/>
        <v>92.5</v>
      </c>
      <c r="G3408" s="17" t="s">
        <v>3113</v>
      </c>
    </row>
    <row r="3409">
      <c r="A3409" s="12">
        <v>2002.0</v>
      </c>
      <c r="B3409" s="17" t="s">
        <v>8472</v>
      </c>
      <c r="C3409" s="17" t="s">
        <v>8473</v>
      </c>
      <c r="D3409" s="17" t="s">
        <v>8474</v>
      </c>
      <c r="E3409" s="16">
        <v>7.5</v>
      </c>
      <c r="F3409" s="7">
        <f t="shared" si="3"/>
        <v>92.5</v>
      </c>
      <c r="G3409" s="17" t="s">
        <v>3113</v>
      </c>
    </row>
    <row r="3410">
      <c r="A3410" s="12">
        <v>2003.0</v>
      </c>
      <c r="B3410" s="17" t="s">
        <v>8475</v>
      </c>
      <c r="C3410" s="17" t="s">
        <v>8476</v>
      </c>
      <c r="D3410" s="17" t="s">
        <v>8477</v>
      </c>
      <c r="E3410" s="16">
        <v>7.5</v>
      </c>
      <c r="F3410" s="7">
        <f t="shared" si="3"/>
        <v>92.5</v>
      </c>
      <c r="G3410" s="17" t="s">
        <v>3113</v>
      </c>
    </row>
    <row r="3411">
      <c r="A3411" s="12">
        <v>2004.0</v>
      </c>
      <c r="B3411" s="17" t="s">
        <v>8478</v>
      </c>
      <c r="C3411" s="17" t="s">
        <v>8479</v>
      </c>
      <c r="D3411" s="17" t="s">
        <v>8480</v>
      </c>
      <c r="E3411" s="16">
        <v>7.5</v>
      </c>
      <c r="F3411" s="7">
        <f t="shared" si="3"/>
        <v>92.5</v>
      </c>
      <c r="G3411" s="17" t="s">
        <v>3113</v>
      </c>
    </row>
    <row r="3412">
      <c r="A3412" s="12">
        <v>2005.0</v>
      </c>
      <c r="B3412" s="17" t="s">
        <v>8481</v>
      </c>
      <c r="C3412" s="17" t="s">
        <v>8482</v>
      </c>
      <c r="D3412" s="17" t="s">
        <v>8483</v>
      </c>
      <c r="E3412" s="16">
        <v>7.5</v>
      </c>
      <c r="F3412" s="7">
        <f t="shared" si="3"/>
        <v>92.5</v>
      </c>
      <c r="G3412" s="17" t="s">
        <v>3113</v>
      </c>
    </row>
    <row r="3413">
      <c r="A3413" s="12">
        <v>2006.0</v>
      </c>
      <c r="B3413" s="17" t="s">
        <v>8484</v>
      </c>
      <c r="C3413" s="17" t="s">
        <v>8485</v>
      </c>
      <c r="D3413" s="17" t="s">
        <v>8486</v>
      </c>
      <c r="E3413" s="16">
        <v>7.5</v>
      </c>
      <c r="F3413" s="7">
        <f t="shared" si="3"/>
        <v>92.5</v>
      </c>
      <c r="G3413" s="17" t="s">
        <v>3113</v>
      </c>
    </row>
    <row r="3414">
      <c r="A3414" s="12">
        <v>2007.0</v>
      </c>
      <c r="B3414" s="17" t="s">
        <v>8487</v>
      </c>
      <c r="C3414" s="17" t="s">
        <v>8488</v>
      </c>
      <c r="D3414" s="17" t="s">
        <v>8489</v>
      </c>
      <c r="E3414" s="16">
        <v>7.5</v>
      </c>
      <c r="F3414" s="7">
        <f t="shared" si="3"/>
        <v>92.5</v>
      </c>
      <c r="G3414" s="17" t="s">
        <v>3113</v>
      </c>
    </row>
    <row r="3415">
      <c r="A3415" s="12">
        <v>2008.0</v>
      </c>
      <c r="B3415" s="17" t="s">
        <v>8490</v>
      </c>
      <c r="C3415" s="17" t="s">
        <v>8491</v>
      </c>
      <c r="D3415" s="17" t="s">
        <v>8492</v>
      </c>
      <c r="E3415" s="16">
        <v>7.5</v>
      </c>
      <c r="F3415" s="7">
        <f t="shared" si="3"/>
        <v>92.5</v>
      </c>
      <c r="G3415" s="17" t="s">
        <v>3113</v>
      </c>
    </row>
    <row r="3416">
      <c r="A3416" s="12">
        <v>2009.0</v>
      </c>
      <c r="B3416" s="17" t="s">
        <v>8493</v>
      </c>
      <c r="C3416" s="17" t="s">
        <v>8494</v>
      </c>
      <c r="D3416" s="17" t="s">
        <v>8495</v>
      </c>
      <c r="E3416" s="16">
        <v>7.5</v>
      </c>
      <c r="F3416" s="7">
        <f t="shared" si="3"/>
        <v>92.5</v>
      </c>
      <c r="G3416" s="17" t="s">
        <v>3113</v>
      </c>
    </row>
    <row r="3417">
      <c r="A3417" s="12">
        <v>2010.0</v>
      </c>
      <c r="B3417" s="17" t="s">
        <v>8496</v>
      </c>
      <c r="C3417" s="17" t="s">
        <v>8497</v>
      </c>
      <c r="D3417" s="17" t="s">
        <v>8498</v>
      </c>
      <c r="E3417" s="16">
        <v>7.5</v>
      </c>
      <c r="F3417" s="7">
        <f t="shared" si="3"/>
        <v>92.5</v>
      </c>
      <c r="G3417" s="17" t="s">
        <v>3113</v>
      </c>
    </row>
    <row r="3418">
      <c r="A3418" s="12">
        <v>2011.0</v>
      </c>
      <c r="B3418" s="17" t="s">
        <v>8499</v>
      </c>
      <c r="C3418" s="17" t="s">
        <v>8500</v>
      </c>
      <c r="D3418" s="17" t="s">
        <v>8501</v>
      </c>
      <c r="E3418" s="16">
        <v>7.5</v>
      </c>
      <c r="F3418" s="7">
        <f t="shared" si="3"/>
        <v>92.5</v>
      </c>
      <c r="G3418" s="17" t="s">
        <v>3113</v>
      </c>
    </row>
    <row r="3419">
      <c r="A3419" s="12">
        <v>2012.0</v>
      </c>
      <c r="B3419" s="17" t="s">
        <v>8502</v>
      </c>
      <c r="C3419" s="17" t="s">
        <v>8503</v>
      </c>
      <c r="D3419" s="17" t="s">
        <v>8504</v>
      </c>
      <c r="E3419" s="16">
        <v>7.5</v>
      </c>
      <c r="F3419" s="7">
        <f t="shared" si="3"/>
        <v>92.5</v>
      </c>
      <c r="G3419" s="17" t="s">
        <v>3113</v>
      </c>
    </row>
    <row r="3420">
      <c r="A3420" s="12">
        <v>2013.0</v>
      </c>
      <c r="B3420" s="17" t="s">
        <v>8505</v>
      </c>
      <c r="C3420" s="17" t="s">
        <v>8506</v>
      </c>
      <c r="D3420" s="17" t="s">
        <v>8507</v>
      </c>
      <c r="E3420" s="16">
        <v>7.5</v>
      </c>
      <c r="F3420" s="7">
        <f t="shared" si="3"/>
        <v>92.5</v>
      </c>
      <c r="G3420" s="17" t="s">
        <v>3113</v>
      </c>
    </row>
    <row r="3421">
      <c r="A3421" s="12">
        <v>2014.0</v>
      </c>
      <c r="B3421" s="17" t="s">
        <v>8508</v>
      </c>
      <c r="C3421" s="17" t="s">
        <v>8509</v>
      </c>
      <c r="D3421" s="17" t="s">
        <v>8510</v>
      </c>
      <c r="E3421" s="16">
        <v>7.5</v>
      </c>
      <c r="F3421" s="7">
        <f t="shared" si="3"/>
        <v>92.5</v>
      </c>
      <c r="G3421" s="17" t="s">
        <v>3113</v>
      </c>
    </row>
    <row r="3422">
      <c r="A3422" s="12">
        <v>2015.0</v>
      </c>
      <c r="B3422" s="17" t="s">
        <v>8511</v>
      </c>
      <c r="C3422" s="17" t="s">
        <v>8512</v>
      </c>
      <c r="D3422" s="17" t="s">
        <v>8513</v>
      </c>
      <c r="E3422" s="16">
        <v>7.5</v>
      </c>
      <c r="F3422" s="7">
        <f t="shared" si="3"/>
        <v>92.5</v>
      </c>
      <c r="G3422" s="17" t="s">
        <v>3113</v>
      </c>
    </row>
    <row r="3423">
      <c r="A3423" s="12">
        <v>2016.0</v>
      </c>
      <c r="B3423" s="17" t="s">
        <v>8514</v>
      </c>
      <c r="C3423" s="17" t="s">
        <v>8515</v>
      </c>
      <c r="D3423" s="17" t="s">
        <v>8516</v>
      </c>
      <c r="E3423" s="16">
        <v>7.5</v>
      </c>
      <c r="F3423" s="7">
        <f t="shared" si="3"/>
        <v>92.5</v>
      </c>
      <c r="G3423" s="17" t="s">
        <v>3113</v>
      </c>
    </row>
    <row r="3424">
      <c r="A3424" s="12">
        <v>2017.0</v>
      </c>
      <c r="B3424" s="17" t="s">
        <v>8517</v>
      </c>
      <c r="C3424" s="17" t="s">
        <v>8518</v>
      </c>
      <c r="D3424" s="17" t="s">
        <v>8519</v>
      </c>
      <c r="E3424" s="16">
        <v>7.5</v>
      </c>
      <c r="F3424" s="7">
        <f t="shared" si="3"/>
        <v>92.5</v>
      </c>
      <c r="G3424" s="17" t="s">
        <v>3113</v>
      </c>
    </row>
    <row r="3425">
      <c r="A3425" s="12">
        <v>2018.0</v>
      </c>
      <c r="B3425" s="17" t="s">
        <v>8520</v>
      </c>
      <c r="C3425" s="17" t="s">
        <v>8521</v>
      </c>
      <c r="D3425" s="17" t="s">
        <v>8522</v>
      </c>
      <c r="E3425" s="16">
        <v>7.5</v>
      </c>
      <c r="F3425" s="7">
        <f t="shared" si="3"/>
        <v>92.5</v>
      </c>
      <c r="G3425" s="17" t="s">
        <v>3113</v>
      </c>
    </row>
    <row r="3426">
      <c r="A3426" s="12">
        <v>2019.0</v>
      </c>
      <c r="B3426" s="17" t="s">
        <v>8523</v>
      </c>
      <c r="C3426" s="17" t="s">
        <v>8524</v>
      </c>
      <c r="D3426" s="17" t="s">
        <v>8525</v>
      </c>
      <c r="E3426" s="16">
        <v>7.5</v>
      </c>
      <c r="F3426" s="7">
        <f t="shared" si="3"/>
        <v>92.5</v>
      </c>
      <c r="G3426" s="17" t="s">
        <v>3113</v>
      </c>
    </row>
    <row r="3427">
      <c r="A3427" s="12">
        <v>2020.0</v>
      </c>
      <c r="B3427" s="17" t="s">
        <v>8526</v>
      </c>
      <c r="C3427" s="17" t="s">
        <v>8527</v>
      </c>
      <c r="D3427" s="17" t="s">
        <v>8528</v>
      </c>
      <c r="E3427" s="16">
        <v>7.5</v>
      </c>
      <c r="F3427" s="7">
        <f t="shared" si="3"/>
        <v>92.5</v>
      </c>
      <c r="G3427" s="17" t="s">
        <v>3113</v>
      </c>
    </row>
    <row r="3428">
      <c r="A3428" s="12">
        <v>2021.0</v>
      </c>
      <c r="B3428" s="17" t="s">
        <v>8529</v>
      </c>
      <c r="C3428" s="17" t="s">
        <v>8530</v>
      </c>
      <c r="D3428" s="17" t="s">
        <v>8531</v>
      </c>
      <c r="E3428" s="16">
        <v>7.5</v>
      </c>
      <c r="F3428" s="7">
        <f t="shared" si="3"/>
        <v>92.5</v>
      </c>
      <c r="G3428" s="17" t="s">
        <v>3113</v>
      </c>
    </row>
    <row r="3429">
      <c r="A3429" s="12">
        <v>2022.0</v>
      </c>
      <c r="B3429" s="17" t="s">
        <v>8532</v>
      </c>
      <c r="C3429" s="17" t="s">
        <v>8533</v>
      </c>
      <c r="D3429" s="17" t="s">
        <v>8534</v>
      </c>
      <c r="E3429" s="16">
        <v>7.5</v>
      </c>
      <c r="F3429" s="7">
        <f t="shared" si="3"/>
        <v>92.5</v>
      </c>
      <c r="G3429" s="17" t="s">
        <v>3113</v>
      </c>
    </row>
    <row r="3430">
      <c r="A3430" s="12">
        <v>2023.0</v>
      </c>
      <c r="B3430" s="17" t="s">
        <v>8535</v>
      </c>
      <c r="C3430" s="17" t="s">
        <v>8536</v>
      </c>
      <c r="D3430" s="17" t="s">
        <v>8537</v>
      </c>
      <c r="E3430" s="16">
        <v>7.5</v>
      </c>
      <c r="F3430" s="7">
        <f t="shared" si="3"/>
        <v>92.5</v>
      </c>
      <c r="G3430" s="17" t="s">
        <v>3113</v>
      </c>
    </row>
    <row r="3431">
      <c r="A3431" s="12">
        <v>2024.0</v>
      </c>
      <c r="B3431" s="17" t="s">
        <v>8538</v>
      </c>
      <c r="C3431" s="17" t="s">
        <v>8539</v>
      </c>
      <c r="D3431" s="17" t="s">
        <v>8540</v>
      </c>
      <c r="E3431" s="16">
        <v>7.5</v>
      </c>
      <c r="F3431" s="7">
        <f t="shared" si="3"/>
        <v>92.5</v>
      </c>
      <c r="G3431" s="17" t="s">
        <v>3113</v>
      </c>
    </row>
    <row r="3432">
      <c r="A3432" s="12">
        <v>2025.0</v>
      </c>
      <c r="B3432" s="17" t="s">
        <v>8538</v>
      </c>
      <c r="C3432" s="17" t="s">
        <v>8541</v>
      </c>
      <c r="D3432" s="17" t="s">
        <v>8542</v>
      </c>
      <c r="E3432" s="16">
        <v>7.5</v>
      </c>
      <c r="F3432" s="7">
        <f t="shared" si="3"/>
        <v>92.5</v>
      </c>
      <c r="G3432" s="17" t="s">
        <v>3113</v>
      </c>
    </row>
    <row r="3433">
      <c r="A3433" s="12">
        <v>2026.0</v>
      </c>
      <c r="B3433" s="17" t="s">
        <v>8543</v>
      </c>
      <c r="C3433" s="17" t="s">
        <v>8544</v>
      </c>
      <c r="D3433" s="17" t="s">
        <v>8545</v>
      </c>
      <c r="E3433" s="16">
        <v>7.5</v>
      </c>
      <c r="F3433" s="7">
        <f t="shared" si="3"/>
        <v>92.5</v>
      </c>
      <c r="G3433" s="17" t="s">
        <v>3113</v>
      </c>
    </row>
    <row r="3434">
      <c r="A3434" s="12">
        <v>2027.0</v>
      </c>
      <c r="B3434" s="17" t="s">
        <v>8546</v>
      </c>
      <c r="C3434" s="17" t="s">
        <v>8547</v>
      </c>
      <c r="D3434" s="17" t="s">
        <v>8548</v>
      </c>
      <c r="E3434" s="16">
        <v>7.5</v>
      </c>
      <c r="F3434" s="7">
        <f t="shared" si="3"/>
        <v>92.5</v>
      </c>
      <c r="G3434" s="17" t="s">
        <v>3113</v>
      </c>
    </row>
    <row r="3435">
      <c r="A3435" s="12">
        <v>2028.0</v>
      </c>
      <c r="B3435" s="17" t="s">
        <v>8546</v>
      </c>
      <c r="C3435" s="17" t="s">
        <v>8549</v>
      </c>
      <c r="D3435" s="17" t="s">
        <v>8550</v>
      </c>
      <c r="E3435" s="16">
        <v>7.5</v>
      </c>
      <c r="F3435" s="7">
        <f t="shared" si="3"/>
        <v>92.5</v>
      </c>
      <c r="G3435" s="17" t="s">
        <v>3113</v>
      </c>
    </row>
    <row r="3436">
      <c r="A3436" s="12">
        <v>2029.0</v>
      </c>
      <c r="B3436" s="17" t="s">
        <v>8551</v>
      </c>
      <c r="C3436" s="17" t="s">
        <v>8552</v>
      </c>
      <c r="D3436" s="17" t="s">
        <v>8553</v>
      </c>
      <c r="E3436" s="16">
        <v>7.5</v>
      </c>
      <c r="F3436" s="7">
        <f t="shared" si="3"/>
        <v>92.5</v>
      </c>
      <c r="G3436" s="17" t="s">
        <v>3113</v>
      </c>
    </row>
    <row r="3437">
      <c r="A3437" s="12">
        <v>2030.0</v>
      </c>
      <c r="B3437" s="17" t="s">
        <v>8554</v>
      </c>
      <c r="C3437" s="17" t="s">
        <v>8555</v>
      </c>
      <c r="D3437" s="17" t="s">
        <v>8556</v>
      </c>
      <c r="E3437" s="16">
        <v>7.5</v>
      </c>
      <c r="F3437" s="7">
        <f t="shared" si="3"/>
        <v>92.5</v>
      </c>
      <c r="G3437" s="17" t="s">
        <v>3113</v>
      </c>
    </row>
    <row r="3438">
      <c r="A3438" s="12">
        <v>2031.0</v>
      </c>
      <c r="B3438" s="17" t="s">
        <v>8557</v>
      </c>
      <c r="C3438" s="17" t="s">
        <v>8558</v>
      </c>
      <c r="D3438" s="17" t="s">
        <v>8559</v>
      </c>
      <c r="E3438" s="16">
        <v>7.5</v>
      </c>
      <c r="F3438" s="7">
        <f t="shared" si="3"/>
        <v>92.5</v>
      </c>
      <c r="G3438" s="17" t="s">
        <v>3113</v>
      </c>
    </row>
    <row r="3439">
      <c r="A3439" s="12">
        <v>2032.0</v>
      </c>
      <c r="B3439" s="17" t="s">
        <v>8560</v>
      </c>
      <c r="C3439" s="17" t="s">
        <v>8561</v>
      </c>
      <c r="D3439" s="17" t="s">
        <v>8562</v>
      </c>
      <c r="E3439" s="16">
        <v>7.5</v>
      </c>
      <c r="F3439" s="7">
        <f t="shared" si="3"/>
        <v>92.5</v>
      </c>
      <c r="G3439" s="17" t="s">
        <v>3113</v>
      </c>
    </row>
    <row r="3440">
      <c r="A3440" s="12">
        <v>2033.0</v>
      </c>
      <c r="B3440" s="17" t="s">
        <v>8563</v>
      </c>
      <c r="C3440" s="17" t="s">
        <v>8564</v>
      </c>
      <c r="D3440" s="17" t="s">
        <v>8565</v>
      </c>
      <c r="E3440" s="16">
        <v>7.5</v>
      </c>
      <c r="F3440" s="7">
        <f t="shared" si="3"/>
        <v>92.5</v>
      </c>
      <c r="G3440" s="17" t="s">
        <v>3113</v>
      </c>
    </row>
    <row r="3441">
      <c r="A3441" s="12">
        <v>2034.0</v>
      </c>
      <c r="B3441" s="17" t="s">
        <v>8566</v>
      </c>
      <c r="C3441" s="17" t="s">
        <v>8567</v>
      </c>
      <c r="D3441" s="17" t="s">
        <v>8568</v>
      </c>
      <c r="E3441" s="16">
        <v>7.5</v>
      </c>
      <c r="F3441" s="7">
        <f t="shared" si="3"/>
        <v>92.5</v>
      </c>
      <c r="G3441" s="17" t="s">
        <v>3113</v>
      </c>
    </row>
    <row r="3442">
      <c r="A3442" s="12">
        <v>2035.0</v>
      </c>
      <c r="B3442" s="17" t="s">
        <v>8569</v>
      </c>
      <c r="C3442" s="17" t="s">
        <v>8570</v>
      </c>
      <c r="D3442" s="17" t="s">
        <v>8571</v>
      </c>
      <c r="E3442" s="16">
        <v>7.5</v>
      </c>
      <c r="F3442" s="7">
        <f t="shared" si="3"/>
        <v>92.5</v>
      </c>
      <c r="G3442" s="17" t="s">
        <v>3113</v>
      </c>
    </row>
    <row r="3443">
      <c r="A3443" s="12">
        <v>2036.0</v>
      </c>
      <c r="B3443" s="17" t="s">
        <v>8572</v>
      </c>
      <c r="C3443" s="17" t="s">
        <v>8573</v>
      </c>
      <c r="D3443" s="17" t="s">
        <v>8574</v>
      </c>
      <c r="E3443" s="16">
        <v>7.5</v>
      </c>
      <c r="F3443" s="7">
        <f t="shared" si="3"/>
        <v>92.5</v>
      </c>
      <c r="G3443" s="17" t="s">
        <v>3113</v>
      </c>
    </row>
    <row r="3444">
      <c r="A3444" s="12">
        <v>2037.0</v>
      </c>
      <c r="B3444" s="17" t="s">
        <v>8572</v>
      </c>
      <c r="C3444" s="17" t="s">
        <v>8575</v>
      </c>
      <c r="D3444" s="17" t="s">
        <v>8576</v>
      </c>
      <c r="E3444" s="16">
        <v>7.5</v>
      </c>
      <c r="F3444" s="7">
        <f t="shared" si="3"/>
        <v>92.5</v>
      </c>
      <c r="G3444" s="17" t="s">
        <v>3113</v>
      </c>
    </row>
    <row r="3445">
      <c r="A3445" s="12">
        <v>2038.0</v>
      </c>
      <c r="B3445" s="17" t="s">
        <v>8572</v>
      </c>
      <c r="C3445" s="17" t="s">
        <v>8577</v>
      </c>
      <c r="D3445" s="17" t="s">
        <v>8578</v>
      </c>
      <c r="E3445" s="16">
        <v>7.5</v>
      </c>
      <c r="F3445" s="7">
        <f t="shared" si="3"/>
        <v>92.5</v>
      </c>
      <c r="G3445" s="17" t="s">
        <v>3113</v>
      </c>
    </row>
    <row r="3446">
      <c r="A3446" s="12">
        <v>2039.0</v>
      </c>
      <c r="B3446" s="17" t="s">
        <v>8579</v>
      </c>
      <c r="C3446" s="17" t="s">
        <v>8580</v>
      </c>
      <c r="D3446" s="17" t="s">
        <v>8581</v>
      </c>
      <c r="E3446" s="16">
        <v>7.5</v>
      </c>
      <c r="F3446" s="7">
        <f t="shared" si="3"/>
        <v>92.5</v>
      </c>
      <c r="G3446" s="17" t="s">
        <v>3113</v>
      </c>
    </row>
    <row r="3447">
      <c r="A3447" s="12">
        <v>2040.0</v>
      </c>
      <c r="B3447" s="17" t="s">
        <v>8579</v>
      </c>
      <c r="C3447" s="17" t="s">
        <v>8582</v>
      </c>
      <c r="D3447" s="17" t="s">
        <v>8583</v>
      </c>
      <c r="E3447" s="16">
        <v>7.5</v>
      </c>
      <c r="F3447" s="7">
        <f t="shared" si="3"/>
        <v>92.5</v>
      </c>
      <c r="G3447" s="17" t="s">
        <v>3113</v>
      </c>
    </row>
    <row r="3448">
      <c r="A3448" s="12">
        <v>2041.0</v>
      </c>
      <c r="B3448" s="17" t="s">
        <v>8579</v>
      </c>
      <c r="C3448" s="17" t="s">
        <v>8584</v>
      </c>
      <c r="D3448" s="17" t="s">
        <v>8585</v>
      </c>
      <c r="E3448" s="16">
        <v>7.5</v>
      </c>
      <c r="F3448" s="7">
        <f t="shared" si="3"/>
        <v>92.5</v>
      </c>
      <c r="G3448" s="17" t="s">
        <v>3113</v>
      </c>
    </row>
    <row r="3449">
      <c r="A3449" s="12">
        <v>2042.0</v>
      </c>
      <c r="B3449" s="17" t="s">
        <v>8586</v>
      </c>
      <c r="C3449" s="17" t="s">
        <v>8587</v>
      </c>
      <c r="D3449" s="17" t="s">
        <v>8588</v>
      </c>
      <c r="E3449" s="16">
        <v>7.5</v>
      </c>
      <c r="F3449" s="7">
        <f t="shared" si="3"/>
        <v>92.5</v>
      </c>
      <c r="G3449" s="17" t="s">
        <v>3113</v>
      </c>
    </row>
    <row r="3450">
      <c r="A3450" s="12">
        <v>2043.0</v>
      </c>
      <c r="B3450" s="17" t="s">
        <v>8586</v>
      </c>
      <c r="C3450" s="17" t="s">
        <v>8589</v>
      </c>
      <c r="D3450" s="17" t="s">
        <v>8590</v>
      </c>
      <c r="E3450" s="16">
        <v>7.5</v>
      </c>
      <c r="F3450" s="7">
        <f t="shared" si="3"/>
        <v>92.5</v>
      </c>
      <c r="G3450" s="17" t="s">
        <v>3113</v>
      </c>
    </row>
    <row r="3451">
      <c r="A3451" s="12">
        <v>2044.0</v>
      </c>
      <c r="B3451" s="17" t="s">
        <v>8586</v>
      </c>
      <c r="C3451" s="17" t="s">
        <v>8591</v>
      </c>
      <c r="D3451" s="17" t="s">
        <v>8592</v>
      </c>
      <c r="E3451" s="16">
        <v>7.5</v>
      </c>
      <c r="F3451" s="7">
        <f t="shared" si="3"/>
        <v>92.5</v>
      </c>
      <c r="G3451" s="17" t="s">
        <v>3113</v>
      </c>
    </row>
    <row r="3452">
      <c r="A3452" s="12">
        <v>2045.0</v>
      </c>
      <c r="B3452" s="17" t="s">
        <v>8593</v>
      </c>
      <c r="C3452" s="17" t="s">
        <v>8594</v>
      </c>
      <c r="D3452" s="17" t="s">
        <v>8595</v>
      </c>
      <c r="E3452" s="16">
        <v>7.5</v>
      </c>
      <c r="F3452" s="7">
        <f t="shared" si="3"/>
        <v>92.5</v>
      </c>
      <c r="G3452" s="17" t="s">
        <v>3113</v>
      </c>
    </row>
    <row r="3453">
      <c r="A3453" s="12">
        <v>2046.0</v>
      </c>
      <c r="B3453" s="17" t="s">
        <v>8593</v>
      </c>
      <c r="C3453" s="17" t="s">
        <v>8596</v>
      </c>
      <c r="D3453" s="17" t="s">
        <v>8597</v>
      </c>
      <c r="E3453" s="16">
        <v>7.5</v>
      </c>
      <c r="F3453" s="7">
        <f t="shared" si="3"/>
        <v>92.5</v>
      </c>
      <c r="G3453" s="17" t="s">
        <v>3113</v>
      </c>
    </row>
    <row r="3454">
      <c r="A3454" s="12">
        <v>2047.0</v>
      </c>
      <c r="B3454" s="17" t="s">
        <v>8593</v>
      </c>
      <c r="C3454" s="17" t="s">
        <v>8598</v>
      </c>
      <c r="D3454" s="17" t="s">
        <v>8599</v>
      </c>
      <c r="E3454" s="16">
        <v>7.5</v>
      </c>
      <c r="F3454" s="7">
        <f t="shared" si="3"/>
        <v>92.5</v>
      </c>
      <c r="G3454" s="17" t="s">
        <v>3113</v>
      </c>
    </row>
    <row r="3455">
      <c r="A3455" s="12">
        <v>2048.0</v>
      </c>
      <c r="B3455" s="17" t="s">
        <v>8600</v>
      </c>
      <c r="C3455" s="17" t="s">
        <v>8601</v>
      </c>
      <c r="D3455" s="17" t="s">
        <v>8602</v>
      </c>
      <c r="E3455" s="16">
        <v>7.5</v>
      </c>
      <c r="F3455" s="7">
        <f t="shared" si="3"/>
        <v>92.5</v>
      </c>
      <c r="G3455" s="17" t="s">
        <v>3113</v>
      </c>
    </row>
    <row r="3456">
      <c r="A3456" s="12">
        <v>2049.0</v>
      </c>
      <c r="B3456" s="17" t="s">
        <v>8600</v>
      </c>
      <c r="C3456" s="17" t="s">
        <v>8603</v>
      </c>
      <c r="D3456" s="17" t="s">
        <v>8604</v>
      </c>
      <c r="E3456" s="16">
        <v>7.5</v>
      </c>
      <c r="F3456" s="7">
        <f t="shared" si="3"/>
        <v>92.5</v>
      </c>
      <c r="G3456" s="17" t="s">
        <v>3113</v>
      </c>
    </row>
    <row r="3457">
      <c r="A3457" s="12">
        <v>2050.0</v>
      </c>
      <c r="B3457" s="17" t="s">
        <v>8600</v>
      </c>
      <c r="C3457" s="17" t="s">
        <v>8605</v>
      </c>
      <c r="D3457" s="17" t="s">
        <v>8606</v>
      </c>
      <c r="E3457" s="16">
        <v>7.5</v>
      </c>
      <c r="F3457" s="7">
        <f t="shared" si="3"/>
        <v>92.5</v>
      </c>
      <c r="G3457" s="17" t="s">
        <v>3113</v>
      </c>
    </row>
    <row r="3458">
      <c r="A3458" s="12">
        <v>2051.0</v>
      </c>
      <c r="B3458" s="17" t="s">
        <v>8607</v>
      </c>
      <c r="C3458" s="17" t="s">
        <v>8608</v>
      </c>
      <c r="D3458" s="17" t="s">
        <v>8609</v>
      </c>
      <c r="E3458" s="16">
        <v>7.5</v>
      </c>
      <c r="F3458" s="7">
        <f t="shared" si="3"/>
        <v>92.5</v>
      </c>
      <c r="G3458" s="17" t="s">
        <v>3113</v>
      </c>
    </row>
    <row r="3459">
      <c r="A3459" s="12">
        <v>2052.0</v>
      </c>
      <c r="B3459" s="17" t="s">
        <v>8607</v>
      </c>
      <c r="C3459" s="17" t="s">
        <v>8610</v>
      </c>
      <c r="D3459" s="17" t="s">
        <v>8611</v>
      </c>
      <c r="E3459" s="16">
        <v>7.5</v>
      </c>
      <c r="F3459" s="7">
        <f t="shared" si="3"/>
        <v>92.5</v>
      </c>
      <c r="G3459" s="17" t="s">
        <v>3113</v>
      </c>
    </row>
    <row r="3460">
      <c r="A3460" s="12">
        <v>2053.0</v>
      </c>
      <c r="B3460" s="17" t="s">
        <v>8607</v>
      </c>
      <c r="C3460" s="17" t="s">
        <v>8612</v>
      </c>
      <c r="D3460" s="17" t="s">
        <v>8613</v>
      </c>
      <c r="E3460" s="16">
        <v>7.5</v>
      </c>
      <c r="F3460" s="7">
        <f t="shared" si="3"/>
        <v>92.5</v>
      </c>
      <c r="G3460" s="17" t="s">
        <v>3113</v>
      </c>
    </row>
    <row r="3461">
      <c r="A3461" s="12">
        <v>2054.0</v>
      </c>
      <c r="B3461" s="17" t="s">
        <v>8614</v>
      </c>
      <c r="C3461" s="17" t="s">
        <v>8615</v>
      </c>
      <c r="D3461" s="17" t="s">
        <v>8616</v>
      </c>
      <c r="E3461" s="16">
        <v>7.5</v>
      </c>
      <c r="F3461" s="7">
        <f t="shared" si="3"/>
        <v>92.5</v>
      </c>
      <c r="G3461" s="17" t="s">
        <v>3113</v>
      </c>
    </row>
    <row r="3462">
      <c r="A3462" s="12">
        <v>2055.0</v>
      </c>
      <c r="B3462" s="17" t="s">
        <v>8614</v>
      </c>
      <c r="C3462" s="17" t="s">
        <v>8617</v>
      </c>
      <c r="D3462" s="17" t="s">
        <v>8618</v>
      </c>
      <c r="E3462" s="16">
        <v>7.5</v>
      </c>
      <c r="F3462" s="7">
        <f t="shared" si="3"/>
        <v>92.5</v>
      </c>
      <c r="G3462" s="17" t="s">
        <v>3113</v>
      </c>
    </row>
    <row r="3463">
      <c r="A3463" s="12">
        <v>2056.0</v>
      </c>
      <c r="B3463" s="17" t="s">
        <v>8614</v>
      </c>
      <c r="C3463" s="17" t="s">
        <v>8619</v>
      </c>
      <c r="D3463" s="17" t="s">
        <v>8620</v>
      </c>
      <c r="E3463" s="16">
        <v>7.5</v>
      </c>
      <c r="F3463" s="7">
        <f t="shared" si="3"/>
        <v>92.5</v>
      </c>
      <c r="G3463" s="17" t="s">
        <v>3113</v>
      </c>
    </row>
    <row r="3464">
      <c r="A3464" s="12">
        <v>2057.0</v>
      </c>
      <c r="B3464" s="17" t="s">
        <v>8621</v>
      </c>
      <c r="C3464" s="17" t="s">
        <v>8622</v>
      </c>
      <c r="D3464" s="17" t="s">
        <v>8623</v>
      </c>
      <c r="E3464" s="16">
        <v>7.5</v>
      </c>
      <c r="F3464" s="7">
        <f t="shared" si="3"/>
        <v>92.5</v>
      </c>
      <c r="G3464" s="17" t="s">
        <v>3113</v>
      </c>
    </row>
    <row r="3465">
      <c r="A3465" s="12">
        <v>2058.0</v>
      </c>
      <c r="B3465" s="17" t="s">
        <v>8624</v>
      </c>
      <c r="C3465" s="17" t="s">
        <v>8625</v>
      </c>
      <c r="D3465" s="17" t="s">
        <v>8626</v>
      </c>
      <c r="E3465" s="16">
        <v>7.5</v>
      </c>
      <c r="F3465" s="7">
        <f t="shared" si="3"/>
        <v>92.5</v>
      </c>
      <c r="G3465" s="17" t="s">
        <v>3113</v>
      </c>
    </row>
    <row r="3466">
      <c r="A3466" s="12">
        <v>2059.0</v>
      </c>
      <c r="B3466" s="17" t="s">
        <v>8627</v>
      </c>
      <c r="C3466" s="17" t="s">
        <v>8628</v>
      </c>
      <c r="D3466" s="17" t="s">
        <v>8629</v>
      </c>
      <c r="E3466" s="16">
        <v>7.5</v>
      </c>
      <c r="F3466" s="7">
        <f t="shared" si="3"/>
        <v>92.5</v>
      </c>
      <c r="G3466" s="17" t="s">
        <v>3113</v>
      </c>
    </row>
    <row r="3467">
      <c r="A3467" s="12">
        <v>2060.0</v>
      </c>
      <c r="B3467" s="17" t="s">
        <v>8630</v>
      </c>
      <c r="C3467" s="17" t="s">
        <v>8631</v>
      </c>
      <c r="D3467" s="17" t="s">
        <v>8632</v>
      </c>
      <c r="E3467" s="16">
        <v>7.5</v>
      </c>
      <c r="F3467" s="7">
        <f t="shared" si="3"/>
        <v>92.5</v>
      </c>
      <c r="G3467" s="17" t="s">
        <v>3113</v>
      </c>
    </row>
    <row r="3468">
      <c r="A3468" s="12">
        <v>2061.0</v>
      </c>
      <c r="B3468" s="17" t="s">
        <v>8633</v>
      </c>
      <c r="C3468" s="17" t="s">
        <v>8634</v>
      </c>
      <c r="D3468" s="17" t="s">
        <v>8635</v>
      </c>
      <c r="E3468" s="16">
        <v>7.5</v>
      </c>
      <c r="F3468" s="7">
        <f t="shared" si="3"/>
        <v>92.5</v>
      </c>
      <c r="G3468" s="17" t="s">
        <v>3113</v>
      </c>
    </row>
    <row r="3469">
      <c r="A3469" s="12">
        <v>2062.0</v>
      </c>
      <c r="B3469" s="17" t="s">
        <v>8636</v>
      </c>
      <c r="C3469" s="17" t="s">
        <v>8637</v>
      </c>
      <c r="D3469" s="17" t="s">
        <v>8638</v>
      </c>
      <c r="E3469" s="16">
        <v>7.5</v>
      </c>
      <c r="F3469" s="7">
        <f t="shared" si="3"/>
        <v>92.5</v>
      </c>
      <c r="G3469" s="17" t="s">
        <v>3113</v>
      </c>
    </row>
    <row r="3470">
      <c r="A3470" s="12">
        <v>2063.0</v>
      </c>
      <c r="B3470" s="17" t="s">
        <v>8639</v>
      </c>
      <c r="C3470" s="17" t="s">
        <v>8640</v>
      </c>
      <c r="D3470" s="17" t="s">
        <v>8641</v>
      </c>
      <c r="E3470" s="16">
        <v>7.5</v>
      </c>
      <c r="F3470" s="7">
        <f t="shared" si="3"/>
        <v>92.5</v>
      </c>
      <c r="G3470" s="17" t="s">
        <v>3113</v>
      </c>
    </row>
    <row r="3471">
      <c r="A3471" s="12">
        <v>2064.0</v>
      </c>
      <c r="B3471" s="17" t="s">
        <v>8642</v>
      </c>
      <c r="C3471" s="17" t="s">
        <v>8643</v>
      </c>
      <c r="D3471" s="17" t="s">
        <v>8644</v>
      </c>
      <c r="E3471" s="16">
        <v>7.5</v>
      </c>
      <c r="F3471" s="7">
        <f t="shared" si="3"/>
        <v>92.5</v>
      </c>
      <c r="G3471" s="17" t="s">
        <v>3113</v>
      </c>
    </row>
    <row r="3472">
      <c r="A3472" s="12">
        <v>2065.0</v>
      </c>
      <c r="B3472" s="17" t="s">
        <v>8645</v>
      </c>
      <c r="C3472" s="17" t="s">
        <v>8646</v>
      </c>
      <c r="D3472" s="17" t="s">
        <v>8647</v>
      </c>
      <c r="E3472" s="16">
        <v>7.5</v>
      </c>
      <c r="F3472" s="7">
        <f t="shared" si="3"/>
        <v>92.5</v>
      </c>
      <c r="G3472" s="17" t="s">
        <v>3113</v>
      </c>
    </row>
    <row r="3473">
      <c r="A3473" s="12">
        <v>2066.0</v>
      </c>
      <c r="B3473" s="17" t="s">
        <v>8648</v>
      </c>
      <c r="C3473" s="17" t="s">
        <v>8649</v>
      </c>
      <c r="D3473" s="17" t="s">
        <v>8650</v>
      </c>
      <c r="E3473" s="16">
        <v>7.5</v>
      </c>
      <c r="F3473" s="7">
        <f t="shared" si="3"/>
        <v>92.5</v>
      </c>
      <c r="G3473" s="17" t="s">
        <v>3113</v>
      </c>
    </row>
    <row r="3474">
      <c r="A3474" s="12">
        <v>2067.0</v>
      </c>
      <c r="B3474" s="17" t="s">
        <v>8648</v>
      </c>
      <c r="C3474" s="17" t="s">
        <v>8651</v>
      </c>
      <c r="D3474" s="17" t="s">
        <v>8652</v>
      </c>
      <c r="E3474" s="16">
        <v>7.5</v>
      </c>
      <c r="F3474" s="7">
        <f t="shared" si="3"/>
        <v>92.5</v>
      </c>
      <c r="G3474" s="17" t="s">
        <v>3113</v>
      </c>
    </row>
    <row r="3475">
      <c r="A3475" s="12">
        <v>2068.0</v>
      </c>
      <c r="B3475" s="17" t="s">
        <v>8653</v>
      </c>
      <c r="C3475" s="17" t="s">
        <v>8654</v>
      </c>
      <c r="D3475" s="17" t="s">
        <v>8655</v>
      </c>
      <c r="E3475" s="16">
        <v>7.5</v>
      </c>
      <c r="F3475" s="7">
        <f t="shared" si="3"/>
        <v>92.5</v>
      </c>
      <c r="G3475" s="17" t="s">
        <v>3113</v>
      </c>
    </row>
    <row r="3476">
      <c r="A3476" s="12">
        <v>2069.0</v>
      </c>
      <c r="B3476" s="17" t="s">
        <v>8656</v>
      </c>
      <c r="C3476" s="17" t="s">
        <v>8657</v>
      </c>
      <c r="D3476" s="17" t="s">
        <v>8658</v>
      </c>
      <c r="E3476" s="16">
        <v>7.5</v>
      </c>
      <c r="F3476" s="7">
        <f t="shared" si="3"/>
        <v>92.5</v>
      </c>
      <c r="G3476" s="17" t="s">
        <v>3113</v>
      </c>
    </row>
    <row r="3477">
      <c r="A3477" s="12">
        <v>2070.0</v>
      </c>
      <c r="B3477" s="17" t="s">
        <v>8659</v>
      </c>
      <c r="C3477" s="17" t="s">
        <v>8660</v>
      </c>
      <c r="D3477" s="17" t="s">
        <v>8661</v>
      </c>
      <c r="E3477" s="16">
        <v>7.5</v>
      </c>
      <c r="F3477" s="7">
        <f t="shared" si="3"/>
        <v>92.5</v>
      </c>
      <c r="G3477" s="17" t="s">
        <v>3113</v>
      </c>
    </row>
    <row r="3478">
      <c r="A3478" s="12">
        <v>2071.0</v>
      </c>
      <c r="B3478" s="17" t="s">
        <v>8662</v>
      </c>
      <c r="C3478" s="17" t="s">
        <v>8663</v>
      </c>
      <c r="D3478" s="17" t="s">
        <v>8664</v>
      </c>
      <c r="E3478" s="16">
        <v>7.5</v>
      </c>
      <c r="F3478" s="7">
        <f t="shared" si="3"/>
        <v>92.5</v>
      </c>
      <c r="G3478" s="17" t="s">
        <v>3113</v>
      </c>
    </row>
    <row r="3479">
      <c r="A3479" s="12">
        <v>2072.0</v>
      </c>
      <c r="B3479" s="17" t="s">
        <v>8665</v>
      </c>
      <c r="C3479" s="17" t="s">
        <v>8666</v>
      </c>
      <c r="D3479" s="17" t="s">
        <v>8667</v>
      </c>
      <c r="E3479" s="16">
        <v>7.5</v>
      </c>
      <c r="F3479" s="7">
        <f t="shared" si="3"/>
        <v>92.5</v>
      </c>
      <c r="G3479" s="17" t="s">
        <v>3113</v>
      </c>
    </row>
    <row r="3480">
      <c r="A3480" s="12">
        <v>2073.0</v>
      </c>
      <c r="B3480" s="17" t="s">
        <v>8668</v>
      </c>
      <c r="C3480" s="17" t="s">
        <v>8669</v>
      </c>
      <c r="D3480" s="17" t="s">
        <v>8670</v>
      </c>
      <c r="E3480" s="16">
        <v>7.5</v>
      </c>
      <c r="F3480" s="7">
        <f t="shared" si="3"/>
        <v>92.5</v>
      </c>
      <c r="G3480" s="17" t="s">
        <v>3113</v>
      </c>
    </row>
    <row r="3481">
      <c r="A3481" s="12">
        <v>2074.0</v>
      </c>
      <c r="B3481" s="17" t="s">
        <v>8671</v>
      </c>
      <c r="C3481" s="17" t="s">
        <v>8672</v>
      </c>
      <c r="D3481" s="17" t="s">
        <v>8673</v>
      </c>
      <c r="E3481" s="16">
        <v>7.5</v>
      </c>
      <c r="F3481" s="7">
        <f t="shared" si="3"/>
        <v>92.5</v>
      </c>
      <c r="G3481" s="17" t="s">
        <v>3113</v>
      </c>
    </row>
    <row r="3482">
      <c r="A3482" s="12">
        <v>2075.0</v>
      </c>
      <c r="B3482" s="17" t="s">
        <v>8674</v>
      </c>
      <c r="C3482" s="17" t="s">
        <v>8675</v>
      </c>
      <c r="D3482" s="17" t="s">
        <v>8676</v>
      </c>
      <c r="E3482" s="16">
        <v>7.5</v>
      </c>
      <c r="F3482" s="7">
        <f t="shared" si="3"/>
        <v>92.5</v>
      </c>
      <c r="G3482" s="17" t="s">
        <v>3113</v>
      </c>
    </row>
    <row r="3483">
      <c r="A3483" s="12">
        <v>2076.0</v>
      </c>
      <c r="B3483" s="17" t="s">
        <v>8674</v>
      </c>
      <c r="C3483" s="17" t="s">
        <v>8677</v>
      </c>
      <c r="D3483" s="17" t="s">
        <v>8678</v>
      </c>
      <c r="E3483" s="16">
        <v>7.5</v>
      </c>
      <c r="F3483" s="7">
        <f t="shared" si="3"/>
        <v>92.5</v>
      </c>
      <c r="G3483" s="17" t="s">
        <v>3113</v>
      </c>
    </row>
    <row r="3484">
      <c r="A3484" s="12">
        <v>2077.0</v>
      </c>
      <c r="B3484" s="17" t="s">
        <v>8679</v>
      </c>
      <c r="C3484" s="17" t="s">
        <v>8680</v>
      </c>
      <c r="D3484" s="17" t="s">
        <v>8681</v>
      </c>
      <c r="E3484" s="16">
        <v>7.5</v>
      </c>
      <c r="F3484" s="7">
        <f t="shared" si="3"/>
        <v>92.5</v>
      </c>
      <c r="G3484" s="17" t="s">
        <v>3113</v>
      </c>
    </row>
    <row r="3485">
      <c r="A3485" s="12">
        <v>2078.0</v>
      </c>
      <c r="B3485" s="17" t="s">
        <v>8679</v>
      </c>
      <c r="C3485" s="17" t="s">
        <v>8682</v>
      </c>
      <c r="D3485" s="17" t="s">
        <v>8683</v>
      </c>
      <c r="E3485" s="16">
        <v>7.5</v>
      </c>
      <c r="F3485" s="7">
        <f t="shared" si="3"/>
        <v>92.5</v>
      </c>
      <c r="G3485" s="17" t="s">
        <v>3113</v>
      </c>
    </row>
    <row r="3486">
      <c r="A3486" s="12">
        <v>2079.0</v>
      </c>
      <c r="B3486" s="17" t="s">
        <v>8684</v>
      </c>
      <c r="C3486" s="17" t="s">
        <v>8685</v>
      </c>
      <c r="D3486" s="17" t="s">
        <v>8686</v>
      </c>
      <c r="E3486" s="16">
        <v>7.5</v>
      </c>
      <c r="F3486" s="7">
        <f t="shared" si="3"/>
        <v>92.5</v>
      </c>
      <c r="G3486" s="17" t="s">
        <v>3113</v>
      </c>
    </row>
    <row r="3487">
      <c r="A3487" s="12">
        <v>2080.0</v>
      </c>
      <c r="B3487" s="17" t="s">
        <v>8687</v>
      </c>
      <c r="C3487" s="17" t="s">
        <v>8688</v>
      </c>
      <c r="D3487" s="17" t="s">
        <v>8689</v>
      </c>
      <c r="E3487" s="16">
        <v>7.5</v>
      </c>
      <c r="F3487" s="7">
        <f t="shared" si="3"/>
        <v>92.5</v>
      </c>
      <c r="G3487" s="17" t="s">
        <v>3113</v>
      </c>
    </row>
    <row r="3488">
      <c r="A3488" s="12">
        <v>2081.0</v>
      </c>
      <c r="B3488" s="17" t="s">
        <v>8690</v>
      </c>
      <c r="C3488" s="17" t="s">
        <v>8691</v>
      </c>
      <c r="D3488" s="17" t="s">
        <v>8692</v>
      </c>
      <c r="E3488" s="16">
        <v>7.5</v>
      </c>
      <c r="F3488" s="7">
        <f t="shared" si="3"/>
        <v>92.5</v>
      </c>
      <c r="G3488" s="17" t="s">
        <v>3113</v>
      </c>
    </row>
    <row r="3489">
      <c r="A3489" s="12">
        <v>2082.0</v>
      </c>
      <c r="B3489" s="17" t="s">
        <v>8693</v>
      </c>
      <c r="C3489" s="17" t="s">
        <v>8694</v>
      </c>
      <c r="D3489" s="17" t="s">
        <v>8695</v>
      </c>
      <c r="E3489" s="16">
        <v>7.5</v>
      </c>
      <c r="F3489" s="7">
        <f t="shared" si="3"/>
        <v>92.5</v>
      </c>
      <c r="G3489" s="17" t="s">
        <v>3113</v>
      </c>
    </row>
    <row r="3490">
      <c r="A3490" s="12">
        <v>2083.0</v>
      </c>
      <c r="B3490" s="17" t="s">
        <v>8696</v>
      </c>
      <c r="C3490" s="17" t="s">
        <v>8697</v>
      </c>
      <c r="D3490" s="17" t="s">
        <v>8698</v>
      </c>
      <c r="E3490" s="16">
        <v>7.5</v>
      </c>
      <c r="F3490" s="7">
        <f t="shared" si="3"/>
        <v>92.5</v>
      </c>
      <c r="G3490" s="17" t="s">
        <v>3113</v>
      </c>
    </row>
    <row r="3491">
      <c r="A3491" s="12">
        <v>2084.0</v>
      </c>
      <c r="B3491" s="17" t="s">
        <v>8696</v>
      </c>
      <c r="C3491" s="17" t="s">
        <v>8699</v>
      </c>
      <c r="D3491" s="17" t="s">
        <v>8700</v>
      </c>
      <c r="E3491" s="16">
        <v>7.5</v>
      </c>
      <c r="F3491" s="7">
        <f t="shared" si="3"/>
        <v>92.5</v>
      </c>
      <c r="G3491" s="17" t="s">
        <v>3113</v>
      </c>
    </row>
    <row r="3492">
      <c r="A3492" s="12">
        <v>2085.0</v>
      </c>
      <c r="B3492" s="17" t="s">
        <v>8701</v>
      </c>
      <c r="C3492" s="17" t="s">
        <v>8702</v>
      </c>
      <c r="D3492" s="17" t="s">
        <v>8703</v>
      </c>
      <c r="E3492" s="16">
        <v>7.5</v>
      </c>
      <c r="F3492" s="7">
        <f t="shared" si="3"/>
        <v>92.5</v>
      </c>
      <c r="G3492" s="17" t="s">
        <v>3113</v>
      </c>
    </row>
    <row r="3493">
      <c r="A3493" s="12">
        <v>2086.0</v>
      </c>
      <c r="B3493" s="17" t="s">
        <v>8701</v>
      </c>
      <c r="C3493" s="17" t="s">
        <v>8704</v>
      </c>
      <c r="D3493" s="17" t="s">
        <v>8705</v>
      </c>
      <c r="E3493" s="16">
        <v>7.5</v>
      </c>
      <c r="F3493" s="7">
        <f t="shared" si="3"/>
        <v>92.5</v>
      </c>
      <c r="G3493" s="17" t="s">
        <v>3113</v>
      </c>
    </row>
    <row r="3494">
      <c r="A3494" s="12">
        <v>2087.0</v>
      </c>
      <c r="B3494" s="17" t="s">
        <v>8706</v>
      </c>
      <c r="C3494" s="17" t="s">
        <v>8707</v>
      </c>
      <c r="D3494" s="17" t="s">
        <v>8708</v>
      </c>
      <c r="E3494" s="16">
        <v>7.5</v>
      </c>
      <c r="F3494" s="7">
        <f t="shared" si="3"/>
        <v>92.5</v>
      </c>
      <c r="G3494" s="17" t="s">
        <v>3113</v>
      </c>
    </row>
    <row r="3495">
      <c r="A3495" s="12">
        <v>2088.0</v>
      </c>
      <c r="B3495" s="17" t="s">
        <v>8709</v>
      </c>
      <c r="C3495" s="17" t="s">
        <v>8710</v>
      </c>
      <c r="D3495" s="17" t="s">
        <v>8711</v>
      </c>
      <c r="E3495" s="16">
        <v>7.5</v>
      </c>
      <c r="F3495" s="7">
        <f t="shared" si="3"/>
        <v>92.5</v>
      </c>
      <c r="G3495" s="17" t="s">
        <v>3113</v>
      </c>
    </row>
    <row r="3496">
      <c r="A3496" s="12">
        <v>2089.0</v>
      </c>
      <c r="B3496" s="17" t="s">
        <v>8712</v>
      </c>
      <c r="C3496" s="17" t="s">
        <v>8713</v>
      </c>
      <c r="D3496" s="17" t="s">
        <v>8714</v>
      </c>
      <c r="E3496" s="16">
        <v>7.5</v>
      </c>
      <c r="F3496" s="7">
        <f t="shared" si="3"/>
        <v>92.5</v>
      </c>
      <c r="G3496" s="17" t="s">
        <v>3113</v>
      </c>
    </row>
    <row r="3497">
      <c r="A3497" s="12">
        <v>2090.0</v>
      </c>
      <c r="B3497" s="17" t="s">
        <v>8715</v>
      </c>
      <c r="C3497" s="17" t="s">
        <v>8716</v>
      </c>
      <c r="D3497" s="17" t="s">
        <v>8717</v>
      </c>
      <c r="E3497" s="16">
        <v>7.5</v>
      </c>
      <c r="F3497" s="7">
        <f t="shared" si="3"/>
        <v>92.5</v>
      </c>
      <c r="G3497" s="17" t="s">
        <v>3113</v>
      </c>
    </row>
    <row r="3498">
      <c r="A3498" s="12">
        <v>2091.0</v>
      </c>
      <c r="B3498" s="17" t="s">
        <v>8718</v>
      </c>
      <c r="C3498" s="17" t="s">
        <v>8719</v>
      </c>
      <c r="D3498" s="17" t="s">
        <v>8720</v>
      </c>
      <c r="E3498" s="16">
        <v>7.5</v>
      </c>
      <c r="F3498" s="7">
        <f t="shared" si="3"/>
        <v>92.5</v>
      </c>
      <c r="G3498" s="17" t="s">
        <v>3113</v>
      </c>
    </row>
    <row r="3499">
      <c r="A3499" s="12">
        <v>2092.0</v>
      </c>
      <c r="B3499" s="17" t="s">
        <v>8721</v>
      </c>
      <c r="C3499" s="17" t="s">
        <v>8722</v>
      </c>
      <c r="D3499" s="17" t="s">
        <v>8723</v>
      </c>
      <c r="E3499" s="16">
        <v>7.5</v>
      </c>
      <c r="F3499" s="7">
        <f t="shared" si="3"/>
        <v>92.5</v>
      </c>
      <c r="G3499" s="17" t="s">
        <v>3113</v>
      </c>
    </row>
    <row r="3500">
      <c r="A3500" s="12">
        <v>2093.0</v>
      </c>
      <c r="B3500" s="17" t="s">
        <v>8724</v>
      </c>
      <c r="C3500" s="17" t="s">
        <v>8725</v>
      </c>
      <c r="D3500" s="17" t="s">
        <v>8726</v>
      </c>
      <c r="E3500" s="16">
        <v>7.5</v>
      </c>
      <c r="F3500" s="7">
        <f t="shared" si="3"/>
        <v>92.5</v>
      </c>
      <c r="G3500" s="17" t="s">
        <v>3113</v>
      </c>
    </row>
    <row r="3501">
      <c r="A3501" s="12">
        <v>2094.0</v>
      </c>
      <c r="B3501" s="17" t="s">
        <v>8727</v>
      </c>
      <c r="C3501" s="17" t="s">
        <v>8728</v>
      </c>
      <c r="D3501" s="17" t="s">
        <v>8729</v>
      </c>
      <c r="E3501" s="16">
        <v>7.5</v>
      </c>
      <c r="F3501" s="7">
        <f t="shared" si="3"/>
        <v>92.5</v>
      </c>
      <c r="G3501" s="17" t="s">
        <v>3113</v>
      </c>
    </row>
    <row r="3502">
      <c r="A3502" s="12">
        <v>2095.0</v>
      </c>
      <c r="B3502" s="17" t="s">
        <v>8730</v>
      </c>
      <c r="C3502" s="17" t="s">
        <v>8731</v>
      </c>
      <c r="D3502" s="17" t="s">
        <v>8732</v>
      </c>
      <c r="E3502" s="16">
        <v>7.5</v>
      </c>
      <c r="F3502" s="7">
        <f t="shared" si="3"/>
        <v>92.5</v>
      </c>
      <c r="G3502" s="17" t="s">
        <v>3113</v>
      </c>
    </row>
    <row r="3503">
      <c r="A3503" s="12">
        <v>2096.0</v>
      </c>
      <c r="B3503" s="17" t="s">
        <v>8733</v>
      </c>
      <c r="C3503" s="17" t="s">
        <v>8734</v>
      </c>
      <c r="D3503" s="17" t="s">
        <v>8735</v>
      </c>
      <c r="E3503" s="16">
        <v>7.5</v>
      </c>
      <c r="F3503" s="7">
        <f t="shared" si="3"/>
        <v>92.5</v>
      </c>
      <c r="G3503" s="17" t="s">
        <v>3113</v>
      </c>
    </row>
    <row r="3504">
      <c r="A3504" s="12">
        <v>2097.0</v>
      </c>
      <c r="B3504" s="17" t="s">
        <v>8736</v>
      </c>
      <c r="C3504" s="17" t="s">
        <v>8737</v>
      </c>
      <c r="D3504" s="17" t="s">
        <v>8738</v>
      </c>
      <c r="E3504" s="16">
        <v>7.5</v>
      </c>
      <c r="F3504" s="7">
        <f t="shared" si="3"/>
        <v>92.5</v>
      </c>
      <c r="G3504" s="17" t="s">
        <v>3113</v>
      </c>
    </row>
    <row r="3505">
      <c r="A3505" s="12">
        <v>2098.0</v>
      </c>
      <c r="B3505" s="17" t="s">
        <v>8739</v>
      </c>
      <c r="C3505" s="17" t="s">
        <v>8740</v>
      </c>
      <c r="D3505" s="17" t="s">
        <v>8741</v>
      </c>
      <c r="E3505" s="16">
        <v>7.5</v>
      </c>
      <c r="F3505" s="7">
        <f t="shared" si="3"/>
        <v>92.5</v>
      </c>
      <c r="G3505" s="17" t="s">
        <v>3113</v>
      </c>
    </row>
    <row r="3506">
      <c r="A3506" s="12">
        <v>2099.0</v>
      </c>
      <c r="B3506" s="17" t="s">
        <v>8742</v>
      </c>
      <c r="C3506" s="17" t="s">
        <v>8743</v>
      </c>
      <c r="D3506" s="17" t="s">
        <v>8744</v>
      </c>
      <c r="E3506" s="16">
        <v>7.5</v>
      </c>
      <c r="F3506" s="7">
        <f t="shared" si="3"/>
        <v>92.5</v>
      </c>
      <c r="G3506" s="17" t="s">
        <v>3113</v>
      </c>
    </row>
    <row r="3507">
      <c r="A3507" s="12">
        <v>2100.0</v>
      </c>
      <c r="B3507" s="17" t="s">
        <v>8745</v>
      </c>
      <c r="C3507" s="17" t="s">
        <v>8746</v>
      </c>
      <c r="D3507" s="17" t="s">
        <v>8747</v>
      </c>
      <c r="E3507" s="16">
        <v>7.5</v>
      </c>
      <c r="F3507" s="7">
        <f t="shared" si="3"/>
        <v>92.5</v>
      </c>
      <c r="G3507" s="17" t="s">
        <v>3113</v>
      </c>
    </row>
    <row r="3508">
      <c r="A3508" s="12">
        <v>2101.0</v>
      </c>
      <c r="B3508" s="17" t="s">
        <v>8748</v>
      </c>
      <c r="C3508" s="17" t="s">
        <v>8749</v>
      </c>
      <c r="D3508" s="17" t="s">
        <v>8750</v>
      </c>
      <c r="E3508" s="16">
        <v>7.5</v>
      </c>
      <c r="F3508" s="7">
        <f t="shared" si="3"/>
        <v>92.5</v>
      </c>
      <c r="G3508" s="17" t="s">
        <v>3113</v>
      </c>
    </row>
    <row r="3509">
      <c r="A3509" s="12">
        <v>2102.0</v>
      </c>
      <c r="B3509" s="17" t="s">
        <v>8751</v>
      </c>
      <c r="C3509" s="17" t="s">
        <v>8752</v>
      </c>
      <c r="D3509" s="17" t="s">
        <v>8753</v>
      </c>
      <c r="E3509" s="16">
        <v>7.5</v>
      </c>
      <c r="F3509" s="7">
        <f t="shared" si="3"/>
        <v>92.5</v>
      </c>
      <c r="G3509" s="17" t="s">
        <v>3113</v>
      </c>
    </row>
    <row r="3510">
      <c r="A3510" s="12">
        <v>2103.0</v>
      </c>
      <c r="B3510" s="17" t="s">
        <v>8754</v>
      </c>
      <c r="C3510" s="17" t="s">
        <v>8755</v>
      </c>
      <c r="D3510" s="17" t="s">
        <v>8756</v>
      </c>
      <c r="E3510" s="16">
        <v>7.5</v>
      </c>
      <c r="F3510" s="7">
        <f t="shared" si="3"/>
        <v>92.5</v>
      </c>
      <c r="G3510" s="17" t="s">
        <v>3113</v>
      </c>
    </row>
    <row r="3511">
      <c r="A3511" s="12">
        <v>2104.0</v>
      </c>
      <c r="B3511" s="17" t="s">
        <v>8757</v>
      </c>
      <c r="C3511" s="17" t="s">
        <v>8758</v>
      </c>
      <c r="D3511" s="17" t="s">
        <v>8759</v>
      </c>
      <c r="E3511" s="16">
        <v>7.5</v>
      </c>
      <c r="F3511" s="7">
        <f t="shared" si="3"/>
        <v>92.5</v>
      </c>
      <c r="G3511" s="17" t="s">
        <v>3113</v>
      </c>
    </row>
    <row r="3512">
      <c r="A3512" s="12">
        <v>2105.0</v>
      </c>
      <c r="B3512" s="17" t="s">
        <v>8760</v>
      </c>
      <c r="C3512" s="17" t="s">
        <v>8761</v>
      </c>
      <c r="D3512" s="17" t="s">
        <v>8762</v>
      </c>
      <c r="E3512" s="16">
        <v>7.5</v>
      </c>
      <c r="F3512" s="7">
        <f t="shared" si="3"/>
        <v>92.5</v>
      </c>
      <c r="G3512" s="17" t="s">
        <v>3113</v>
      </c>
    </row>
    <row r="3513">
      <c r="A3513" s="12">
        <v>2106.0</v>
      </c>
      <c r="B3513" s="17" t="s">
        <v>8760</v>
      </c>
      <c r="C3513" s="17" t="s">
        <v>8763</v>
      </c>
      <c r="D3513" s="17" t="s">
        <v>8764</v>
      </c>
      <c r="E3513" s="16">
        <v>7.5</v>
      </c>
      <c r="F3513" s="7">
        <f t="shared" si="3"/>
        <v>92.5</v>
      </c>
      <c r="G3513" s="17" t="s">
        <v>3113</v>
      </c>
    </row>
    <row r="3514">
      <c r="A3514" s="12">
        <v>2107.0</v>
      </c>
      <c r="B3514" s="17" t="s">
        <v>8765</v>
      </c>
      <c r="C3514" s="17" t="s">
        <v>8766</v>
      </c>
      <c r="D3514" s="17" t="s">
        <v>8767</v>
      </c>
      <c r="E3514" s="16">
        <v>7.5</v>
      </c>
      <c r="F3514" s="7">
        <f t="shared" si="3"/>
        <v>92.5</v>
      </c>
      <c r="G3514" s="17" t="s">
        <v>3113</v>
      </c>
    </row>
    <row r="3515">
      <c r="A3515" s="12">
        <v>2108.0</v>
      </c>
      <c r="B3515" s="17" t="s">
        <v>8768</v>
      </c>
      <c r="C3515" s="17" t="s">
        <v>8769</v>
      </c>
      <c r="D3515" s="17" t="s">
        <v>8770</v>
      </c>
      <c r="E3515" s="16">
        <v>7.5</v>
      </c>
      <c r="F3515" s="7">
        <f t="shared" si="3"/>
        <v>92.5</v>
      </c>
      <c r="G3515" s="17" t="s">
        <v>3113</v>
      </c>
    </row>
    <row r="3516">
      <c r="A3516" s="12">
        <v>2109.0</v>
      </c>
      <c r="B3516" s="17" t="s">
        <v>8771</v>
      </c>
      <c r="C3516" s="17" t="s">
        <v>8772</v>
      </c>
      <c r="D3516" s="17" t="s">
        <v>8773</v>
      </c>
      <c r="E3516" s="16">
        <v>7.5</v>
      </c>
      <c r="F3516" s="7">
        <f t="shared" si="3"/>
        <v>92.5</v>
      </c>
      <c r="G3516" s="17" t="s">
        <v>3113</v>
      </c>
    </row>
    <row r="3517">
      <c r="A3517" s="12">
        <v>2110.0</v>
      </c>
      <c r="B3517" s="17" t="s">
        <v>8774</v>
      </c>
      <c r="C3517" s="17" t="s">
        <v>8775</v>
      </c>
      <c r="D3517" s="17" t="s">
        <v>8776</v>
      </c>
      <c r="E3517" s="16">
        <v>7.5</v>
      </c>
      <c r="F3517" s="7">
        <f t="shared" si="3"/>
        <v>92.5</v>
      </c>
      <c r="G3517" s="17" t="s">
        <v>3113</v>
      </c>
    </row>
    <row r="3518">
      <c r="A3518" s="12">
        <v>2111.0</v>
      </c>
      <c r="B3518" s="17" t="s">
        <v>8777</v>
      </c>
      <c r="C3518" s="17" t="s">
        <v>8778</v>
      </c>
      <c r="D3518" s="17" t="s">
        <v>8779</v>
      </c>
      <c r="E3518" s="16">
        <v>7.5</v>
      </c>
      <c r="F3518" s="7">
        <f t="shared" si="3"/>
        <v>92.5</v>
      </c>
      <c r="G3518" s="17" t="s">
        <v>3113</v>
      </c>
    </row>
    <row r="3519">
      <c r="A3519" s="12">
        <v>2112.0</v>
      </c>
      <c r="B3519" s="17" t="s">
        <v>8777</v>
      </c>
      <c r="C3519" s="17" t="s">
        <v>8780</v>
      </c>
      <c r="D3519" s="17" t="s">
        <v>8781</v>
      </c>
      <c r="E3519" s="16">
        <v>7.5</v>
      </c>
      <c r="F3519" s="7">
        <f t="shared" si="3"/>
        <v>92.5</v>
      </c>
      <c r="G3519" s="17" t="s">
        <v>3113</v>
      </c>
    </row>
    <row r="3520">
      <c r="A3520" s="12">
        <v>2113.0</v>
      </c>
      <c r="B3520" s="17" t="s">
        <v>8782</v>
      </c>
      <c r="C3520" s="17" t="s">
        <v>8783</v>
      </c>
      <c r="D3520" s="17" t="s">
        <v>8784</v>
      </c>
      <c r="E3520" s="16">
        <v>7.5</v>
      </c>
      <c r="F3520" s="7">
        <f t="shared" si="3"/>
        <v>92.5</v>
      </c>
      <c r="G3520" s="17" t="s">
        <v>3113</v>
      </c>
    </row>
    <row r="3521">
      <c r="A3521" s="12">
        <v>2114.0</v>
      </c>
      <c r="B3521" s="17" t="s">
        <v>8785</v>
      </c>
      <c r="C3521" s="17" t="s">
        <v>8786</v>
      </c>
      <c r="D3521" s="17" t="s">
        <v>8787</v>
      </c>
      <c r="E3521" s="16">
        <v>7.5</v>
      </c>
      <c r="F3521" s="7">
        <f t="shared" si="3"/>
        <v>92.5</v>
      </c>
      <c r="G3521" s="17" t="s">
        <v>3113</v>
      </c>
    </row>
    <row r="3522">
      <c r="A3522" s="12">
        <v>2115.0</v>
      </c>
      <c r="B3522" s="17" t="s">
        <v>8785</v>
      </c>
      <c r="C3522" s="17" t="s">
        <v>8788</v>
      </c>
      <c r="D3522" s="17" t="s">
        <v>8789</v>
      </c>
      <c r="E3522" s="16">
        <v>7.5</v>
      </c>
      <c r="F3522" s="7">
        <f t="shared" si="3"/>
        <v>92.5</v>
      </c>
      <c r="G3522" s="17" t="s">
        <v>3113</v>
      </c>
    </row>
    <row r="3523">
      <c r="A3523" s="12">
        <v>2116.0</v>
      </c>
      <c r="B3523" s="17" t="s">
        <v>8790</v>
      </c>
      <c r="C3523" s="17" t="s">
        <v>8791</v>
      </c>
      <c r="D3523" s="17" t="s">
        <v>8792</v>
      </c>
      <c r="E3523" s="16">
        <v>7.5</v>
      </c>
      <c r="F3523" s="7">
        <f t="shared" si="3"/>
        <v>92.5</v>
      </c>
      <c r="G3523" s="17" t="s">
        <v>3113</v>
      </c>
    </row>
    <row r="3524">
      <c r="A3524" s="12">
        <v>2117.0</v>
      </c>
      <c r="B3524" s="17" t="s">
        <v>8793</v>
      </c>
      <c r="C3524" s="17" t="s">
        <v>8794</v>
      </c>
      <c r="D3524" s="17" t="s">
        <v>8795</v>
      </c>
      <c r="E3524" s="16">
        <v>7.5</v>
      </c>
      <c r="F3524" s="7">
        <f t="shared" si="3"/>
        <v>92.5</v>
      </c>
      <c r="G3524" s="17" t="s">
        <v>3113</v>
      </c>
    </row>
    <row r="3525">
      <c r="A3525" s="12">
        <v>2118.0</v>
      </c>
      <c r="B3525" s="17" t="s">
        <v>8796</v>
      </c>
      <c r="C3525" s="17" t="s">
        <v>8797</v>
      </c>
      <c r="D3525" s="17" t="s">
        <v>8798</v>
      </c>
      <c r="E3525" s="16">
        <v>7.5</v>
      </c>
      <c r="F3525" s="7">
        <f t="shared" si="3"/>
        <v>92.5</v>
      </c>
      <c r="G3525" s="17" t="s">
        <v>3113</v>
      </c>
    </row>
    <row r="3526">
      <c r="A3526" s="12">
        <v>2119.0</v>
      </c>
      <c r="B3526" s="17" t="s">
        <v>8799</v>
      </c>
      <c r="C3526" s="17" t="s">
        <v>8800</v>
      </c>
      <c r="D3526" s="17" t="s">
        <v>8801</v>
      </c>
      <c r="E3526" s="16">
        <v>7.5</v>
      </c>
      <c r="F3526" s="7">
        <f t="shared" si="3"/>
        <v>92.5</v>
      </c>
      <c r="G3526" s="17" t="s">
        <v>3113</v>
      </c>
    </row>
    <row r="3527">
      <c r="A3527" s="12">
        <v>2120.0</v>
      </c>
      <c r="B3527" s="17" t="s">
        <v>8802</v>
      </c>
      <c r="C3527" s="17" t="s">
        <v>8803</v>
      </c>
      <c r="D3527" s="17" t="s">
        <v>8804</v>
      </c>
      <c r="E3527" s="16">
        <v>7.5</v>
      </c>
      <c r="F3527" s="7">
        <f t="shared" si="3"/>
        <v>92.5</v>
      </c>
      <c r="G3527" s="17" t="s">
        <v>3113</v>
      </c>
    </row>
    <row r="3528">
      <c r="A3528" s="12">
        <v>2121.0</v>
      </c>
      <c r="B3528" s="17" t="s">
        <v>8805</v>
      </c>
      <c r="C3528" s="17" t="s">
        <v>8806</v>
      </c>
      <c r="D3528" s="17" t="s">
        <v>8807</v>
      </c>
      <c r="E3528" s="16">
        <v>7.5</v>
      </c>
      <c r="F3528" s="7">
        <f t="shared" si="3"/>
        <v>92.5</v>
      </c>
      <c r="G3528" s="17" t="s">
        <v>3113</v>
      </c>
    </row>
    <row r="3529">
      <c r="A3529" s="12">
        <v>2122.0</v>
      </c>
      <c r="B3529" s="17" t="s">
        <v>8808</v>
      </c>
      <c r="C3529" s="17" t="s">
        <v>8809</v>
      </c>
      <c r="D3529" s="17" t="s">
        <v>8810</v>
      </c>
      <c r="E3529" s="16">
        <v>7.5</v>
      </c>
      <c r="F3529" s="7">
        <f t="shared" si="3"/>
        <v>92.5</v>
      </c>
      <c r="G3529" s="17" t="s">
        <v>3113</v>
      </c>
    </row>
    <row r="3530">
      <c r="A3530" s="12">
        <v>2123.0</v>
      </c>
      <c r="B3530" s="17" t="s">
        <v>8811</v>
      </c>
      <c r="C3530" s="17" t="s">
        <v>8812</v>
      </c>
      <c r="D3530" s="17" t="s">
        <v>8813</v>
      </c>
      <c r="E3530" s="16">
        <v>7.5</v>
      </c>
      <c r="F3530" s="7">
        <f t="shared" si="3"/>
        <v>92.5</v>
      </c>
      <c r="G3530" s="17" t="s">
        <v>3113</v>
      </c>
    </row>
    <row r="3531">
      <c r="A3531" s="12">
        <v>2124.0</v>
      </c>
      <c r="B3531" s="17" t="s">
        <v>8814</v>
      </c>
      <c r="C3531" s="17" t="s">
        <v>8815</v>
      </c>
      <c r="D3531" s="17" t="s">
        <v>8816</v>
      </c>
      <c r="E3531" s="16">
        <v>7.5</v>
      </c>
      <c r="F3531" s="7">
        <f t="shared" si="3"/>
        <v>92.5</v>
      </c>
      <c r="G3531" s="17" t="s">
        <v>3113</v>
      </c>
    </row>
    <row r="3532">
      <c r="A3532" s="12">
        <v>2125.0</v>
      </c>
      <c r="B3532" s="17" t="s">
        <v>8817</v>
      </c>
      <c r="C3532" s="17" t="s">
        <v>8818</v>
      </c>
      <c r="D3532" s="17" t="s">
        <v>8819</v>
      </c>
      <c r="E3532" s="16">
        <v>7.5</v>
      </c>
      <c r="F3532" s="7">
        <f t="shared" si="3"/>
        <v>92.5</v>
      </c>
      <c r="G3532" s="17" t="s">
        <v>3113</v>
      </c>
    </row>
    <row r="3533">
      <c r="A3533" s="12">
        <v>2126.0</v>
      </c>
      <c r="B3533" s="17" t="s">
        <v>8820</v>
      </c>
      <c r="C3533" s="17" t="s">
        <v>8821</v>
      </c>
      <c r="D3533" s="17" t="s">
        <v>8822</v>
      </c>
      <c r="E3533" s="16">
        <v>7.5</v>
      </c>
      <c r="F3533" s="7">
        <f t="shared" si="3"/>
        <v>92.5</v>
      </c>
      <c r="G3533" s="17" t="s">
        <v>3113</v>
      </c>
    </row>
    <row r="3534">
      <c r="A3534" s="12">
        <v>2127.0</v>
      </c>
      <c r="B3534" s="17" t="s">
        <v>8823</v>
      </c>
      <c r="C3534" s="17" t="s">
        <v>8824</v>
      </c>
      <c r="D3534" s="17" t="s">
        <v>8825</v>
      </c>
      <c r="E3534" s="16">
        <v>7.5</v>
      </c>
      <c r="F3534" s="7">
        <f t="shared" si="3"/>
        <v>92.5</v>
      </c>
      <c r="G3534" s="17" t="s">
        <v>3113</v>
      </c>
    </row>
    <row r="3535">
      <c r="A3535" s="12">
        <v>2128.0</v>
      </c>
      <c r="B3535" s="17" t="s">
        <v>8826</v>
      </c>
      <c r="C3535" s="17" t="s">
        <v>8827</v>
      </c>
      <c r="D3535" s="17" t="s">
        <v>8828</v>
      </c>
      <c r="E3535" s="16">
        <v>7.5</v>
      </c>
      <c r="F3535" s="7">
        <f t="shared" si="3"/>
        <v>92.5</v>
      </c>
      <c r="G3535" s="17" t="s">
        <v>3113</v>
      </c>
    </row>
    <row r="3536">
      <c r="A3536" s="12">
        <v>2129.0</v>
      </c>
      <c r="B3536" s="17" t="s">
        <v>8829</v>
      </c>
      <c r="C3536" s="17" t="s">
        <v>8830</v>
      </c>
      <c r="D3536" s="17" t="s">
        <v>8831</v>
      </c>
      <c r="E3536" s="16">
        <v>7.5</v>
      </c>
      <c r="F3536" s="7">
        <f t="shared" si="3"/>
        <v>92.5</v>
      </c>
      <c r="G3536" s="17" t="s">
        <v>3113</v>
      </c>
    </row>
    <row r="3537">
      <c r="A3537" s="12">
        <v>2130.0</v>
      </c>
      <c r="B3537" s="17" t="s">
        <v>8832</v>
      </c>
      <c r="C3537" s="17" t="s">
        <v>8833</v>
      </c>
      <c r="D3537" s="17" t="s">
        <v>8834</v>
      </c>
      <c r="E3537" s="16">
        <v>7.5</v>
      </c>
      <c r="F3537" s="7">
        <f t="shared" si="3"/>
        <v>92.5</v>
      </c>
      <c r="G3537" s="17" t="s">
        <v>3113</v>
      </c>
    </row>
    <row r="3538">
      <c r="A3538" s="12">
        <v>2131.0</v>
      </c>
      <c r="B3538" s="17" t="s">
        <v>8835</v>
      </c>
      <c r="C3538" s="17" t="s">
        <v>8836</v>
      </c>
      <c r="D3538" s="17" t="s">
        <v>8837</v>
      </c>
      <c r="E3538" s="16">
        <v>7.5</v>
      </c>
      <c r="F3538" s="7">
        <f t="shared" si="3"/>
        <v>92.5</v>
      </c>
      <c r="G3538" s="17" t="s">
        <v>3113</v>
      </c>
    </row>
    <row r="3539">
      <c r="A3539" s="12">
        <v>2132.0</v>
      </c>
      <c r="B3539" s="17" t="s">
        <v>8838</v>
      </c>
      <c r="C3539" s="17" t="s">
        <v>8839</v>
      </c>
      <c r="D3539" s="17" t="s">
        <v>8840</v>
      </c>
      <c r="E3539" s="16">
        <v>7.5</v>
      </c>
      <c r="F3539" s="7">
        <f t="shared" si="3"/>
        <v>92.5</v>
      </c>
      <c r="G3539" s="17" t="s">
        <v>3113</v>
      </c>
    </row>
    <row r="3540">
      <c r="A3540" s="12">
        <v>2133.0</v>
      </c>
      <c r="B3540" s="17" t="s">
        <v>8841</v>
      </c>
      <c r="C3540" s="17" t="s">
        <v>8842</v>
      </c>
      <c r="D3540" s="17" t="s">
        <v>8843</v>
      </c>
      <c r="E3540" s="16">
        <v>7.5</v>
      </c>
      <c r="F3540" s="7">
        <f t="shared" si="3"/>
        <v>92.5</v>
      </c>
      <c r="G3540" s="17" t="s">
        <v>3113</v>
      </c>
    </row>
    <row r="3541">
      <c r="A3541" s="12">
        <v>2134.0</v>
      </c>
      <c r="B3541" s="17" t="s">
        <v>8844</v>
      </c>
      <c r="C3541" s="17" t="s">
        <v>8845</v>
      </c>
      <c r="D3541" s="17" t="s">
        <v>8846</v>
      </c>
      <c r="E3541" s="16">
        <v>7.5</v>
      </c>
      <c r="F3541" s="7">
        <f t="shared" si="3"/>
        <v>92.5</v>
      </c>
      <c r="G3541" s="17" t="s">
        <v>3113</v>
      </c>
    </row>
    <row r="3542">
      <c r="A3542" s="12">
        <v>2135.0</v>
      </c>
      <c r="B3542" s="17" t="s">
        <v>8847</v>
      </c>
      <c r="C3542" s="17" t="s">
        <v>8848</v>
      </c>
      <c r="D3542" s="17" t="s">
        <v>8849</v>
      </c>
      <c r="E3542" s="16">
        <v>7.5</v>
      </c>
      <c r="F3542" s="7">
        <f t="shared" si="3"/>
        <v>92.5</v>
      </c>
      <c r="G3542" s="17" t="s">
        <v>3113</v>
      </c>
    </row>
    <row r="3543">
      <c r="A3543" s="12">
        <v>2136.0</v>
      </c>
      <c r="B3543" s="17" t="s">
        <v>8850</v>
      </c>
      <c r="C3543" s="17" t="s">
        <v>8851</v>
      </c>
      <c r="D3543" s="17" t="s">
        <v>8852</v>
      </c>
      <c r="E3543" s="16">
        <v>7.5</v>
      </c>
      <c r="F3543" s="7">
        <f t="shared" si="3"/>
        <v>92.5</v>
      </c>
      <c r="G3543" s="17" t="s">
        <v>3113</v>
      </c>
    </row>
    <row r="3544">
      <c r="A3544" s="12">
        <v>2137.0</v>
      </c>
      <c r="B3544" s="17" t="s">
        <v>8853</v>
      </c>
      <c r="C3544" s="17" t="s">
        <v>8854</v>
      </c>
      <c r="D3544" s="17" t="s">
        <v>8855</v>
      </c>
      <c r="E3544" s="16">
        <v>7.5</v>
      </c>
      <c r="F3544" s="7">
        <f t="shared" si="3"/>
        <v>92.5</v>
      </c>
      <c r="G3544" s="17" t="s">
        <v>3113</v>
      </c>
    </row>
    <row r="3545">
      <c r="A3545" s="12">
        <v>2138.0</v>
      </c>
      <c r="B3545" s="17" t="s">
        <v>8856</v>
      </c>
      <c r="C3545" s="17" t="s">
        <v>8857</v>
      </c>
      <c r="D3545" s="17" t="s">
        <v>8858</v>
      </c>
      <c r="E3545" s="16">
        <v>7.5</v>
      </c>
      <c r="F3545" s="7">
        <f t="shared" si="3"/>
        <v>92.5</v>
      </c>
      <c r="G3545" s="17" t="s">
        <v>3113</v>
      </c>
    </row>
    <row r="3546">
      <c r="A3546" s="12">
        <v>2139.0</v>
      </c>
      <c r="B3546" s="17" t="s">
        <v>8859</v>
      </c>
      <c r="C3546" s="17" t="s">
        <v>8860</v>
      </c>
      <c r="D3546" s="17" t="s">
        <v>8861</v>
      </c>
      <c r="E3546" s="16">
        <v>7.5</v>
      </c>
      <c r="F3546" s="7">
        <f t="shared" si="3"/>
        <v>92.5</v>
      </c>
      <c r="G3546" s="17" t="s">
        <v>3113</v>
      </c>
    </row>
    <row r="3547">
      <c r="A3547" s="12">
        <v>2140.0</v>
      </c>
      <c r="B3547" s="17" t="s">
        <v>8859</v>
      </c>
      <c r="C3547" s="17" t="s">
        <v>8862</v>
      </c>
      <c r="D3547" s="17" t="s">
        <v>8863</v>
      </c>
      <c r="E3547" s="16">
        <v>7.5</v>
      </c>
      <c r="F3547" s="7">
        <f t="shared" si="3"/>
        <v>92.5</v>
      </c>
      <c r="G3547" s="17" t="s">
        <v>3113</v>
      </c>
    </row>
    <row r="3548">
      <c r="A3548" s="12">
        <v>2141.0</v>
      </c>
      <c r="B3548" s="17" t="s">
        <v>8864</v>
      </c>
      <c r="C3548" s="17" t="s">
        <v>8865</v>
      </c>
      <c r="D3548" s="17" t="s">
        <v>8866</v>
      </c>
      <c r="E3548" s="16">
        <v>7.5</v>
      </c>
      <c r="F3548" s="7">
        <f t="shared" si="3"/>
        <v>92.5</v>
      </c>
      <c r="G3548" s="17" t="s">
        <v>3113</v>
      </c>
    </row>
    <row r="3549">
      <c r="A3549" s="12">
        <v>2142.0</v>
      </c>
      <c r="B3549" s="17" t="s">
        <v>8867</v>
      </c>
      <c r="C3549" s="17" t="s">
        <v>8868</v>
      </c>
      <c r="D3549" s="17" t="s">
        <v>8869</v>
      </c>
      <c r="E3549" s="16">
        <v>7.5</v>
      </c>
      <c r="F3549" s="7">
        <f t="shared" si="3"/>
        <v>92.5</v>
      </c>
      <c r="G3549" s="17" t="s">
        <v>3113</v>
      </c>
    </row>
    <row r="3550">
      <c r="A3550" s="12">
        <v>2143.0</v>
      </c>
      <c r="B3550" s="17" t="s">
        <v>8870</v>
      </c>
      <c r="C3550" s="17" t="s">
        <v>8871</v>
      </c>
      <c r="D3550" s="17" t="s">
        <v>8872</v>
      </c>
      <c r="E3550" s="16">
        <v>7.5</v>
      </c>
      <c r="F3550" s="7">
        <f t="shared" si="3"/>
        <v>92.5</v>
      </c>
      <c r="G3550" s="17" t="s">
        <v>3113</v>
      </c>
    </row>
    <row r="3551">
      <c r="A3551" s="12">
        <v>2144.0</v>
      </c>
      <c r="B3551" s="17" t="s">
        <v>8870</v>
      </c>
      <c r="C3551" s="17" t="s">
        <v>8873</v>
      </c>
      <c r="D3551" s="17" t="s">
        <v>8874</v>
      </c>
      <c r="E3551" s="16">
        <v>7.5</v>
      </c>
      <c r="F3551" s="7">
        <f t="shared" si="3"/>
        <v>92.5</v>
      </c>
      <c r="G3551" s="17" t="s">
        <v>3113</v>
      </c>
    </row>
    <row r="3552">
      <c r="A3552" s="12">
        <v>2145.0</v>
      </c>
      <c r="B3552" s="17" t="s">
        <v>8875</v>
      </c>
      <c r="C3552" s="17" t="s">
        <v>8876</v>
      </c>
      <c r="D3552" s="17" t="s">
        <v>8877</v>
      </c>
      <c r="E3552" s="16">
        <v>7.5</v>
      </c>
      <c r="F3552" s="7">
        <f t="shared" si="3"/>
        <v>92.5</v>
      </c>
      <c r="G3552" s="17" t="s">
        <v>3113</v>
      </c>
    </row>
    <row r="3553">
      <c r="A3553" s="12">
        <v>2146.0</v>
      </c>
      <c r="B3553" s="17" t="s">
        <v>8878</v>
      </c>
      <c r="C3553" s="17" t="s">
        <v>8879</v>
      </c>
      <c r="D3553" s="17" t="s">
        <v>8880</v>
      </c>
      <c r="E3553" s="16">
        <v>7.5</v>
      </c>
      <c r="F3553" s="7">
        <f t="shared" si="3"/>
        <v>92.5</v>
      </c>
      <c r="G3553" s="17" t="s">
        <v>3113</v>
      </c>
    </row>
    <row r="3554">
      <c r="A3554" s="12">
        <v>2147.0</v>
      </c>
      <c r="B3554" s="17" t="s">
        <v>8881</v>
      </c>
      <c r="C3554" s="17" t="s">
        <v>8882</v>
      </c>
      <c r="D3554" s="17" t="s">
        <v>8883</v>
      </c>
      <c r="E3554" s="16">
        <v>7.5</v>
      </c>
      <c r="F3554" s="7">
        <f t="shared" si="3"/>
        <v>92.5</v>
      </c>
      <c r="G3554" s="17" t="s">
        <v>3113</v>
      </c>
    </row>
    <row r="3555">
      <c r="A3555" s="12">
        <v>2148.0</v>
      </c>
      <c r="B3555" s="17" t="s">
        <v>8884</v>
      </c>
      <c r="C3555" s="17" t="s">
        <v>8885</v>
      </c>
      <c r="D3555" s="17" t="s">
        <v>8886</v>
      </c>
      <c r="E3555" s="16">
        <v>7.5</v>
      </c>
      <c r="F3555" s="7">
        <f t="shared" si="3"/>
        <v>92.5</v>
      </c>
      <c r="G3555" s="17" t="s">
        <v>3113</v>
      </c>
    </row>
    <row r="3556">
      <c r="A3556" s="12">
        <v>2149.0</v>
      </c>
      <c r="B3556" s="17" t="s">
        <v>8887</v>
      </c>
      <c r="C3556" s="17" t="s">
        <v>8888</v>
      </c>
      <c r="D3556" s="17" t="s">
        <v>8889</v>
      </c>
      <c r="E3556" s="16">
        <v>7.5</v>
      </c>
      <c r="F3556" s="7">
        <f t="shared" si="3"/>
        <v>92.5</v>
      </c>
      <c r="G3556" s="17" t="s">
        <v>3113</v>
      </c>
    </row>
    <row r="3557">
      <c r="A3557" s="12">
        <v>2150.0</v>
      </c>
      <c r="B3557" s="17" t="s">
        <v>8890</v>
      </c>
      <c r="C3557" s="17" t="s">
        <v>8891</v>
      </c>
      <c r="D3557" s="17" t="s">
        <v>8892</v>
      </c>
      <c r="E3557" s="16">
        <v>7.5</v>
      </c>
      <c r="F3557" s="7">
        <f t="shared" si="3"/>
        <v>92.5</v>
      </c>
      <c r="G3557" s="17" t="s">
        <v>3113</v>
      </c>
    </row>
    <row r="3558">
      <c r="A3558" s="12">
        <v>2151.0</v>
      </c>
      <c r="B3558" s="17" t="s">
        <v>8893</v>
      </c>
      <c r="C3558" s="17" t="s">
        <v>8894</v>
      </c>
      <c r="D3558" s="17" t="s">
        <v>8895</v>
      </c>
      <c r="E3558" s="16">
        <v>7.5</v>
      </c>
      <c r="F3558" s="7">
        <f t="shared" si="3"/>
        <v>92.5</v>
      </c>
      <c r="G3558" s="17" t="s">
        <v>3113</v>
      </c>
    </row>
    <row r="3559">
      <c r="A3559" s="12">
        <v>2152.0</v>
      </c>
      <c r="B3559" s="17" t="s">
        <v>8896</v>
      </c>
      <c r="C3559" s="17" t="s">
        <v>8897</v>
      </c>
      <c r="D3559" s="17" t="s">
        <v>8898</v>
      </c>
      <c r="E3559" s="16">
        <v>7.5</v>
      </c>
      <c r="F3559" s="7">
        <f t="shared" si="3"/>
        <v>92.5</v>
      </c>
      <c r="G3559" s="17" t="s">
        <v>3113</v>
      </c>
    </row>
    <row r="3560">
      <c r="A3560" s="12">
        <v>2153.0</v>
      </c>
      <c r="B3560" s="17" t="s">
        <v>8899</v>
      </c>
      <c r="C3560" s="17" t="s">
        <v>8900</v>
      </c>
      <c r="D3560" s="17" t="s">
        <v>8901</v>
      </c>
      <c r="E3560" s="16">
        <v>7.5</v>
      </c>
      <c r="F3560" s="7">
        <f t="shared" si="3"/>
        <v>92.5</v>
      </c>
      <c r="G3560" s="17" t="s">
        <v>3113</v>
      </c>
    </row>
    <row r="3561">
      <c r="A3561" s="12">
        <v>2154.0</v>
      </c>
      <c r="B3561" s="17" t="s">
        <v>8902</v>
      </c>
      <c r="C3561" s="17" t="s">
        <v>8903</v>
      </c>
      <c r="D3561" s="17" t="s">
        <v>8904</v>
      </c>
      <c r="E3561" s="16">
        <v>7.5</v>
      </c>
      <c r="F3561" s="7">
        <f t="shared" si="3"/>
        <v>92.5</v>
      </c>
      <c r="G3561" s="17" t="s">
        <v>3113</v>
      </c>
    </row>
    <row r="3562">
      <c r="A3562" s="12">
        <v>2155.0</v>
      </c>
      <c r="B3562" s="17" t="s">
        <v>8905</v>
      </c>
      <c r="C3562" s="17" t="s">
        <v>8906</v>
      </c>
      <c r="D3562" s="17" t="s">
        <v>8907</v>
      </c>
      <c r="E3562" s="16">
        <v>7.5</v>
      </c>
      <c r="F3562" s="7">
        <f t="shared" si="3"/>
        <v>92.5</v>
      </c>
      <c r="G3562" s="17" t="s">
        <v>3113</v>
      </c>
    </row>
    <row r="3563">
      <c r="A3563" s="12">
        <v>2156.0</v>
      </c>
      <c r="B3563" s="17" t="s">
        <v>8908</v>
      </c>
      <c r="C3563" s="17" t="s">
        <v>8909</v>
      </c>
      <c r="D3563" s="17" t="s">
        <v>8910</v>
      </c>
      <c r="E3563" s="16">
        <v>7.5</v>
      </c>
      <c r="F3563" s="7">
        <f t="shared" si="3"/>
        <v>92.5</v>
      </c>
      <c r="G3563" s="17" t="s">
        <v>3113</v>
      </c>
    </row>
    <row r="3564">
      <c r="A3564" s="12">
        <v>2157.0</v>
      </c>
      <c r="B3564" s="17" t="s">
        <v>8908</v>
      </c>
      <c r="C3564" s="17" t="s">
        <v>8911</v>
      </c>
      <c r="D3564" s="17" t="s">
        <v>8912</v>
      </c>
      <c r="E3564" s="16">
        <v>7.5</v>
      </c>
      <c r="F3564" s="7">
        <f t="shared" si="3"/>
        <v>92.5</v>
      </c>
      <c r="G3564" s="17" t="s">
        <v>3113</v>
      </c>
    </row>
    <row r="3565">
      <c r="A3565" s="12">
        <v>2158.0</v>
      </c>
      <c r="B3565" s="17" t="s">
        <v>8913</v>
      </c>
      <c r="C3565" s="17" t="s">
        <v>8914</v>
      </c>
      <c r="D3565" s="17" t="s">
        <v>8915</v>
      </c>
      <c r="E3565" s="16">
        <v>7.5</v>
      </c>
      <c r="F3565" s="7">
        <f t="shared" si="3"/>
        <v>92.5</v>
      </c>
      <c r="G3565" s="17" t="s">
        <v>3113</v>
      </c>
    </row>
    <row r="3566">
      <c r="A3566" s="12">
        <v>2159.0</v>
      </c>
      <c r="B3566" s="17" t="s">
        <v>8916</v>
      </c>
      <c r="C3566" s="17" t="s">
        <v>8917</v>
      </c>
      <c r="D3566" s="17" t="s">
        <v>8918</v>
      </c>
      <c r="E3566" s="16">
        <v>7.5</v>
      </c>
      <c r="F3566" s="7">
        <f t="shared" si="3"/>
        <v>92.5</v>
      </c>
      <c r="G3566" s="17" t="s">
        <v>3113</v>
      </c>
    </row>
    <row r="3567">
      <c r="A3567" s="12">
        <v>2160.0</v>
      </c>
      <c r="B3567" s="17" t="s">
        <v>8919</v>
      </c>
      <c r="C3567" s="17" t="s">
        <v>8920</v>
      </c>
      <c r="D3567" s="17" t="s">
        <v>8921</v>
      </c>
      <c r="E3567" s="16">
        <v>7.5</v>
      </c>
      <c r="F3567" s="7">
        <f t="shared" si="3"/>
        <v>92.5</v>
      </c>
      <c r="G3567" s="17" t="s">
        <v>3113</v>
      </c>
    </row>
    <row r="3568">
      <c r="A3568" s="12">
        <v>2161.0</v>
      </c>
      <c r="B3568" s="17" t="s">
        <v>8922</v>
      </c>
      <c r="C3568" s="17" t="s">
        <v>8923</v>
      </c>
      <c r="D3568" s="17" t="s">
        <v>8924</v>
      </c>
      <c r="E3568" s="16">
        <v>7.5</v>
      </c>
      <c r="F3568" s="7">
        <f t="shared" si="3"/>
        <v>92.5</v>
      </c>
      <c r="G3568" s="17" t="s">
        <v>3113</v>
      </c>
    </row>
    <row r="3569">
      <c r="A3569" s="12">
        <v>2162.0</v>
      </c>
      <c r="B3569" s="17" t="s">
        <v>8925</v>
      </c>
      <c r="C3569" s="17" t="s">
        <v>8926</v>
      </c>
      <c r="D3569" s="17" t="s">
        <v>8927</v>
      </c>
      <c r="E3569" s="16">
        <v>7.5</v>
      </c>
      <c r="F3569" s="7">
        <f t="shared" si="3"/>
        <v>92.5</v>
      </c>
      <c r="G3569" s="17" t="s">
        <v>3113</v>
      </c>
    </row>
    <row r="3570">
      <c r="A3570" s="12">
        <v>2163.0</v>
      </c>
      <c r="B3570" s="17" t="s">
        <v>8928</v>
      </c>
      <c r="C3570" s="17" t="s">
        <v>8929</v>
      </c>
      <c r="D3570" s="17" t="s">
        <v>8930</v>
      </c>
      <c r="E3570" s="16">
        <v>7.5</v>
      </c>
      <c r="F3570" s="7">
        <f t="shared" si="3"/>
        <v>92.5</v>
      </c>
      <c r="G3570" s="17" t="s">
        <v>3113</v>
      </c>
    </row>
    <row r="3571">
      <c r="A3571" s="12">
        <v>2164.0</v>
      </c>
      <c r="B3571" s="17" t="s">
        <v>8928</v>
      </c>
      <c r="C3571" s="17" t="s">
        <v>8931</v>
      </c>
      <c r="D3571" s="17" t="s">
        <v>8932</v>
      </c>
      <c r="E3571" s="16">
        <v>7.5</v>
      </c>
      <c r="F3571" s="7">
        <f t="shared" si="3"/>
        <v>92.5</v>
      </c>
      <c r="G3571" s="17" t="s">
        <v>3113</v>
      </c>
    </row>
    <row r="3572">
      <c r="A3572" s="12">
        <v>2165.0</v>
      </c>
      <c r="B3572" s="17" t="s">
        <v>8933</v>
      </c>
      <c r="C3572" s="17" t="s">
        <v>8934</v>
      </c>
      <c r="D3572" s="17" t="s">
        <v>8935</v>
      </c>
      <c r="E3572" s="16">
        <v>7.5</v>
      </c>
      <c r="F3572" s="7">
        <f t="shared" si="3"/>
        <v>92.5</v>
      </c>
      <c r="G3572" s="17" t="s">
        <v>3113</v>
      </c>
    </row>
    <row r="3573">
      <c r="A3573" s="12">
        <v>2166.0</v>
      </c>
      <c r="B3573" s="17" t="s">
        <v>8936</v>
      </c>
      <c r="C3573" s="17" t="s">
        <v>8937</v>
      </c>
      <c r="D3573" s="17" t="s">
        <v>8938</v>
      </c>
      <c r="E3573" s="16">
        <v>7.5</v>
      </c>
      <c r="F3573" s="7">
        <f t="shared" si="3"/>
        <v>92.5</v>
      </c>
      <c r="G3573" s="17" t="s">
        <v>3113</v>
      </c>
    </row>
    <row r="3574">
      <c r="A3574" s="12">
        <v>2167.0</v>
      </c>
      <c r="B3574" s="17" t="s">
        <v>8939</v>
      </c>
      <c r="C3574" s="17" t="s">
        <v>8940</v>
      </c>
      <c r="D3574" s="17" t="s">
        <v>8941</v>
      </c>
      <c r="E3574" s="16">
        <v>7.5</v>
      </c>
      <c r="F3574" s="7">
        <f t="shared" si="3"/>
        <v>92.5</v>
      </c>
      <c r="G3574" s="17" t="s">
        <v>3113</v>
      </c>
    </row>
    <row r="3575">
      <c r="A3575" s="12">
        <v>2168.0</v>
      </c>
      <c r="B3575" s="17" t="s">
        <v>8942</v>
      </c>
      <c r="C3575" s="17" t="s">
        <v>8943</v>
      </c>
      <c r="D3575" s="17" t="s">
        <v>8944</v>
      </c>
      <c r="E3575" s="16">
        <v>7.5</v>
      </c>
      <c r="F3575" s="7">
        <f t="shared" si="3"/>
        <v>92.5</v>
      </c>
      <c r="G3575" s="17" t="s">
        <v>3113</v>
      </c>
    </row>
    <row r="3576">
      <c r="A3576" s="12">
        <v>2169.0</v>
      </c>
      <c r="B3576" s="17" t="s">
        <v>8945</v>
      </c>
      <c r="C3576" s="17" t="s">
        <v>8946</v>
      </c>
      <c r="D3576" s="17" t="s">
        <v>8947</v>
      </c>
      <c r="E3576" s="16">
        <v>7.5</v>
      </c>
      <c r="F3576" s="7">
        <f t="shared" si="3"/>
        <v>92.5</v>
      </c>
      <c r="G3576" s="17" t="s">
        <v>3113</v>
      </c>
    </row>
    <row r="3577">
      <c r="A3577" s="12">
        <v>2170.0</v>
      </c>
      <c r="B3577" s="17" t="s">
        <v>8948</v>
      </c>
      <c r="C3577" s="17" t="s">
        <v>8949</v>
      </c>
      <c r="D3577" s="17" t="s">
        <v>8950</v>
      </c>
      <c r="E3577" s="16">
        <v>7.5</v>
      </c>
      <c r="F3577" s="7">
        <f t="shared" si="3"/>
        <v>92.5</v>
      </c>
      <c r="G3577" s="17" t="s">
        <v>3113</v>
      </c>
    </row>
    <row r="3578">
      <c r="A3578" s="12">
        <v>2171.0</v>
      </c>
      <c r="B3578" s="17" t="s">
        <v>8951</v>
      </c>
      <c r="C3578" s="17" t="s">
        <v>8952</v>
      </c>
      <c r="D3578" s="17" t="s">
        <v>8953</v>
      </c>
      <c r="E3578" s="16">
        <v>7.5</v>
      </c>
      <c r="F3578" s="7">
        <f t="shared" si="3"/>
        <v>92.5</v>
      </c>
      <c r="G3578" s="17" t="s">
        <v>3113</v>
      </c>
    </row>
    <row r="3579">
      <c r="A3579" s="12">
        <v>2172.0</v>
      </c>
      <c r="B3579" s="17" t="s">
        <v>8954</v>
      </c>
      <c r="C3579" s="17" t="s">
        <v>8955</v>
      </c>
      <c r="D3579" s="17" t="s">
        <v>8956</v>
      </c>
      <c r="E3579" s="16">
        <v>7.5</v>
      </c>
      <c r="F3579" s="7">
        <f t="shared" si="3"/>
        <v>92.5</v>
      </c>
      <c r="G3579" s="17" t="s">
        <v>3113</v>
      </c>
    </row>
    <row r="3580">
      <c r="A3580" s="12">
        <v>2173.0</v>
      </c>
      <c r="B3580" s="17" t="s">
        <v>8957</v>
      </c>
      <c r="C3580" s="17" t="s">
        <v>8958</v>
      </c>
      <c r="D3580" s="17" t="s">
        <v>8959</v>
      </c>
      <c r="E3580" s="16">
        <v>7.5</v>
      </c>
      <c r="F3580" s="7">
        <f t="shared" si="3"/>
        <v>92.5</v>
      </c>
      <c r="G3580" s="17" t="s">
        <v>3113</v>
      </c>
    </row>
    <row r="3581">
      <c r="A3581" s="12">
        <v>2174.0</v>
      </c>
      <c r="B3581" s="17" t="s">
        <v>8960</v>
      </c>
      <c r="C3581" s="17" t="s">
        <v>8961</v>
      </c>
      <c r="D3581" s="17" t="s">
        <v>8962</v>
      </c>
      <c r="E3581" s="16">
        <v>7.5</v>
      </c>
      <c r="F3581" s="7">
        <f t="shared" si="3"/>
        <v>92.5</v>
      </c>
      <c r="G3581" s="17" t="s">
        <v>3113</v>
      </c>
    </row>
    <row r="3582">
      <c r="A3582" s="12">
        <v>2175.0</v>
      </c>
      <c r="B3582" s="17" t="s">
        <v>8963</v>
      </c>
      <c r="C3582" s="17" t="s">
        <v>8964</v>
      </c>
      <c r="D3582" s="17" t="s">
        <v>8965</v>
      </c>
      <c r="E3582" s="16">
        <v>7.5</v>
      </c>
      <c r="F3582" s="7">
        <f t="shared" si="3"/>
        <v>92.5</v>
      </c>
      <c r="G3582" s="17" t="s">
        <v>3113</v>
      </c>
    </row>
    <row r="3583">
      <c r="A3583" s="12">
        <v>2176.0</v>
      </c>
      <c r="B3583" s="17" t="s">
        <v>8966</v>
      </c>
      <c r="C3583" s="17" t="s">
        <v>8967</v>
      </c>
      <c r="D3583" s="17" t="s">
        <v>8968</v>
      </c>
      <c r="E3583" s="16">
        <v>7.5</v>
      </c>
      <c r="F3583" s="7">
        <f t="shared" si="3"/>
        <v>92.5</v>
      </c>
      <c r="G3583" s="17" t="s">
        <v>3113</v>
      </c>
    </row>
    <row r="3584">
      <c r="A3584" s="12">
        <v>2177.0</v>
      </c>
      <c r="B3584" s="17" t="s">
        <v>8969</v>
      </c>
      <c r="C3584" s="17" t="s">
        <v>8970</v>
      </c>
      <c r="D3584" s="17" t="s">
        <v>8971</v>
      </c>
      <c r="E3584" s="16">
        <v>7.5</v>
      </c>
      <c r="F3584" s="7">
        <f t="shared" si="3"/>
        <v>92.5</v>
      </c>
      <c r="G3584" s="17" t="s">
        <v>3113</v>
      </c>
    </row>
    <row r="3585">
      <c r="A3585" s="12">
        <v>2178.0</v>
      </c>
      <c r="B3585" s="17" t="s">
        <v>8972</v>
      </c>
      <c r="C3585" s="17" t="s">
        <v>8973</v>
      </c>
      <c r="D3585" s="17" t="s">
        <v>8974</v>
      </c>
      <c r="E3585" s="16">
        <v>7.5</v>
      </c>
      <c r="F3585" s="7">
        <f t="shared" si="3"/>
        <v>92.5</v>
      </c>
      <c r="G3585" s="17" t="s">
        <v>3113</v>
      </c>
    </row>
    <row r="3586">
      <c r="A3586" s="12">
        <v>2179.0</v>
      </c>
      <c r="B3586" s="17" t="s">
        <v>8975</v>
      </c>
      <c r="C3586" s="17" t="s">
        <v>8976</v>
      </c>
      <c r="D3586" s="17" t="s">
        <v>8977</v>
      </c>
      <c r="E3586" s="16">
        <v>7.5</v>
      </c>
      <c r="F3586" s="7">
        <f t="shared" si="3"/>
        <v>92.5</v>
      </c>
      <c r="G3586" s="17" t="s">
        <v>3113</v>
      </c>
    </row>
    <row r="3587">
      <c r="A3587" s="12">
        <v>2180.0</v>
      </c>
      <c r="B3587" s="17" t="s">
        <v>8978</v>
      </c>
      <c r="C3587" s="17" t="s">
        <v>8979</v>
      </c>
      <c r="D3587" s="17" t="s">
        <v>8980</v>
      </c>
      <c r="E3587" s="16">
        <v>7.5</v>
      </c>
      <c r="F3587" s="7">
        <f t="shared" si="3"/>
        <v>92.5</v>
      </c>
      <c r="G3587" s="17" t="s">
        <v>3113</v>
      </c>
    </row>
    <row r="3588">
      <c r="A3588" s="12">
        <v>2181.0</v>
      </c>
      <c r="B3588" s="17" t="s">
        <v>8981</v>
      </c>
      <c r="C3588" s="17" t="s">
        <v>8982</v>
      </c>
      <c r="D3588" s="17" t="s">
        <v>8983</v>
      </c>
      <c r="E3588" s="16">
        <v>7.5</v>
      </c>
      <c r="F3588" s="7">
        <f t="shared" si="3"/>
        <v>92.5</v>
      </c>
      <c r="G3588" s="17" t="s">
        <v>3113</v>
      </c>
    </row>
    <row r="3589">
      <c r="A3589" s="12">
        <v>2182.0</v>
      </c>
      <c r="B3589" s="17" t="s">
        <v>8984</v>
      </c>
      <c r="C3589" s="17" t="s">
        <v>8985</v>
      </c>
      <c r="D3589" s="17" t="s">
        <v>8986</v>
      </c>
      <c r="E3589" s="16">
        <v>7.5</v>
      </c>
      <c r="F3589" s="7">
        <f t="shared" si="3"/>
        <v>92.5</v>
      </c>
      <c r="G3589" s="17" t="s">
        <v>3113</v>
      </c>
    </row>
    <row r="3590">
      <c r="A3590" s="12">
        <v>2183.0</v>
      </c>
      <c r="B3590" s="17" t="s">
        <v>8987</v>
      </c>
      <c r="C3590" s="17" t="s">
        <v>8988</v>
      </c>
      <c r="D3590" s="17" t="s">
        <v>8989</v>
      </c>
      <c r="E3590" s="16">
        <v>7.5</v>
      </c>
      <c r="F3590" s="7">
        <f t="shared" si="3"/>
        <v>92.5</v>
      </c>
      <c r="G3590" s="17" t="s">
        <v>3113</v>
      </c>
    </row>
    <row r="3591">
      <c r="A3591" s="12">
        <v>2184.0</v>
      </c>
      <c r="B3591" s="17" t="s">
        <v>8990</v>
      </c>
      <c r="C3591" s="17" t="s">
        <v>8991</v>
      </c>
      <c r="D3591" s="17" t="s">
        <v>8992</v>
      </c>
      <c r="E3591" s="16">
        <v>7.5</v>
      </c>
      <c r="F3591" s="7">
        <f t="shared" si="3"/>
        <v>92.5</v>
      </c>
      <c r="G3591" s="17" t="s">
        <v>3113</v>
      </c>
    </row>
    <row r="3592">
      <c r="A3592" s="12">
        <v>2185.0</v>
      </c>
      <c r="B3592" s="17" t="s">
        <v>8993</v>
      </c>
      <c r="C3592" s="17" t="s">
        <v>8994</v>
      </c>
      <c r="D3592" s="17" t="s">
        <v>8995</v>
      </c>
      <c r="E3592" s="16">
        <v>7.5</v>
      </c>
      <c r="F3592" s="7">
        <f t="shared" si="3"/>
        <v>92.5</v>
      </c>
      <c r="G3592" s="17" t="s">
        <v>3113</v>
      </c>
    </row>
    <row r="3593">
      <c r="A3593" s="12">
        <v>2186.0</v>
      </c>
      <c r="B3593" s="17" t="s">
        <v>8996</v>
      </c>
      <c r="C3593" s="17" t="s">
        <v>8997</v>
      </c>
      <c r="D3593" s="17" t="s">
        <v>8998</v>
      </c>
      <c r="E3593" s="16">
        <v>7.5</v>
      </c>
      <c r="F3593" s="7">
        <f t="shared" si="3"/>
        <v>92.5</v>
      </c>
      <c r="G3593" s="17" t="s">
        <v>3113</v>
      </c>
    </row>
    <row r="3594">
      <c r="A3594" s="12">
        <v>2187.0</v>
      </c>
      <c r="B3594" s="17" t="s">
        <v>8999</v>
      </c>
      <c r="C3594" s="17" t="s">
        <v>9000</v>
      </c>
      <c r="D3594" s="17" t="s">
        <v>9001</v>
      </c>
      <c r="E3594" s="16">
        <v>7.5</v>
      </c>
      <c r="F3594" s="7">
        <f t="shared" si="3"/>
        <v>92.5</v>
      </c>
      <c r="G3594" s="17" t="s">
        <v>3113</v>
      </c>
    </row>
    <row r="3595">
      <c r="A3595" s="12">
        <v>2188.0</v>
      </c>
      <c r="B3595" s="17" t="s">
        <v>9002</v>
      </c>
      <c r="C3595" s="17" t="s">
        <v>9003</v>
      </c>
      <c r="D3595" s="17" t="s">
        <v>9004</v>
      </c>
      <c r="E3595" s="16">
        <v>7.5</v>
      </c>
      <c r="F3595" s="7">
        <f t="shared" si="3"/>
        <v>92.5</v>
      </c>
      <c r="G3595" s="17" t="s">
        <v>3113</v>
      </c>
    </row>
    <row r="3596">
      <c r="A3596" s="12">
        <v>2189.0</v>
      </c>
      <c r="B3596" s="17" t="s">
        <v>9005</v>
      </c>
      <c r="C3596" s="17" t="s">
        <v>9006</v>
      </c>
      <c r="D3596" s="17" t="s">
        <v>9007</v>
      </c>
      <c r="E3596" s="16">
        <v>7.5</v>
      </c>
      <c r="F3596" s="7">
        <f t="shared" si="3"/>
        <v>92.5</v>
      </c>
      <c r="G3596" s="17" t="s">
        <v>3113</v>
      </c>
    </row>
    <row r="3597">
      <c r="A3597" s="12">
        <v>2190.0</v>
      </c>
      <c r="B3597" s="17" t="s">
        <v>9008</v>
      </c>
      <c r="C3597" s="17" t="s">
        <v>9009</v>
      </c>
      <c r="D3597" s="17" t="s">
        <v>9010</v>
      </c>
      <c r="E3597" s="16">
        <v>7.5</v>
      </c>
      <c r="F3597" s="7">
        <f t="shared" si="3"/>
        <v>92.5</v>
      </c>
      <c r="G3597" s="17" t="s">
        <v>3113</v>
      </c>
    </row>
    <row r="3598">
      <c r="A3598" s="12">
        <v>2191.0</v>
      </c>
      <c r="B3598" s="17" t="s">
        <v>9011</v>
      </c>
      <c r="C3598" s="17" t="s">
        <v>9012</v>
      </c>
      <c r="D3598" s="17" t="s">
        <v>9013</v>
      </c>
      <c r="E3598" s="16">
        <v>7.5</v>
      </c>
      <c r="F3598" s="7">
        <f t="shared" si="3"/>
        <v>92.5</v>
      </c>
      <c r="G3598" s="17" t="s">
        <v>3113</v>
      </c>
    </row>
    <row r="3599">
      <c r="A3599" s="12">
        <v>2192.0</v>
      </c>
      <c r="B3599" s="17" t="s">
        <v>9014</v>
      </c>
      <c r="C3599" s="17" t="s">
        <v>9015</v>
      </c>
      <c r="D3599" s="17" t="s">
        <v>9016</v>
      </c>
      <c r="E3599" s="16">
        <v>7.5</v>
      </c>
      <c r="F3599" s="7">
        <f t="shared" si="3"/>
        <v>92.5</v>
      </c>
      <c r="G3599" s="17" t="s">
        <v>3113</v>
      </c>
    </row>
    <row r="3600">
      <c r="A3600" s="12">
        <v>2193.0</v>
      </c>
      <c r="B3600" s="17" t="s">
        <v>9017</v>
      </c>
      <c r="C3600" s="17" t="s">
        <v>9018</v>
      </c>
      <c r="D3600" s="17" t="s">
        <v>9019</v>
      </c>
      <c r="E3600" s="16">
        <v>7.5</v>
      </c>
      <c r="F3600" s="7">
        <f t="shared" si="3"/>
        <v>92.5</v>
      </c>
      <c r="G3600" s="17" t="s">
        <v>3113</v>
      </c>
    </row>
    <row r="3601">
      <c r="A3601" s="12">
        <v>2194.0</v>
      </c>
      <c r="B3601" s="17" t="s">
        <v>9020</v>
      </c>
      <c r="C3601" s="17" t="s">
        <v>9021</v>
      </c>
      <c r="D3601" s="17" t="s">
        <v>9022</v>
      </c>
      <c r="E3601" s="16">
        <v>7.5</v>
      </c>
      <c r="F3601" s="7">
        <f t="shared" si="3"/>
        <v>92.5</v>
      </c>
      <c r="G3601" s="17" t="s">
        <v>3113</v>
      </c>
    </row>
    <row r="3602">
      <c r="A3602" s="12">
        <v>2195.0</v>
      </c>
      <c r="B3602" s="17" t="s">
        <v>9023</v>
      </c>
      <c r="C3602" s="17" t="s">
        <v>9024</v>
      </c>
      <c r="D3602" s="17" t="s">
        <v>9025</v>
      </c>
      <c r="E3602" s="16">
        <v>7.5</v>
      </c>
      <c r="F3602" s="7">
        <f t="shared" si="3"/>
        <v>92.5</v>
      </c>
      <c r="G3602" s="17" t="s">
        <v>3113</v>
      </c>
    </row>
    <row r="3603">
      <c r="A3603" s="12">
        <v>2196.0</v>
      </c>
      <c r="B3603" s="17" t="s">
        <v>9026</v>
      </c>
      <c r="C3603" s="17" t="s">
        <v>9027</v>
      </c>
      <c r="D3603" s="17" t="s">
        <v>9028</v>
      </c>
      <c r="E3603" s="16">
        <v>7.5</v>
      </c>
      <c r="F3603" s="7">
        <f t="shared" si="3"/>
        <v>92.5</v>
      </c>
      <c r="G3603" s="17" t="s">
        <v>3113</v>
      </c>
    </row>
    <row r="3604">
      <c r="A3604" s="12">
        <v>2197.0</v>
      </c>
      <c r="B3604" s="17" t="s">
        <v>9029</v>
      </c>
      <c r="C3604" s="17" t="s">
        <v>9030</v>
      </c>
      <c r="D3604" s="17" t="s">
        <v>9031</v>
      </c>
      <c r="E3604" s="16">
        <v>7.5</v>
      </c>
      <c r="F3604" s="7">
        <f t="shared" si="3"/>
        <v>92.5</v>
      </c>
      <c r="G3604" s="17" t="s">
        <v>3113</v>
      </c>
    </row>
    <row r="3605">
      <c r="A3605" s="12">
        <v>2198.0</v>
      </c>
      <c r="B3605" s="17" t="s">
        <v>9032</v>
      </c>
      <c r="C3605" s="17" t="s">
        <v>9033</v>
      </c>
      <c r="D3605" s="17" t="s">
        <v>9034</v>
      </c>
      <c r="E3605" s="16">
        <v>7.5</v>
      </c>
      <c r="F3605" s="7">
        <f t="shared" si="3"/>
        <v>92.5</v>
      </c>
      <c r="G3605" s="17" t="s">
        <v>3113</v>
      </c>
    </row>
    <row r="3606">
      <c r="A3606" s="12">
        <v>2199.0</v>
      </c>
      <c r="B3606" s="17" t="s">
        <v>9035</v>
      </c>
      <c r="C3606" s="17" t="s">
        <v>9036</v>
      </c>
      <c r="D3606" s="17" t="s">
        <v>9037</v>
      </c>
      <c r="E3606" s="16">
        <v>7.5</v>
      </c>
      <c r="F3606" s="7">
        <f t="shared" si="3"/>
        <v>92.5</v>
      </c>
      <c r="G3606" s="17" t="s">
        <v>3113</v>
      </c>
    </row>
    <row r="3607">
      <c r="A3607" s="12">
        <v>2200.0</v>
      </c>
      <c r="B3607" s="17" t="s">
        <v>9038</v>
      </c>
      <c r="C3607" s="17" t="s">
        <v>9039</v>
      </c>
      <c r="D3607" s="17" t="s">
        <v>9040</v>
      </c>
      <c r="E3607" s="16">
        <v>7.5</v>
      </c>
      <c r="F3607" s="7">
        <f t="shared" si="3"/>
        <v>92.5</v>
      </c>
      <c r="G3607" s="17" t="s">
        <v>3113</v>
      </c>
    </row>
    <row r="3608">
      <c r="A3608" s="12">
        <v>2201.0</v>
      </c>
      <c r="B3608" s="17" t="s">
        <v>9041</v>
      </c>
      <c r="C3608" s="17" t="s">
        <v>9042</v>
      </c>
      <c r="D3608" s="17" t="s">
        <v>9043</v>
      </c>
      <c r="E3608" s="16">
        <v>7.5</v>
      </c>
      <c r="F3608" s="7">
        <f t="shared" si="3"/>
        <v>92.5</v>
      </c>
      <c r="G3608" s="17" t="s">
        <v>3113</v>
      </c>
    </row>
    <row r="3609">
      <c r="A3609" s="12">
        <v>2202.0</v>
      </c>
      <c r="B3609" s="17" t="s">
        <v>9044</v>
      </c>
      <c r="C3609" s="17" t="s">
        <v>9045</v>
      </c>
      <c r="D3609" s="17" t="s">
        <v>9046</v>
      </c>
      <c r="E3609" s="16">
        <v>7.5</v>
      </c>
      <c r="F3609" s="7">
        <f t="shared" si="3"/>
        <v>92.5</v>
      </c>
      <c r="G3609" s="17" t="s">
        <v>3113</v>
      </c>
    </row>
    <row r="3610">
      <c r="A3610" s="12">
        <v>2203.0</v>
      </c>
      <c r="B3610" s="17" t="s">
        <v>9047</v>
      </c>
      <c r="C3610" s="17" t="s">
        <v>9048</v>
      </c>
      <c r="D3610" s="17" t="s">
        <v>9049</v>
      </c>
      <c r="E3610" s="16">
        <v>7.5</v>
      </c>
      <c r="F3610" s="7">
        <f t="shared" si="3"/>
        <v>92.5</v>
      </c>
      <c r="G3610" s="17" t="s">
        <v>3113</v>
      </c>
    </row>
    <row r="3611">
      <c r="A3611" s="12">
        <v>2204.0</v>
      </c>
      <c r="B3611" s="17" t="s">
        <v>9050</v>
      </c>
      <c r="C3611" s="17" t="s">
        <v>9051</v>
      </c>
      <c r="D3611" s="17" t="s">
        <v>9052</v>
      </c>
      <c r="E3611" s="16">
        <v>7.5</v>
      </c>
      <c r="F3611" s="7">
        <f t="shared" si="3"/>
        <v>92.5</v>
      </c>
      <c r="G3611" s="17" t="s">
        <v>3113</v>
      </c>
    </row>
    <row r="3612">
      <c r="A3612" s="12">
        <v>2205.0</v>
      </c>
      <c r="B3612" s="17" t="s">
        <v>9053</v>
      </c>
      <c r="C3612" s="17" t="s">
        <v>9054</v>
      </c>
      <c r="D3612" s="17" t="s">
        <v>9052</v>
      </c>
      <c r="E3612" s="16">
        <v>7.5</v>
      </c>
      <c r="F3612" s="7">
        <f t="shared" si="3"/>
        <v>92.5</v>
      </c>
      <c r="G3612" s="17" t="s">
        <v>3113</v>
      </c>
    </row>
    <row r="3613">
      <c r="A3613" s="12">
        <v>2206.0</v>
      </c>
      <c r="B3613" s="17" t="s">
        <v>9055</v>
      </c>
      <c r="C3613" s="17" t="s">
        <v>9056</v>
      </c>
      <c r="D3613" s="17" t="s">
        <v>9057</v>
      </c>
      <c r="E3613" s="16">
        <v>7.5</v>
      </c>
      <c r="F3613" s="7">
        <f t="shared" si="3"/>
        <v>92.5</v>
      </c>
      <c r="G3613" s="17" t="s">
        <v>3113</v>
      </c>
    </row>
    <row r="3614">
      <c r="A3614" s="12">
        <v>2207.0</v>
      </c>
      <c r="B3614" s="17" t="s">
        <v>9058</v>
      </c>
      <c r="C3614" s="17" t="s">
        <v>9059</v>
      </c>
      <c r="D3614" s="17" t="s">
        <v>9060</v>
      </c>
      <c r="E3614" s="16">
        <v>7.5</v>
      </c>
      <c r="F3614" s="7">
        <f t="shared" si="3"/>
        <v>92.5</v>
      </c>
      <c r="G3614" s="17" t="s">
        <v>3113</v>
      </c>
    </row>
    <row r="3615">
      <c r="A3615" s="12">
        <v>2208.0</v>
      </c>
      <c r="B3615" s="17" t="s">
        <v>9061</v>
      </c>
      <c r="C3615" s="17" t="s">
        <v>9062</v>
      </c>
      <c r="D3615" s="17" t="s">
        <v>9060</v>
      </c>
      <c r="E3615" s="16">
        <v>7.5</v>
      </c>
      <c r="F3615" s="7">
        <f t="shared" si="3"/>
        <v>92.5</v>
      </c>
      <c r="G3615" s="17" t="s">
        <v>3113</v>
      </c>
    </row>
    <row r="3616">
      <c r="A3616" s="12">
        <v>2209.0</v>
      </c>
      <c r="B3616" s="17" t="s">
        <v>9063</v>
      </c>
      <c r="C3616" s="17" t="s">
        <v>9064</v>
      </c>
      <c r="D3616" s="17" t="s">
        <v>9065</v>
      </c>
      <c r="E3616" s="16">
        <v>7.5</v>
      </c>
      <c r="F3616" s="7">
        <f t="shared" si="3"/>
        <v>92.5</v>
      </c>
      <c r="G3616" s="17" t="s">
        <v>3113</v>
      </c>
    </row>
    <row r="3617">
      <c r="A3617" s="12">
        <v>2210.0</v>
      </c>
      <c r="B3617" s="17" t="s">
        <v>9066</v>
      </c>
      <c r="C3617" s="17" t="s">
        <v>9067</v>
      </c>
      <c r="D3617" s="17" t="s">
        <v>9068</v>
      </c>
      <c r="E3617" s="16">
        <v>7.5</v>
      </c>
      <c r="F3617" s="7">
        <f t="shared" si="3"/>
        <v>92.5</v>
      </c>
      <c r="G3617" s="17" t="s">
        <v>3113</v>
      </c>
    </row>
    <row r="3618">
      <c r="A3618" s="12">
        <v>2211.0</v>
      </c>
      <c r="B3618" s="17" t="s">
        <v>9066</v>
      </c>
      <c r="C3618" s="17" t="s">
        <v>9069</v>
      </c>
      <c r="D3618" s="17" t="s">
        <v>9070</v>
      </c>
      <c r="E3618" s="16">
        <v>7.5</v>
      </c>
      <c r="F3618" s="7">
        <f t="shared" si="3"/>
        <v>92.5</v>
      </c>
      <c r="G3618" s="17" t="s">
        <v>3113</v>
      </c>
    </row>
    <row r="3619">
      <c r="A3619" s="12">
        <v>2212.0</v>
      </c>
      <c r="B3619" s="17" t="s">
        <v>9066</v>
      </c>
      <c r="C3619" s="17" t="s">
        <v>9071</v>
      </c>
      <c r="D3619" s="17" t="s">
        <v>9070</v>
      </c>
      <c r="E3619" s="16">
        <v>7.5</v>
      </c>
      <c r="F3619" s="7">
        <f t="shared" si="3"/>
        <v>92.5</v>
      </c>
      <c r="G3619" s="17" t="s">
        <v>3113</v>
      </c>
    </row>
    <row r="3620">
      <c r="A3620" s="12">
        <v>2213.0</v>
      </c>
      <c r="B3620" s="17" t="s">
        <v>9072</v>
      </c>
      <c r="C3620" s="17" t="s">
        <v>9073</v>
      </c>
      <c r="D3620" s="17" t="s">
        <v>9074</v>
      </c>
      <c r="E3620" s="16">
        <v>7.5</v>
      </c>
      <c r="F3620" s="7">
        <f t="shared" si="3"/>
        <v>92.5</v>
      </c>
      <c r="G3620" s="17" t="s">
        <v>3113</v>
      </c>
    </row>
    <row r="3621">
      <c r="A3621" s="12">
        <v>2214.0</v>
      </c>
      <c r="B3621" s="17" t="s">
        <v>9075</v>
      </c>
      <c r="C3621" s="17" t="s">
        <v>9076</v>
      </c>
      <c r="D3621" s="17" t="s">
        <v>9077</v>
      </c>
      <c r="E3621" s="16">
        <v>7.5</v>
      </c>
      <c r="F3621" s="7">
        <f t="shared" si="3"/>
        <v>92.5</v>
      </c>
      <c r="G3621" s="17" t="s">
        <v>3113</v>
      </c>
    </row>
    <row r="3622">
      <c r="A3622" s="12">
        <v>2215.0</v>
      </c>
      <c r="B3622" s="17" t="s">
        <v>9078</v>
      </c>
      <c r="C3622" s="17" t="s">
        <v>9079</v>
      </c>
      <c r="D3622" s="17" t="s">
        <v>9074</v>
      </c>
      <c r="E3622" s="16">
        <v>7.5</v>
      </c>
      <c r="F3622" s="7">
        <f t="shared" si="3"/>
        <v>92.5</v>
      </c>
      <c r="G3622" s="17" t="s">
        <v>3113</v>
      </c>
    </row>
    <row r="3623">
      <c r="A3623" s="12">
        <v>2216.0</v>
      </c>
      <c r="B3623" s="17" t="s">
        <v>9080</v>
      </c>
      <c r="C3623" s="17" t="s">
        <v>9081</v>
      </c>
      <c r="D3623" s="17" t="s">
        <v>9077</v>
      </c>
      <c r="E3623" s="16">
        <v>7.5</v>
      </c>
      <c r="F3623" s="7">
        <f t="shared" si="3"/>
        <v>92.5</v>
      </c>
      <c r="G3623" s="17" t="s">
        <v>3113</v>
      </c>
    </row>
    <row r="3624">
      <c r="A3624" s="12">
        <v>2217.0</v>
      </c>
      <c r="B3624" s="17" t="s">
        <v>9082</v>
      </c>
      <c r="C3624" s="17" t="s">
        <v>9083</v>
      </c>
      <c r="D3624" s="17" t="s">
        <v>9084</v>
      </c>
      <c r="E3624" s="16">
        <v>7.5</v>
      </c>
      <c r="F3624" s="7">
        <f t="shared" si="3"/>
        <v>92.5</v>
      </c>
      <c r="G3624" s="17" t="s">
        <v>3113</v>
      </c>
    </row>
    <row r="3625">
      <c r="A3625" s="12">
        <v>2218.0</v>
      </c>
      <c r="B3625" s="17" t="s">
        <v>9085</v>
      </c>
      <c r="C3625" s="17" t="s">
        <v>9086</v>
      </c>
      <c r="D3625" s="17" t="s">
        <v>9087</v>
      </c>
      <c r="E3625" s="16">
        <v>7.5</v>
      </c>
      <c r="F3625" s="7">
        <f t="shared" si="3"/>
        <v>92.5</v>
      </c>
      <c r="G3625" s="17" t="s">
        <v>3113</v>
      </c>
    </row>
    <row r="3626">
      <c r="A3626" s="12">
        <v>2219.0</v>
      </c>
      <c r="B3626" s="17" t="s">
        <v>9088</v>
      </c>
      <c r="C3626" s="17" t="s">
        <v>9089</v>
      </c>
      <c r="D3626" s="17" t="s">
        <v>9090</v>
      </c>
      <c r="E3626" s="16">
        <v>7.5</v>
      </c>
      <c r="F3626" s="7">
        <f t="shared" si="3"/>
        <v>92.5</v>
      </c>
      <c r="G3626" s="17" t="s">
        <v>3113</v>
      </c>
    </row>
    <row r="3627">
      <c r="A3627" s="12">
        <v>2220.0</v>
      </c>
      <c r="B3627" s="17" t="s">
        <v>9088</v>
      </c>
      <c r="C3627" s="17" t="s">
        <v>9091</v>
      </c>
      <c r="D3627" s="17" t="s">
        <v>9092</v>
      </c>
      <c r="E3627" s="16">
        <v>7.5</v>
      </c>
      <c r="F3627" s="7">
        <f t="shared" si="3"/>
        <v>92.5</v>
      </c>
      <c r="G3627" s="17" t="s">
        <v>3113</v>
      </c>
    </row>
    <row r="3628">
      <c r="A3628" s="12">
        <v>2221.0</v>
      </c>
      <c r="B3628" s="17" t="s">
        <v>9088</v>
      </c>
      <c r="C3628" s="17" t="s">
        <v>9093</v>
      </c>
      <c r="D3628" s="17" t="s">
        <v>9094</v>
      </c>
      <c r="E3628" s="16">
        <v>7.5</v>
      </c>
      <c r="F3628" s="7">
        <f t="shared" si="3"/>
        <v>92.5</v>
      </c>
      <c r="G3628" s="17" t="s">
        <v>3113</v>
      </c>
    </row>
    <row r="3629">
      <c r="A3629" s="12">
        <v>2222.0</v>
      </c>
      <c r="B3629" s="17" t="s">
        <v>9095</v>
      </c>
      <c r="C3629" s="17" t="s">
        <v>9096</v>
      </c>
      <c r="D3629" s="17" t="s">
        <v>9097</v>
      </c>
      <c r="E3629" s="16">
        <v>7.5</v>
      </c>
      <c r="F3629" s="7">
        <f t="shared" si="3"/>
        <v>92.5</v>
      </c>
      <c r="G3629" s="17" t="s">
        <v>3113</v>
      </c>
    </row>
    <row r="3630">
      <c r="A3630" s="12">
        <v>2223.0</v>
      </c>
      <c r="B3630" s="17" t="s">
        <v>9098</v>
      </c>
      <c r="C3630" s="17" t="s">
        <v>9099</v>
      </c>
      <c r="D3630" s="17" t="s">
        <v>9100</v>
      </c>
      <c r="E3630" s="16">
        <v>7.5</v>
      </c>
      <c r="F3630" s="7">
        <f t="shared" si="3"/>
        <v>92.5</v>
      </c>
      <c r="G3630" s="17" t="s">
        <v>3113</v>
      </c>
    </row>
    <row r="3631">
      <c r="A3631" s="12">
        <v>2224.0</v>
      </c>
      <c r="B3631" s="17" t="s">
        <v>9101</v>
      </c>
      <c r="C3631" s="17" t="s">
        <v>9102</v>
      </c>
      <c r="D3631" s="17" t="s">
        <v>9103</v>
      </c>
      <c r="E3631" s="16">
        <v>7.5</v>
      </c>
      <c r="F3631" s="7">
        <f t="shared" si="3"/>
        <v>92.5</v>
      </c>
      <c r="G3631" s="17" t="s">
        <v>3113</v>
      </c>
    </row>
    <row r="3632">
      <c r="A3632" s="12">
        <v>2225.0</v>
      </c>
      <c r="B3632" s="17" t="s">
        <v>9101</v>
      </c>
      <c r="C3632" s="17" t="s">
        <v>9104</v>
      </c>
      <c r="D3632" s="17" t="s">
        <v>9105</v>
      </c>
      <c r="E3632" s="16">
        <v>7.5</v>
      </c>
      <c r="F3632" s="7">
        <f t="shared" si="3"/>
        <v>92.5</v>
      </c>
      <c r="G3632" s="17" t="s">
        <v>3113</v>
      </c>
    </row>
    <row r="3633">
      <c r="A3633" s="12">
        <v>2226.0</v>
      </c>
      <c r="B3633" s="17" t="s">
        <v>9101</v>
      </c>
      <c r="C3633" s="17" t="s">
        <v>9106</v>
      </c>
      <c r="D3633" s="17" t="s">
        <v>9105</v>
      </c>
      <c r="E3633" s="16">
        <v>7.5</v>
      </c>
      <c r="F3633" s="7">
        <f t="shared" si="3"/>
        <v>92.5</v>
      </c>
      <c r="G3633" s="17" t="s">
        <v>3113</v>
      </c>
    </row>
    <row r="3634">
      <c r="A3634" s="12">
        <v>2227.0</v>
      </c>
      <c r="B3634" s="17" t="s">
        <v>9107</v>
      </c>
      <c r="C3634" s="17" t="s">
        <v>9108</v>
      </c>
      <c r="D3634" s="17" t="s">
        <v>9109</v>
      </c>
      <c r="E3634" s="16">
        <v>7.5</v>
      </c>
      <c r="F3634" s="7">
        <f t="shared" si="3"/>
        <v>92.5</v>
      </c>
      <c r="G3634" s="17" t="s">
        <v>3113</v>
      </c>
    </row>
    <row r="3635">
      <c r="A3635" s="12">
        <v>2228.0</v>
      </c>
      <c r="B3635" s="17" t="s">
        <v>9110</v>
      </c>
      <c r="C3635" s="17" t="s">
        <v>9111</v>
      </c>
      <c r="D3635" s="17" t="s">
        <v>9112</v>
      </c>
      <c r="E3635" s="16">
        <v>7.5</v>
      </c>
      <c r="F3635" s="7">
        <f t="shared" si="3"/>
        <v>92.5</v>
      </c>
      <c r="G3635" s="17" t="s">
        <v>3113</v>
      </c>
    </row>
    <row r="3636">
      <c r="A3636" s="12">
        <v>2229.0</v>
      </c>
      <c r="B3636" s="17" t="s">
        <v>9113</v>
      </c>
      <c r="C3636" s="17" t="s">
        <v>9114</v>
      </c>
      <c r="D3636" s="17" t="s">
        <v>9115</v>
      </c>
      <c r="E3636" s="16">
        <v>7.5</v>
      </c>
      <c r="F3636" s="7">
        <f t="shared" si="3"/>
        <v>92.5</v>
      </c>
      <c r="G3636" s="17" t="s">
        <v>3113</v>
      </c>
    </row>
    <row r="3637">
      <c r="A3637" s="12">
        <v>2230.0</v>
      </c>
      <c r="B3637" s="17" t="s">
        <v>9116</v>
      </c>
      <c r="C3637" s="17" t="s">
        <v>9117</v>
      </c>
      <c r="D3637" s="17" t="s">
        <v>9118</v>
      </c>
      <c r="E3637" s="16">
        <v>7.5</v>
      </c>
      <c r="F3637" s="7">
        <f t="shared" si="3"/>
        <v>92.5</v>
      </c>
      <c r="G3637" s="17" t="s">
        <v>3113</v>
      </c>
    </row>
    <row r="3638">
      <c r="A3638" s="12">
        <v>2231.0</v>
      </c>
      <c r="B3638" s="17" t="s">
        <v>9119</v>
      </c>
      <c r="C3638" s="17" t="s">
        <v>9120</v>
      </c>
      <c r="D3638" s="17" t="s">
        <v>9121</v>
      </c>
      <c r="E3638" s="16">
        <v>7.5</v>
      </c>
      <c r="F3638" s="7">
        <f t="shared" si="3"/>
        <v>92.5</v>
      </c>
      <c r="G3638" s="17" t="s">
        <v>3113</v>
      </c>
    </row>
    <row r="3639">
      <c r="A3639" s="12">
        <v>2232.0</v>
      </c>
      <c r="B3639" s="17" t="s">
        <v>9122</v>
      </c>
      <c r="C3639" s="17" t="s">
        <v>9123</v>
      </c>
      <c r="D3639" s="17" t="s">
        <v>9121</v>
      </c>
      <c r="E3639" s="16">
        <v>7.5</v>
      </c>
      <c r="F3639" s="7">
        <f t="shared" si="3"/>
        <v>92.5</v>
      </c>
      <c r="G3639" s="17" t="s">
        <v>3113</v>
      </c>
    </row>
    <row r="3640">
      <c r="A3640" s="12">
        <v>2233.0</v>
      </c>
      <c r="B3640" s="17" t="s">
        <v>9124</v>
      </c>
      <c r="C3640" s="17" t="s">
        <v>9125</v>
      </c>
      <c r="D3640" s="17" t="s">
        <v>9126</v>
      </c>
      <c r="E3640" s="16">
        <v>7.5</v>
      </c>
      <c r="F3640" s="7">
        <f t="shared" si="3"/>
        <v>92.5</v>
      </c>
      <c r="G3640" s="17" t="s">
        <v>3113</v>
      </c>
    </row>
    <row r="3641">
      <c r="A3641" s="12">
        <v>2234.0</v>
      </c>
      <c r="B3641" s="17" t="s">
        <v>9127</v>
      </c>
      <c r="C3641" s="17" t="s">
        <v>9128</v>
      </c>
      <c r="D3641" s="17" t="s">
        <v>9129</v>
      </c>
      <c r="E3641" s="16">
        <v>7.5</v>
      </c>
      <c r="F3641" s="7">
        <f t="shared" si="3"/>
        <v>92.5</v>
      </c>
      <c r="G3641" s="17" t="s">
        <v>3113</v>
      </c>
    </row>
    <row r="3642">
      <c r="A3642" s="12">
        <v>2235.0</v>
      </c>
      <c r="B3642" s="17" t="s">
        <v>9130</v>
      </c>
      <c r="C3642" s="17" t="s">
        <v>9131</v>
      </c>
      <c r="D3642" s="17" t="s">
        <v>9132</v>
      </c>
      <c r="E3642" s="16">
        <v>7.5</v>
      </c>
      <c r="F3642" s="7">
        <f t="shared" si="3"/>
        <v>92.5</v>
      </c>
      <c r="G3642" s="17" t="s">
        <v>3113</v>
      </c>
    </row>
    <row r="3643">
      <c r="A3643" s="12">
        <v>2236.0</v>
      </c>
      <c r="B3643" s="17" t="s">
        <v>9133</v>
      </c>
      <c r="C3643" s="17" t="s">
        <v>9134</v>
      </c>
      <c r="D3643" s="17" t="s">
        <v>9132</v>
      </c>
      <c r="E3643" s="16">
        <v>7.5</v>
      </c>
      <c r="F3643" s="7">
        <f t="shared" si="3"/>
        <v>92.5</v>
      </c>
      <c r="G3643" s="17" t="s">
        <v>3113</v>
      </c>
    </row>
    <row r="3644">
      <c r="A3644" s="12">
        <v>2237.0</v>
      </c>
      <c r="B3644" s="17" t="s">
        <v>9135</v>
      </c>
      <c r="C3644" s="17" t="s">
        <v>9136</v>
      </c>
      <c r="D3644" s="17" t="s">
        <v>9137</v>
      </c>
      <c r="E3644" s="16">
        <v>7.5</v>
      </c>
      <c r="F3644" s="7">
        <f t="shared" si="3"/>
        <v>92.5</v>
      </c>
      <c r="G3644" s="17" t="s">
        <v>3113</v>
      </c>
    </row>
    <row r="3645">
      <c r="A3645" s="12">
        <v>2238.0</v>
      </c>
      <c r="B3645" s="17" t="s">
        <v>9135</v>
      </c>
      <c r="C3645" s="17" t="s">
        <v>9138</v>
      </c>
      <c r="D3645" s="17" t="s">
        <v>9139</v>
      </c>
      <c r="E3645" s="16">
        <v>7.5</v>
      </c>
      <c r="F3645" s="7">
        <f t="shared" si="3"/>
        <v>92.5</v>
      </c>
      <c r="G3645" s="17" t="s">
        <v>3113</v>
      </c>
    </row>
    <row r="3646">
      <c r="A3646" s="12">
        <v>2239.0</v>
      </c>
      <c r="B3646" s="17" t="s">
        <v>9135</v>
      </c>
      <c r="C3646" s="17" t="s">
        <v>9140</v>
      </c>
      <c r="D3646" s="17" t="s">
        <v>9139</v>
      </c>
      <c r="E3646" s="16">
        <v>7.5</v>
      </c>
      <c r="F3646" s="7">
        <f t="shared" si="3"/>
        <v>92.5</v>
      </c>
      <c r="G3646" s="17" t="s">
        <v>3113</v>
      </c>
    </row>
    <row r="3647">
      <c r="A3647" s="12">
        <v>2240.0</v>
      </c>
      <c r="B3647" s="17" t="s">
        <v>9141</v>
      </c>
      <c r="C3647" s="17" t="s">
        <v>9142</v>
      </c>
      <c r="D3647" s="17" t="s">
        <v>9143</v>
      </c>
      <c r="E3647" s="16">
        <v>7.5</v>
      </c>
      <c r="F3647" s="7">
        <f t="shared" si="3"/>
        <v>92.5</v>
      </c>
      <c r="G3647" s="17" t="s">
        <v>3113</v>
      </c>
    </row>
    <row r="3648">
      <c r="A3648" s="12">
        <v>2241.0</v>
      </c>
      <c r="B3648" s="17" t="s">
        <v>9144</v>
      </c>
      <c r="C3648" s="17" t="s">
        <v>9145</v>
      </c>
      <c r="D3648" s="17" t="s">
        <v>9146</v>
      </c>
      <c r="E3648" s="16">
        <v>7.5</v>
      </c>
      <c r="F3648" s="7">
        <f t="shared" si="3"/>
        <v>92.5</v>
      </c>
      <c r="G3648" s="17" t="s">
        <v>3113</v>
      </c>
    </row>
    <row r="3649">
      <c r="A3649" s="12">
        <v>2242.0</v>
      </c>
      <c r="B3649" s="17" t="s">
        <v>9147</v>
      </c>
      <c r="C3649" s="17" t="s">
        <v>9148</v>
      </c>
      <c r="D3649" s="17" t="s">
        <v>9149</v>
      </c>
      <c r="E3649" s="16">
        <v>7.5</v>
      </c>
      <c r="F3649" s="7">
        <f t="shared" si="3"/>
        <v>92.5</v>
      </c>
      <c r="G3649" s="17" t="s">
        <v>3113</v>
      </c>
    </row>
    <row r="3650">
      <c r="A3650" s="12">
        <v>2243.0</v>
      </c>
      <c r="B3650" s="17" t="s">
        <v>9150</v>
      </c>
      <c r="C3650" s="17" t="s">
        <v>9151</v>
      </c>
      <c r="D3650" s="17" t="s">
        <v>9152</v>
      </c>
      <c r="E3650" s="16">
        <v>7.5</v>
      </c>
      <c r="F3650" s="7">
        <f t="shared" si="3"/>
        <v>92.5</v>
      </c>
      <c r="G3650" s="17" t="s">
        <v>3113</v>
      </c>
    </row>
    <row r="3651">
      <c r="A3651" s="12">
        <v>2244.0</v>
      </c>
      <c r="B3651" s="17" t="s">
        <v>9153</v>
      </c>
      <c r="C3651" s="17" t="s">
        <v>9154</v>
      </c>
      <c r="D3651" s="17" t="s">
        <v>9155</v>
      </c>
      <c r="E3651" s="16">
        <v>7.5</v>
      </c>
      <c r="F3651" s="7">
        <f t="shared" si="3"/>
        <v>92.5</v>
      </c>
      <c r="G3651" s="17" t="s">
        <v>3113</v>
      </c>
    </row>
    <row r="3652">
      <c r="A3652" s="12">
        <v>2245.0</v>
      </c>
      <c r="B3652" s="17" t="s">
        <v>9156</v>
      </c>
      <c r="C3652" s="17" t="s">
        <v>9157</v>
      </c>
      <c r="D3652" s="17" t="s">
        <v>9158</v>
      </c>
      <c r="E3652" s="16">
        <v>7.5</v>
      </c>
      <c r="F3652" s="7">
        <f t="shared" si="3"/>
        <v>92.5</v>
      </c>
      <c r="G3652" s="17" t="s">
        <v>3113</v>
      </c>
    </row>
    <row r="3653">
      <c r="A3653" s="12">
        <v>2246.0</v>
      </c>
      <c r="B3653" s="17" t="s">
        <v>9159</v>
      </c>
      <c r="C3653" s="17" t="s">
        <v>9160</v>
      </c>
      <c r="D3653" s="17" t="s">
        <v>9161</v>
      </c>
      <c r="E3653" s="16">
        <v>7.5</v>
      </c>
      <c r="F3653" s="7">
        <f t="shared" si="3"/>
        <v>92.5</v>
      </c>
      <c r="G3653" s="17" t="s">
        <v>3113</v>
      </c>
    </row>
    <row r="3654">
      <c r="A3654" s="12">
        <v>2247.0</v>
      </c>
      <c r="B3654" s="17" t="s">
        <v>9162</v>
      </c>
      <c r="C3654" s="17" t="s">
        <v>9163</v>
      </c>
      <c r="D3654" s="17" t="s">
        <v>9164</v>
      </c>
      <c r="E3654" s="16">
        <v>7.5</v>
      </c>
      <c r="F3654" s="7">
        <f t="shared" si="3"/>
        <v>92.5</v>
      </c>
      <c r="G3654" s="17" t="s">
        <v>3113</v>
      </c>
    </row>
    <row r="3655">
      <c r="A3655" s="12">
        <v>2248.0</v>
      </c>
      <c r="B3655" s="17" t="s">
        <v>9165</v>
      </c>
      <c r="C3655" s="17" t="s">
        <v>9166</v>
      </c>
      <c r="D3655" s="17" t="s">
        <v>9167</v>
      </c>
      <c r="E3655" s="16">
        <v>7.5</v>
      </c>
      <c r="F3655" s="7">
        <f t="shared" si="3"/>
        <v>92.5</v>
      </c>
      <c r="G3655" s="17" t="s">
        <v>3113</v>
      </c>
    </row>
    <row r="3656">
      <c r="A3656" s="12">
        <v>2249.0</v>
      </c>
      <c r="B3656" s="17" t="s">
        <v>9168</v>
      </c>
      <c r="C3656" s="17" t="s">
        <v>9169</v>
      </c>
      <c r="D3656" s="17" t="s">
        <v>9170</v>
      </c>
      <c r="E3656" s="16">
        <v>7.5</v>
      </c>
      <c r="F3656" s="7">
        <f t="shared" si="3"/>
        <v>92.5</v>
      </c>
      <c r="G3656" s="17" t="s">
        <v>3113</v>
      </c>
    </row>
    <row r="3657">
      <c r="A3657" s="12">
        <v>2250.0</v>
      </c>
      <c r="B3657" s="17" t="s">
        <v>9171</v>
      </c>
      <c r="C3657" s="17" t="s">
        <v>9172</v>
      </c>
      <c r="D3657" s="17" t="s">
        <v>9173</v>
      </c>
      <c r="E3657" s="16">
        <v>7.5</v>
      </c>
      <c r="F3657" s="7">
        <f t="shared" si="3"/>
        <v>92.5</v>
      </c>
      <c r="G3657" s="17" t="s">
        <v>3113</v>
      </c>
    </row>
    <row r="3658">
      <c r="A3658" s="12">
        <v>2251.0</v>
      </c>
      <c r="B3658" s="17" t="s">
        <v>9171</v>
      </c>
      <c r="C3658" s="17" t="s">
        <v>9174</v>
      </c>
      <c r="D3658" s="17" t="s">
        <v>9175</v>
      </c>
      <c r="E3658" s="16">
        <v>7.5</v>
      </c>
      <c r="F3658" s="7">
        <f t="shared" si="3"/>
        <v>92.5</v>
      </c>
      <c r="G3658" s="17" t="s">
        <v>3113</v>
      </c>
    </row>
    <row r="3659">
      <c r="A3659" s="12">
        <v>2252.0</v>
      </c>
      <c r="B3659" s="17" t="s">
        <v>9176</v>
      </c>
      <c r="C3659" s="17" t="s">
        <v>9177</v>
      </c>
      <c r="D3659" s="17" t="s">
        <v>9167</v>
      </c>
      <c r="E3659" s="16">
        <v>7.5</v>
      </c>
      <c r="F3659" s="7">
        <f t="shared" si="3"/>
        <v>92.5</v>
      </c>
      <c r="G3659" s="17" t="s">
        <v>3113</v>
      </c>
    </row>
    <row r="3660">
      <c r="A3660" s="12">
        <v>2253.0</v>
      </c>
      <c r="B3660" s="17" t="s">
        <v>9178</v>
      </c>
      <c r="C3660" s="17" t="s">
        <v>9179</v>
      </c>
      <c r="D3660" s="17" t="s">
        <v>9180</v>
      </c>
      <c r="E3660" s="16">
        <v>7.5</v>
      </c>
      <c r="F3660" s="7">
        <f t="shared" si="3"/>
        <v>92.5</v>
      </c>
      <c r="G3660" s="17" t="s">
        <v>3113</v>
      </c>
    </row>
    <row r="3661">
      <c r="A3661" s="12">
        <v>2254.0</v>
      </c>
      <c r="B3661" s="17" t="s">
        <v>9181</v>
      </c>
      <c r="C3661" s="17" t="s">
        <v>9182</v>
      </c>
      <c r="D3661" s="17" t="s">
        <v>9164</v>
      </c>
      <c r="E3661" s="16">
        <v>7.5</v>
      </c>
      <c r="F3661" s="7">
        <f t="shared" si="3"/>
        <v>92.5</v>
      </c>
      <c r="G3661" s="17" t="s">
        <v>3113</v>
      </c>
    </row>
    <row r="3662">
      <c r="A3662" s="12">
        <v>2255.0</v>
      </c>
      <c r="B3662" s="17" t="s">
        <v>9183</v>
      </c>
      <c r="C3662" s="17" t="s">
        <v>9184</v>
      </c>
      <c r="D3662" s="17" t="s">
        <v>9180</v>
      </c>
      <c r="E3662" s="16">
        <v>7.5</v>
      </c>
      <c r="F3662" s="7">
        <f t="shared" si="3"/>
        <v>92.5</v>
      </c>
      <c r="G3662" s="17" t="s">
        <v>3113</v>
      </c>
    </row>
    <row r="3663">
      <c r="A3663" s="12">
        <v>2256.0</v>
      </c>
      <c r="B3663" s="17" t="s">
        <v>9185</v>
      </c>
      <c r="C3663" s="17" t="s">
        <v>9186</v>
      </c>
      <c r="D3663" s="17" t="s">
        <v>9175</v>
      </c>
      <c r="E3663" s="16">
        <v>7.5</v>
      </c>
      <c r="F3663" s="7">
        <f t="shared" si="3"/>
        <v>92.5</v>
      </c>
      <c r="G3663" s="17" t="s">
        <v>3113</v>
      </c>
    </row>
    <row r="3664">
      <c r="A3664" s="12">
        <v>2257.0</v>
      </c>
      <c r="B3664" s="17" t="s">
        <v>9187</v>
      </c>
      <c r="C3664" s="17" t="s">
        <v>9188</v>
      </c>
      <c r="D3664" s="17" t="s">
        <v>9189</v>
      </c>
      <c r="E3664" s="16">
        <v>7.5</v>
      </c>
      <c r="F3664" s="7">
        <f t="shared" si="3"/>
        <v>92.5</v>
      </c>
      <c r="G3664" s="17" t="s">
        <v>3113</v>
      </c>
    </row>
    <row r="3665">
      <c r="A3665" s="12">
        <v>2258.0</v>
      </c>
      <c r="B3665" s="17" t="s">
        <v>9190</v>
      </c>
      <c r="C3665" s="17" t="s">
        <v>9191</v>
      </c>
      <c r="D3665" s="17" t="s">
        <v>9192</v>
      </c>
      <c r="E3665" s="16">
        <v>7.5</v>
      </c>
      <c r="F3665" s="7">
        <f t="shared" si="3"/>
        <v>92.5</v>
      </c>
      <c r="G3665" s="17" t="s">
        <v>3113</v>
      </c>
    </row>
    <row r="3666">
      <c r="A3666" s="12">
        <v>2259.0</v>
      </c>
      <c r="B3666" s="17" t="s">
        <v>9193</v>
      </c>
      <c r="C3666" s="17" t="s">
        <v>9194</v>
      </c>
      <c r="D3666" s="17" t="s">
        <v>9195</v>
      </c>
      <c r="E3666" s="16">
        <v>7.5</v>
      </c>
      <c r="F3666" s="7">
        <f t="shared" si="3"/>
        <v>92.5</v>
      </c>
      <c r="G3666" s="17" t="s">
        <v>3113</v>
      </c>
    </row>
    <row r="3667">
      <c r="A3667" s="12">
        <v>2260.0</v>
      </c>
      <c r="B3667" s="17" t="s">
        <v>9196</v>
      </c>
      <c r="C3667" s="17" t="s">
        <v>9197</v>
      </c>
      <c r="D3667" s="17" t="s">
        <v>9198</v>
      </c>
      <c r="E3667" s="16">
        <v>7.5</v>
      </c>
      <c r="F3667" s="7">
        <f t="shared" si="3"/>
        <v>92.5</v>
      </c>
      <c r="G3667" s="17" t="s">
        <v>3113</v>
      </c>
    </row>
    <row r="3668">
      <c r="A3668" s="12">
        <v>2261.0</v>
      </c>
      <c r="B3668" s="17" t="s">
        <v>9199</v>
      </c>
      <c r="C3668" s="17" t="s">
        <v>9200</v>
      </c>
      <c r="D3668" s="17" t="s">
        <v>9201</v>
      </c>
      <c r="E3668" s="16">
        <v>7.5</v>
      </c>
      <c r="F3668" s="7">
        <f t="shared" si="3"/>
        <v>92.5</v>
      </c>
      <c r="G3668" s="17" t="s">
        <v>3113</v>
      </c>
    </row>
    <row r="3669">
      <c r="A3669" s="12">
        <v>2262.0</v>
      </c>
      <c r="B3669" s="17" t="s">
        <v>9202</v>
      </c>
      <c r="C3669" s="17" t="s">
        <v>9203</v>
      </c>
      <c r="D3669" s="17" t="s">
        <v>9204</v>
      </c>
      <c r="E3669" s="16">
        <v>7.5</v>
      </c>
      <c r="F3669" s="7">
        <f t="shared" si="3"/>
        <v>92.5</v>
      </c>
      <c r="G3669" s="17" t="s">
        <v>3113</v>
      </c>
    </row>
    <row r="3670">
      <c r="A3670" s="12">
        <v>2263.0</v>
      </c>
      <c r="B3670" s="17" t="s">
        <v>9205</v>
      </c>
      <c r="C3670" s="17" t="s">
        <v>9206</v>
      </c>
      <c r="D3670" s="17" t="s">
        <v>9207</v>
      </c>
      <c r="E3670" s="16">
        <v>7.5</v>
      </c>
      <c r="F3670" s="7">
        <f t="shared" si="3"/>
        <v>92.5</v>
      </c>
      <c r="G3670" s="17" t="s">
        <v>3113</v>
      </c>
    </row>
    <row r="3671">
      <c r="A3671" s="12">
        <v>2264.0</v>
      </c>
      <c r="B3671" s="17" t="s">
        <v>9208</v>
      </c>
      <c r="C3671" s="17" t="s">
        <v>9209</v>
      </c>
      <c r="D3671" s="17" t="s">
        <v>9210</v>
      </c>
      <c r="E3671" s="16">
        <v>7.5</v>
      </c>
      <c r="F3671" s="7">
        <f t="shared" si="3"/>
        <v>92.5</v>
      </c>
      <c r="G3671" s="17" t="s">
        <v>3113</v>
      </c>
    </row>
    <row r="3672">
      <c r="A3672" s="12">
        <v>2265.0</v>
      </c>
      <c r="B3672" s="17" t="s">
        <v>9211</v>
      </c>
      <c r="C3672" s="17" t="s">
        <v>9212</v>
      </c>
      <c r="D3672" s="17" t="s">
        <v>9213</v>
      </c>
      <c r="E3672" s="16">
        <v>7.5</v>
      </c>
      <c r="F3672" s="7">
        <f t="shared" si="3"/>
        <v>92.5</v>
      </c>
      <c r="G3672" s="17" t="s">
        <v>3113</v>
      </c>
    </row>
    <row r="3673">
      <c r="A3673" s="12">
        <v>2266.0</v>
      </c>
      <c r="B3673" s="17" t="s">
        <v>9214</v>
      </c>
      <c r="C3673" s="17" t="s">
        <v>9215</v>
      </c>
      <c r="D3673" s="17" t="s">
        <v>9216</v>
      </c>
      <c r="E3673" s="16">
        <v>7.5</v>
      </c>
      <c r="F3673" s="7">
        <f t="shared" si="3"/>
        <v>92.5</v>
      </c>
      <c r="G3673" s="17" t="s">
        <v>3113</v>
      </c>
    </row>
    <row r="3674">
      <c r="A3674" s="12">
        <v>2267.0</v>
      </c>
      <c r="B3674" s="17" t="s">
        <v>9217</v>
      </c>
      <c r="C3674" s="17" t="s">
        <v>9218</v>
      </c>
      <c r="D3674" s="17" t="s">
        <v>9219</v>
      </c>
      <c r="E3674" s="16">
        <v>7.5</v>
      </c>
      <c r="F3674" s="7">
        <f t="shared" si="3"/>
        <v>92.5</v>
      </c>
      <c r="G3674" s="17" t="s">
        <v>3113</v>
      </c>
    </row>
    <row r="3675">
      <c r="A3675" s="12">
        <v>2268.0</v>
      </c>
      <c r="B3675" s="17" t="s">
        <v>9220</v>
      </c>
      <c r="C3675" s="17" t="s">
        <v>9221</v>
      </c>
      <c r="D3675" s="17" t="s">
        <v>9222</v>
      </c>
      <c r="E3675" s="16">
        <v>7.5</v>
      </c>
      <c r="F3675" s="7">
        <f t="shared" si="3"/>
        <v>92.5</v>
      </c>
      <c r="G3675" s="17" t="s">
        <v>3113</v>
      </c>
    </row>
    <row r="3676">
      <c r="A3676" s="12">
        <v>2269.0</v>
      </c>
      <c r="B3676" s="17" t="s">
        <v>9223</v>
      </c>
      <c r="C3676" s="17" t="s">
        <v>9224</v>
      </c>
      <c r="D3676" s="17" t="s">
        <v>9225</v>
      </c>
      <c r="E3676" s="16">
        <v>7.5</v>
      </c>
      <c r="F3676" s="7">
        <f t="shared" si="3"/>
        <v>92.5</v>
      </c>
      <c r="G3676" s="17" t="s">
        <v>3113</v>
      </c>
    </row>
    <row r="3677">
      <c r="A3677" s="12">
        <v>2270.0</v>
      </c>
      <c r="B3677" s="17" t="s">
        <v>9226</v>
      </c>
      <c r="C3677" s="17" t="s">
        <v>9227</v>
      </c>
      <c r="D3677" s="17" t="s">
        <v>9228</v>
      </c>
      <c r="E3677" s="16">
        <v>7.5</v>
      </c>
      <c r="F3677" s="7">
        <f t="shared" si="3"/>
        <v>92.5</v>
      </c>
      <c r="G3677" s="17" t="s">
        <v>3113</v>
      </c>
    </row>
    <row r="3678">
      <c r="A3678" s="12">
        <v>2271.0</v>
      </c>
      <c r="B3678" s="17" t="s">
        <v>9229</v>
      </c>
      <c r="C3678" s="17" t="s">
        <v>9230</v>
      </c>
      <c r="D3678" s="17" t="s">
        <v>9231</v>
      </c>
      <c r="E3678" s="16">
        <v>7.5</v>
      </c>
      <c r="F3678" s="7">
        <f t="shared" si="3"/>
        <v>92.5</v>
      </c>
      <c r="G3678" s="17" t="s">
        <v>3113</v>
      </c>
    </row>
    <row r="3679">
      <c r="A3679" s="12">
        <v>2272.0</v>
      </c>
      <c r="B3679" s="17" t="s">
        <v>9232</v>
      </c>
      <c r="C3679" s="17" t="s">
        <v>9233</v>
      </c>
      <c r="D3679" s="17" t="s">
        <v>9234</v>
      </c>
      <c r="E3679" s="16">
        <v>7.5</v>
      </c>
      <c r="F3679" s="7">
        <f t="shared" si="3"/>
        <v>92.5</v>
      </c>
      <c r="G3679" s="17" t="s">
        <v>3113</v>
      </c>
    </row>
    <row r="3680">
      <c r="A3680" s="12">
        <v>2273.0</v>
      </c>
      <c r="B3680" s="17" t="s">
        <v>9235</v>
      </c>
      <c r="C3680" s="17" t="s">
        <v>9236</v>
      </c>
      <c r="D3680" s="17" t="s">
        <v>9237</v>
      </c>
      <c r="E3680" s="16">
        <v>7.5</v>
      </c>
      <c r="F3680" s="7">
        <f t="shared" si="3"/>
        <v>92.5</v>
      </c>
      <c r="G3680" s="17" t="s">
        <v>3113</v>
      </c>
    </row>
    <row r="3681">
      <c r="A3681" s="12">
        <v>2274.0</v>
      </c>
      <c r="B3681" s="17" t="s">
        <v>9238</v>
      </c>
      <c r="C3681" s="17" t="s">
        <v>9239</v>
      </c>
      <c r="D3681" s="17" t="s">
        <v>9240</v>
      </c>
      <c r="E3681" s="16">
        <v>7.5</v>
      </c>
      <c r="F3681" s="7">
        <f t="shared" si="3"/>
        <v>92.5</v>
      </c>
      <c r="G3681" s="17" t="s">
        <v>3113</v>
      </c>
    </row>
    <row r="3682">
      <c r="A3682" s="12">
        <v>2275.0</v>
      </c>
      <c r="B3682" s="17" t="s">
        <v>9241</v>
      </c>
      <c r="C3682" s="17" t="s">
        <v>9242</v>
      </c>
      <c r="D3682" s="17" t="s">
        <v>9243</v>
      </c>
      <c r="E3682" s="16">
        <v>7.5</v>
      </c>
      <c r="F3682" s="7">
        <f t="shared" si="3"/>
        <v>92.5</v>
      </c>
      <c r="G3682" s="17" t="s">
        <v>3113</v>
      </c>
    </row>
    <row r="3683">
      <c r="A3683" s="12">
        <v>2276.0</v>
      </c>
      <c r="B3683" s="17" t="s">
        <v>9244</v>
      </c>
      <c r="C3683" s="17" t="s">
        <v>9245</v>
      </c>
      <c r="D3683" s="17" t="s">
        <v>9246</v>
      </c>
      <c r="E3683" s="16">
        <v>7.5</v>
      </c>
      <c r="F3683" s="7">
        <f t="shared" si="3"/>
        <v>92.5</v>
      </c>
      <c r="G3683" s="17" t="s">
        <v>3113</v>
      </c>
    </row>
    <row r="3684">
      <c r="A3684" s="12">
        <v>2277.0</v>
      </c>
      <c r="B3684" s="17" t="s">
        <v>9247</v>
      </c>
      <c r="C3684" s="17" t="s">
        <v>9248</v>
      </c>
      <c r="D3684" s="17" t="s">
        <v>9249</v>
      </c>
      <c r="E3684" s="16">
        <v>7.5</v>
      </c>
      <c r="F3684" s="7">
        <f t="shared" si="3"/>
        <v>92.5</v>
      </c>
      <c r="G3684" s="17" t="s">
        <v>3113</v>
      </c>
    </row>
    <row r="3685">
      <c r="A3685" s="12">
        <v>2278.0</v>
      </c>
      <c r="B3685" s="17" t="s">
        <v>9250</v>
      </c>
      <c r="C3685" s="17" t="s">
        <v>9251</v>
      </c>
      <c r="D3685" s="17" t="s">
        <v>9249</v>
      </c>
      <c r="E3685" s="16">
        <v>7.5</v>
      </c>
      <c r="F3685" s="7">
        <f t="shared" si="3"/>
        <v>92.5</v>
      </c>
      <c r="G3685" s="17" t="s">
        <v>3113</v>
      </c>
    </row>
    <row r="3686">
      <c r="A3686" s="12">
        <v>2279.0</v>
      </c>
      <c r="B3686" s="17" t="s">
        <v>9252</v>
      </c>
      <c r="C3686" s="17" t="s">
        <v>9253</v>
      </c>
      <c r="D3686" s="17" t="s">
        <v>9254</v>
      </c>
      <c r="E3686" s="16">
        <v>7.5</v>
      </c>
      <c r="F3686" s="7">
        <f t="shared" si="3"/>
        <v>92.5</v>
      </c>
      <c r="G3686" s="17" t="s">
        <v>3113</v>
      </c>
    </row>
    <row r="3687">
      <c r="A3687" s="12">
        <v>2280.0</v>
      </c>
      <c r="B3687" s="17" t="s">
        <v>9255</v>
      </c>
      <c r="C3687" s="17" t="s">
        <v>9256</v>
      </c>
      <c r="D3687" s="17" t="s">
        <v>9257</v>
      </c>
      <c r="E3687" s="16">
        <v>7.5</v>
      </c>
      <c r="F3687" s="7">
        <f t="shared" si="3"/>
        <v>92.5</v>
      </c>
      <c r="G3687" s="17" t="s">
        <v>3113</v>
      </c>
    </row>
    <row r="3688">
      <c r="A3688" s="12">
        <v>2281.0</v>
      </c>
      <c r="B3688" s="17" t="s">
        <v>9258</v>
      </c>
      <c r="C3688" s="17" t="s">
        <v>9259</v>
      </c>
      <c r="D3688" s="17" t="s">
        <v>9260</v>
      </c>
      <c r="E3688" s="16">
        <v>7.5</v>
      </c>
      <c r="F3688" s="7">
        <f t="shared" si="3"/>
        <v>92.5</v>
      </c>
      <c r="G3688" s="17" t="s">
        <v>3113</v>
      </c>
    </row>
    <row r="3689">
      <c r="A3689" s="12">
        <v>2282.0</v>
      </c>
      <c r="B3689" s="17" t="s">
        <v>9261</v>
      </c>
      <c r="C3689" s="17" t="s">
        <v>9262</v>
      </c>
      <c r="D3689" s="17" t="s">
        <v>9263</v>
      </c>
      <c r="E3689" s="16">
        <v>7.5</v>
      </c>
      <c r="F3689" s="7">
        <f t="shared" si="3"/>
        <v>92.5</v>
      </c>
      <c r="G3689" s="17" t="s">
        <v>3113</v>
      </c>
    </row>
    <row r="3690">
      <c r="A3690" s="12">
        <v>2283.0</v>
      </c>
      <c r="B3690" s="17" t="s">
        <v>9264</v>
      </c>
      <c r="C3690" s="17" t="s">
        <v>9265</v>
      </c>
      <c r="D3690" s="17" t="s">
        <v>9266</v>
      </c>
      <c r="E3690" s="16">
        <v>7.5</v>
      </c>
      <c r="F3690" s="7">
        <f t="shared" si="3"/>
        <v>92.5</v>
      </c>
      <c r="G3690" s="17" t="s">
        <v>3113</v>
      </c>
    </row>
    <row r="3691">
      <c r="A3691" s="12">
        <v>2284.0</v>
      </c>
      <c r="B3691" s="17" t="s">
        <v>9264</v>
      </c>
      <c r="C3691" s="17" t="s">
        <v>9267</v>
      </c>
      <c r="D3691" s="17" t="s">
        <v>9268</v>
      </c>
      <c r="E3691" s="16">
        <v>7.5</v>
      </c>
      <c r="F3691" s="7">
        <f t="shared" si="3"/>
        <v>92.5</v>
      </c>
      <c r="G3691" s="17" t="s">
        <v>3113</v>
      </c>
    </row>
    <row r="3692">
      <c r="A3692" s="12">
        <v>2285.0</v>
      </c>
      <c r="B3692" s="17" t="s">
        <v>9269</v>
      </c>
      <c r="C3692" s="17" t="s">
        <v>9270</v>
      </c>
      <c r="D3692" s="17" t="s">
        <v>9271</v>
      </c>
      <c r="E3692" s="16">
        <v>7.5</v>
      </c>
      <c r="F3692" s="7">
        <f t="shared" si="3"/>
        <v>92.5</v>
      </c>
      <c r="G3692" s="17" t="s">
        <v>3113</v>
      </c>
    </row>
    <row r="3693">
      <c r="A3693" s="12">
        <v>2286.0</v>
      </c>
      <c r="B3693" s="17" t="s">
        <v>9272</v>
      </c>
      <c r="C3693" s="17" t="s">
        <v>9273</v>
      </c>
      <c r="D3693" s="17" t="s">
        <v>9274</v>
      </c>
      <c r="E3693" s="16">
        <v>7.5</v>
      </c>
      <c r="F3693" s="7">
        <f t="shared" si="3"/>
        <v>92.5</v>
      </c>
      <c r="G3693" s="17" t="s">
        <v>3113</v>
      </c>
    </row>
    <row r="3694">
      <c r="A3694" s="12">
        <v>2287.0</v>
      </c>
      <c r="B3694" s="17" t="s">
        <v>9272</v>
      </c>
      <c r="C3694" s="17" t="s">
        <v>9275</v>
      </c>
      <c r="D3694" s="17" t="s">
        <v>9276</v>
      </c>
      <c r="E3694" s="16">
        <v>7.5</v>
      </c>
      <c r="F3694" s="7">
        <f t="shared" si="3"/>
        <v>92.5</v>
      </c>
      <c r="G3694" s="17" t="s">
        <v>3113</v>
      </c>
    </row>
    <row r="3695">
      <c r="A3695" s="12">
        <v>2288.0</v>
      </c>
      <c r="B3695" s="17" t="s">
        <v>9277</v>
      </c>
      <c r="C3695" s="17" t="s">
        <v>9278</v>
      </c>
      <c r="D3695" s="17" t="s">
        <v>9279</v>
      </c>
      <c r="E3695" s="16">
        <v>7.5</v>
      </c>
      <c r="F3695" s="7">
        <f t="shared" si="3"/>
        <v>92.5</v>
      </c>
      <c r="G3695" s="17" t="s">
        <v>3113</v>
      </c>
    </row>
    <row r="3696">
      <c r="A3696" s="12">
        <v>2289.0</v>
      </c>
      <c r="B3696" s="17" t="s">
        <v>9280</v>
      </c>
      <c r="C3696" s="17" t="s">
        <v>9281</v>
      </c>
      <c r="D3696" s="17" t="s">
        <v>9282</v>
      </c>
      <c r="E3696" s="16">
        <v>7.5</v>
      </c>
      <c r="F3696" s="7">
        <f t="shared" si="3"/>
        <v>92.5</v>
      </c>
      <c r="G3696" s="17" t="s">
        <v>3113</v>
      </c>
    </row>
    <row r="3697">
      <c r="A3697" s="12">
        <v>2290.0</v>
      </c>
      <c r="B3697" s="17" t="s">
        <v>9283</v>
      </c>
      <c r="C3697" s="17" t="s">
        <v>9284</v>
      </c>
      <c r="D3697" s="17" t="s">
        <v>9285</v>
      </c>
      <c r="E3697" s="16">
        <v>7.5</v>
      </c>
      <c r="F3697" s="7">
        <f t="shared" si="3"/>
        <v>92.5</v>
      </c>
      <c r="G3697" s="17" t="s">
        <v>3113</v>
      </c>
    </row>
    <row r="3698">
      <c r="A3698" s="12">
        <v>2291.0</v>
      </c>
      <c r="B3698" s="17" t="s">
        <v>9286</v>
      </c>
      <c r="C3698" s="17" t="s">
        <v>9287</v>
      </c>
      <c r="D3698" s="17" t="s">
        <v>9288</v>
      </c>
      <c r="E3698" s="16">
        <v>7.5</v>
      </c>
      <c r="F3698" s="7">
        <f t="shared" si="3"/>
        <v>92.5</v>
      </c>
      <c r="G3698" s="17" t="s">
        <v>3113</v>
      </c>
    </row>
    <row r="3699">
      <c r="A3699" s="12">
        <v>2292.0</v>
      </c>
      <c r="B3699" s="17" t="s">
        <v>9289</v>
      </c>
      <c r="C3699" s="17" t="s">
        <v>9290</v>
      </c>
      <c r="D3699" s="17" t="s">
        <v>9291</v>
      </c>
      <c r="E3699" s="16">
        <v>7.5</v>
      </c>
      <c r="F3699" s="7">
        <f t="shared" si="3"/>
        <v>92.5</v>
      </c>
      <c r="G3699" s="17" t="s">
        <v>3113</v>
      </c>
    </row>
    <row r="3700">
      <c r="A3700" s="12">
        <v>2293.0</v>
      </c>
      <c r="B3700" s="17" t="s">
        <v>9289</v>
      </c>
      <c r="C3700" s="17" t="s">
        <v>9292</v>
      </c>
      <c r="D3700" s="17" t="s">
        <v>9293</v>
      </c>
      <c r="E3700" s="16">
        <v>7.5</v>
      </c>
      <c r="F3700" s="7">
        <f t="shared" si="3"/>
        <v>92.5</v>
      </c>
      <c r="G3700" s="17" t="s">
        <v>3113</v>
      </c>
    </row>
    <row r="3701">
      <c r="A3701" s="12">
        <v>2294.0</v>
      </c>
      <c r="B3701" s="17" t="s">
        <v>9294</v>
      </c>
      <c r="C3701" s="17" t="s">
        <v>9295</v>
      </c>
      <c r="D3701" s="17" t="s">
        <v>9296</v>
      </c>
      <c r="E3701" s="16">
        <v>7.5</v>
      </c>
      <c r="F3701" s="7">
        <f t="shared" si="3"/>
        <v>92.5</v>
      </c>
      <c r="G3701" s="17" t="s">
        <v>3113</v>
      </c>
    </row>
    <row r="3702">
      <c r="A3702" s="12">
        <v>2295.0</v>
      </c>
      <c r="B3702" s="17" t="s">
        <v>9297</v>
      </c>
      <c r="C3702" s="17" t="s">
        <v>9298</v>
      </c>
      <c r="D3702" s="17" t="s">
        <v>9299</v>
      </c>
      <c r="E3702" s="16">
        <v>7.5</v>
      </c>
      <c r="F3702" s="7">
        <f t="shared" si="3"/>
        <v>92.5</v>
      </c>
      <c r="G3702" s="17" t="s">
        <v>3113</v>
      </c>
    </row>
    <row r="3703">
      <c r="A3703" s="12">
        <v>2296.0</v>
      </c>
      <c r="B3703" s="17" t="s">
        <v>9300</v>
      </c>
      <c r="C3703" s="17" t="s">
        <v>9301</v>
      </c>
      <c r="D3703" s="17" t="s">
        <v>9302</v>
      </c>
      <c r="E3703" s="16">
        <v>7.5</v>
      </c>
      <c r="F3703" s="7">
        <f t="shared" si="3"/>
        <v>92.5</v>
      </c>
      <c r="G3703" s="17" t="s">
        <v>3113</v>
      </c>
    </row>
    <row r="3704">
      <c r="A3704" s="12">
        <v>2297.0</v>
      </c>
      <c r="B3704" s="17" t="s">
        <v>9303</v>
      </c>
      <c r="C3704" s="17" t="s">
        <v>9304</v>
      </c>
      <c r="D3704" s="17" t="s">
        <v>9305</v>
      </c>
      <c r="E3704" s="16">
        <v>7.5</v>
      </c>
      <c r="F3704" s="7">
        <f t="shared" si="3"/>
        <v>92.5</v>
      </c>
      <c r="G3704" s="17" t="s">
        <v>3113</v>
      </c>
    </row>
    <row r="3705">
      <c r="A3705" s="12">
        <v>2298.0</v>
      </c>
      <c r="B3705" s="17" t="s">
        <v>9303</v>
      </c>
      <c r="C3705" s="17" t="s">
        <v>9306</v>
      </c>
      <c r="D3705" s="17" t="s">
        <v>9307</v>
      </c>
      <c r="E3705" s="16">
        <v>7.5</v>
      </c>
      <c r="F3705" s="7">
        <f t="shared" si="3"/>
        <v>92.5</v>
      </c>
      <c r="G3705" s="17" t="s">
        <v>3113</v>
      </c>
    </row>
    <row r="3706">
      <c r="A3706" s="12">
        <v>2299.0</v>
      </c>
      <c r="B3706" s="17" t="s">
        <v>9308</v>
      </c>
      <c r="C3706" s="17" t="s">
        <v>9309</v>
      </c>
      <c r="D3706" s="17" t="s">
        <v>9299</v>
      </c>
      <c r="E3706" s="16">
        <v>7.5</v>
      </c>
      <c r="F3706" s="7">
        <f t="shared" si="3"/>
        <v>92.5</v>
      </c>
      <c r="G3706" s="17" t="s">
        <v>3113</v>
      </c>
    </row>
    <row r="3707">
      <c r="A3707" s="12">
        <v>2300.0</v>
      </c>
      <c r="B3707" s="17" t="s">
        <v>9310</v>
      </c>
      <c r="C3707" s="17" t="s">
        <v>9311</v>
      </c>
      <c r="D3707" s="17" t="s">
        <v>9312</v>
      </c>
      <c r="E3707" s="16">
        <v>7.5</v>
      </c>
      <c r="F3707" s="7">
        <f t="shared" si="3"/>
        <v>92.5</v>
      </c>
      <c r="G3707" s="17" t="s">
        <v>3113</v>
      </c>
    </row>
    <row r="3708">
      <c r="A3708" s="12">
        <v>2301.0</v>
      </c>
      <c r="B3708" s="17" t="s">
        <v>9313</v>
      </c>
      <c r="C3708" s="17" t="s">
        <v>9314</v>
      </c>
      <c r="D3708" s="17" t="s">
        <v>9315</v>
      </c>
      <c r="E3708" s="16">
        <v>7.5</v>
      </c>
      <c r="F3708" s="7">
        <f t="shared" si="3"/>
        <v>92.5</v>
      </c>
      <c r="G3708" s="17" t="s">
        <v>3113</v>
      </c>
    </row>
    <row r="3709">
      <c r="A3709" s="12">
        <v>2302.0</v>
      </c>
      <c r="B3709" s="17" t="s">
        <v>9316</v>
      </c>
      <c r="C3709" s="17" t="s">
        <v>9317</v>
      </c>
      <c r="D3709" s="17" t="s">
        <v>9302</v>
      </c>
      <c r="E3709" s="16">
        <v>7.5</v>
      </c>
      <c r="F3709" s="7">
        <f t="shared" si="3"/>
        <v>92.5</v>
      </c>
      <c r="G3709" s="17" t="s">
        <v>3113</v>
      </c>
    </row>
    <row r="3710">
      <c r="A3710" s="12">
        <v>2303.0</v>
      </c>
      <c r="B3710" s="17" t="s">
        <v>9318</v>
      </c>
      <c r="C3710" s="17" t="s">
        <v>9319</v>
      </c>
      <c r="D3710" s="17" t="s">
        <v>9320</v>
      </c>
      <c r="E3710" s="16">
        <v>7.5</v>
      </c>
      <c r="F3710" s="7">
        <f t="shared" si="3"/>
        <v>92.5</v>
      </c>
      <c r="G3710" s="17" t="s">
        <v>3113</v>
      </c>
    </row>
    <row r="3711">
      <c r="A3711" s="12">
        <v>2304.0</v>
      </c>
      <c r="B3711" s="17" t="s">
        <v>9321</v>
      </c>
      <c r="C3711" s="17" t="s">
        <v>9322</v>
      </c>
      <c r="D3711" s="17" t="s">
        <v>9323</v>
      </c>
      <c r="E3711" s="16">
        <v>7.5</v>
      </c>
      <c r="F3711" s="7">
        <f t="shared" si="3"/>
        <v>92.5</v>
      </c>
      <c r="G3711" s="17" t="s">
        <v>3113</v>
      </c>
    </row>
    <row r="3712">
      <c r="A3712" s="12">
        <v>2305.0</v>
      </c>
      <c r="B3712" s="17" t="s">
        <v>9324</v>
      </c>
      <c r="C3712" s="17" t="s">
        <v>9325</v>
      </c>
      <c r="D3712" s="17" t="s">
        <v>9326</v>
      </c>
      <c r="E3712" s="16">
        <v>7.5</v>
      </c>
      <c r="F3712" s="7">
        <f t="shared" si="3"/>
        <v>92.5</v>
      </c>
      <c r="G3712" s="17" t="s">
        <v>3113</v>
      </c>
    </row>
    <row r="3713">
      <c r="A3713" s="12">
        <v>2306.0</v>
      </c>
      <c r="B3713" s="17" t="s">
        <v>9327</v>
      </c>
      <c r="C3713" s="17" t="s">
        <v>9328</v>
      </c>
      <c r="D3713" s="17" t="s">
        <v>9329</v>
      </c>
      <c r="E3713" s="16">
        <v>7.5</v>
      </c>
      <c r="F3713" s="7">
        <f t="shared" si="3"/>
        <v>92.5</v>
      </c>
      <c r="G3713" s="17" t="s">
        <v>3113</v>
      </c>
    </row>
    <row r="3714">
      <c r="A3714" s="12">
        <v>2307.0</v>
      </c>
      <c r="B3714" s="17" t="s">
        <v>9330</v>
      </c>
      <c r="C3714" s="17" t="s">
        <v>9331</v>
      </c>
      <c r="D3714" s="17" t="s">
        <v>9332</v>
      </c>
      <c r="E3714" s="16">
        <v>7.5</v>
      </c>
      <c r="F3714" s="7">
        <f t="shared" si="3"/>
        <v>92.5</v>
      </c>
      <c r="G3714" s="17" t="s">
        <v>3113</v>
      </c>
    </row>
    <row r="3715">
      <c r="A3715" s="12">
        <v>2308.0</v>
      </c>
      <c r="B3715" s="17" t="s">
        <v>9333</v>
      </c>
      <c r="C3715" s="17" t="s">
        <v>9334</v>
      </c>
      <c r="D3715" s="17" t="s">
        <v>9335</v>
      </c>
      <c r="E3715" s="16">
        <v>7.5</v>
      </c>
      <c r="F3715" s="7">
        <f t="shared" si="3"/>
        <v>92.5</v>
      </c>
      <c r="G3715" s="17" t="s">
        <v>3113</v>
      </c>
    </row>
    <row r="3716">
      <c r="A3716" s="12">
        <v>2309.0</v>
      </c>
      <c r="B3716" s="17" t="s">
        <v>9333</v>
      </c>
      <c r="C3716" s="17" t="s">
        <v>9336</v>
      </c>
      <c r="D3716" s="17" t="s">
        <v>9337</v>
      </c>
      <c r="E3716" s="16">
        <v>7.5</v>
      </c>
      <c r="F3716" s="7">
        <f t="shared" si="3"/>
        <v>92.5</v>
      </c>
      <c r="G3716" s="17" t="s">
        <v>3113</v>
      </c>
    </row>
    <row r="3717">
      <c r="A3717" s="12">
        <v>2310.0</v>
      </c>
      <c r="B3717" s="17" t="s">
        <v>9338</v>
      </c>
      <c r="C3717" s="17" t="s">
        <v>9339</v>
      </c>
      <c r="D3717" s="17" t="s">
        <v>9340</v>
      </c>
      <c r="E3717" s="16">
        <v>7.5</v>
      </c>
      <c r="F3717" s="7">
        <f t="shared" si="3"/>
        <v>92.5</v>
      </c>
      <c r="G3717" s="17" t="s">
        <v>3113</v>
      </c>
    </row>
    <row r="3718">
      <c r="A3718" s="12">
        <v>2311.0</v>
      </c>
      <c r="B3718" s="17" t="s">
        <v>9341</v>
      </c>
      <c r="C3718" s="17" t="s">
        <v>9342</v>
      </c>
      <c r="D3718" s="17" t="s">
        <v>9343</v>
      </c>
      <c r="E3718" s="16">
        <v>7.5</v>
      </c>
      <c r="F3718" s="7">
        <f t="shared" si="3"/>
        <v>92.5</v>
      </c>
      <c r="G3718" s="17" t="s">
        <v>3113</v>
      </c>
    </row>
    <row r="3719">
      <c r="A3719" s="12">
        <v>2312.0</v>
      </c>
      <c r="B3719" s="17" t="s">
        <v>9344</v>
      </c>
      <c r="C3719" s="17" t="s">
        <v>9345</v>
      </c>
      <c r="D3719" s="17" t="s">
        <v>9346</v>
      </c>
      <c r="E3719" s="16">
        <v>7.5</v>
      </c>
      <c r="F3719" s="7">
        <f t="shared" si="3"/>
        <v>92.5</v>
      </c>
      <c r="G3719" s="17" t="s">
        <v>3113</v>
      </c>
    </row>
    <row r="3720">
      <c r="A3720" s="12">
        <v>2313.0</v>
      </c>
      <c r="B3720" s="17" t="s">
        <v>9347</v>
      </c>
      <c r="C3720" s="17" t="s">
        <v>9348</v>
      </c>
      <c r="D3720" s="17" t="s">
        <v>9349</v>
      </c>
      <c r="E3720" s="16">
        <v>7.5</v>
      </c>
      <c r="F3720" s="7">
        <f t="shared" si="3"/>
        <v>92.5</v>
      </c>
      <c r="G3720" s="17" t="s">
        <v>3113</v>
      </c>
    </row>
    <row r="3721">
      <c r="A3721" s="12">
        <v>2314.0</v>
      </c>
      <c r="B3721" s="17" t="s">
        <v>9347</v>
      </c>
      <c r="C3721" s="17" t="s">
        <v>9350</v>
      </c>
      <c r="D3721" s="17" t="s">
        <v>9351</v>
      </c>
      <c r="E3721" s="16">
        <v>7.5</v>
      </c>
      <c r="F3721" s="7">
        <f t="shared" si="3"/>
        <v>92.5</v>
      </c>
      <c r="G3721" s="17" t="s">
        <v>3113</v>
      </c>
    </row>
    <row r="3722">
      <c r="A3722" s="12">
        <v>2315.0</v>
      </c>
      <c r="B3722" s="17" t="s">
        <v>9352</v>
      </c>
      <c r="C3722" s="17" t="s">
        <v>9353</v>
      </c>
      <c r="D3722" s="17" t="s">
        <v>9354</v>
      </c>
      <c r="E3722" s="16">
        <v>7.5</v>
      </c>
      <c r="F3722" s="7">
        <f t="shared" si="3"/>
        <v>92.5</v>
      </c>
      <c r="G3722" s="17" t="s">
        <v>3113</v>
      </c>
    </row>
    <row r="3723">
      <c r="A3723" s="12">
        <v>2316.0</v>
      </c>
      <c r="B3723" s="17" t="s">
        <v>9355</v>
      </c>
      <c r="C3723" s="17" t="s">
        <v>9356</v>
      </c>
      <c r="D3723" s="17" t="s">
        <v>9357</v>
      </c>
      <c r="E3723" s="16">
        <v>7.5</v>
      </c>
      <c r="F3723" s="7">
        <f t="shared" si="3"/>
        <v>92.5</v>
      </c>
      <c r="G3723" s="17" t="s">
        <v>3113</v>
      </c>
    </row>
    <row r="3724">
      <c r="A3724" s="12">
        <v>2317.0</v>
      </c>
      <c r="B3724" s="17" t="s">
        <v>9358</v>
      </c>
      <c r="C3724" s="17" t="s">
        <v>9359</v>
      </c>
      <c r="D3724" s="17" t="s">
        <v>9360</v>
      </c>
      <c r="E3724" s="16">
        <v>7.5</v>
      </c>
      <c r="F3724" s="7">
        <f t="shared" si="3"/>
        <v>92.5</v>
      </c>
      <c r="G3724" s="17" t="s">
        <v>3113</v>
      </c>
    </row>
    <row r="3725">
      <c r="A3725" s="12">
        <v>2318.0</v>
      </c>
      <c r="B3725" s="17" t="s">
        <v>9361</v>
      </c>
      <c r="C3725" s="17" t="s">
        <v>9362</v>
      </c>
      <c r="D3725" s="17" t="s">
        <v>9363</v>
      </c>
      <c r="E3725" s="16">
        <v>7.5</v>
      </c>
      <c r="F3725" s="7">
        <f t="shared" si="3"/>
        <v>92.5</v>
      </c>
      <c r="G3725" s="17" t="s">
        <v>3113</v>
      </c>
    </row>
    <row r="3726">
      <c r="A3726" s="12">
        <v>2319.0</v>
      </c>
      <c r="B3726" s="17" t="s">
        <v>9364</v>
      </c>
      <c r="C3726" s="17" t="s">
        <v>9365</v>
      </c>
      <c r="D3726" s="17" t="s">
        <v>9366</v>
      </c>
      <c r="E3726" s="16">
        <v>7.5</v>
      </c>
      <c r="F3726" s="7">
        <f t="shared" si="3"/>
        <v>92.5</v>
      </c>
      <c r="G3726" s="17" t="s">
        <v>3113</v>
      </c>
    </row>
    <row r="3727">
      <c r="A3727" s="12">
        <v>2320.0</v>
      </c>
      <c r="B3727" s="17" t="s">
        <v>9364</v>
      </c>
      <c r="C3727" s="17" t="s">
        <v>9367</v>
      </c>
      <c r="D3727" s="17" t="s">
        <v>9368</v>
      </c>
      <c r="E3727" s="16">
        <v>7.5</v>
      </c>
      <c r="F3727" s="7">
        <f t="shared" si="3"/>
        <v>92.5</v>
      </c>
      <c r="G3727" s="17" t="s">
        <v>3113</v>
      </c>
    </row>
    <row r="3728">
      <c r="A3728" s="12">
        <v>2321.0</v>
      </c>
      <c r="B3728" s="17" t="s">
        <v>9369</v>
      </c>
      <c r="C3728" s="17" t="s">
        <v>9370</v>
      </c>
      <c r="D3728" s="17" t="s">
        <v>9371</v>
      </c>
      <c r="E3728" s="16">
        <v>7.5</v>
      </c>
      <c r="F3728" s="7">
        <f t="shared" si="3"/>
        <v>92.5</v>
      </c>
      <c r="G3728" s="17" t="s">
        <v>3113</v>
      </c>
    </row>
    <row r="3729">
      <c r="A3729" s="12">
        <v>2322.0</v>
      </c>
      <c r="B3729" s="17" t="s">
        <v>9372</v>
      </c>
      <c r="C3729" s="17" t="s">
        <v>9373</v>
      </c>
      <c r="D3729" s="17" t="s">
        <v>9374</v>
      </c>
      <c r="E3729" s="16">
        <v>7.5</v>
      </c>
      <c r="F3729" s="7">
        <f t="shared" si="3"/>
        <v>92.5</v>
      </c>
      <c r="G3729" s="17" t="s">
        <v>3113</v>
      </c>
    </row>
    <row r="3730">
      <c r="A3730" s="12">
        <v>2323.0</v>
      </c>
      <c r="B3730" s="17" t="s">
        <v>9375</v>
      </c>
      <c r="C3730" s="17" t="s">
        <v>9376</v>
      </c>
      <c r="D3730" s="17" t="s">
        <v>9377</v>
      </c>
      <c r="E3730" s="16">
        <v>7.5</v>
      </c>
      <c r="F3730" s="7">
        <f t="shared" si="3"/>
        <v>92.5</v>
      </c>
      <c r="G3730" s="17" t="s">
        <v>3113</v>
      </c>
    </row>
    <row r="3731">
      <c r="A3731" s="12">
        <v>2324.0</v>
      </c>
      <c r="B3731" s="17" t="s">
        <v>9375</v>
      </c>
      <c r="C3731" s="17" t="s">
        <v>9378</v>
      </c>
      <c r="D3731" s="17" t="s">
        <v>9379</v>
      </c>
      <c r="E3731" s="16">
        <v>7.5</v>
      </c>
      <c r="F3731" s="7">
        <f t="shared" si="3"/>
        <v>92.5</v>
      </c>
      <c r="G3731" s="17" t="s">
        <v>3113</v>
      </c>
    </row>
    <row r="3732">
      <c r="A3732" s="12">
        <v>2325.0</v>
      </c>
      <c r="B3732" s="17" t="s">
        <v>9380</v>
      </c>
      <c r="C3732" s="17" t="s">
        <v>9381</v>
      </c>
      <c r="D3732" s="17" t="s">
        <v>9371</v>
      </c>
      <c r="E3732" s="16">
        <v>7.5</v>
      </c>
      <c r="F3732" s="7">
        <f t="shared" si="3"/>
        <v>92.5</v>
      </c>
      <c r="G3732" s="17" t="s">
        <v>3113</v>
      </c>
    </row>
    <row r="3733">
      <c r="A3733" s="12">
        <v>2326.0</v>
      </c>
      <c r="B3733" s="17" t="s">
        <v>9382</v>
      </c>
      <c r="C3733" s="17" t="s">
        <v>9383</v>
      </c>
      <c r="D3733" s="17" t="s">
        <v>9384</v>
      </c>
      <c r="E3733" s="16">
        <v>7.5</v>
      </c>
      <c r="F3733" s="7">
        <f t="shared" si="3"/>
        <v>92.5</v>
      </c>
      <c r="G3733" s="17" t="s">
        <v>3113</v>
      </c>
    </row>
    <row r="3734">
      <c r="A3734" s="12">
        <v>2327.0</v>
      </c>
      <c r="B3734" s="17" t="s">
        <v>9385</v>
      </c>
      <c r="C3734" s="17" t="s">
        <v>9386</v>
      </c>
      <c r="D3734" s="17" t="s">
        <v>9387</v>
      </c>
      <c r="E3734" s="16">
        <v>7.5</v>
      </c>
      <c r="F3734" s="7">
        <f t="shared" si="3"/>
        <v>92.5</v>
      </c>
      <c r="G3734" s="17" t="s">
        <v>3113</v>
      </c>
    </row>
    <row r="3735">
      <c r="A3735" s="12">
        <v>2328.0</v>
      </c>
      <c r="B3735" s="17" t="s">
        <v>9385</v>
      </c>
      <c r="C3735" s="17" t="s">
        <v>9388</v>
      </c>
      <c r="D3735" s="17" t="s">
        <v>9389</v>
      </c>
      <c r="E3735" s="16">
        <v>7.5</v>
      </c>
      <c r="F3735" s="7">
        <f t="shared" si="3"/>
        <v>92.5</v>
      </c>
      <c r="G3735" s="17" t="s">
        <v>3113</v>
      </c>
    </row>
    <row r="3736">
      <c r="A3736" s="12">
        <v>2329.0</v>
      </c>
      <c r="B3736" s="17" t="s">
        <v>9390</v>
      </c>
      <c r="C3736" s="17" t="s">
        <v>9391</v>
      </c>
      <c r="D3736" s="17" t="s">
        <v>9392</v>
      </c>
      <c r="E3736" s="16">
        <v>7.5</v>
      </c>
      <c r="F3736" s="7">
        <f t="shared" si="3"/>
        <v>92.5</v>
      </c>
      <c r="G3736" s="17" t="s">
        <v>3113</v>
      </c>
    </row>
    <row r="3737">
      <c r="A3737" s="12">
        <v>2330.0</v>
      </c>
      <c r="B3737" s="17" t="s">
        <v>9393</v>
      </c>
      <c r="C3737" s="17" t="s">
        <v>9394</v>
      </c>
      <c r="D3737" s="17" t="s">
        <v>9395</v>
      </c>
      <c r="E3737" s="16">
        <v>7.5</v>
      </c>
      <c r="F3737" s="7">
        <f t="shared" si="3"/>
        <v>92.5</v>
      </c>
      <c r="G3737" s="17" t="s">
        <v>3113</v>
      </c>
    </row>
    <row r="3738">
      <c r="A3738" s="12">
        <v>2331.0</v>
      </c>
      <c r="B3738" s="17" t="s">
        <v>9396</v>
      </c>
      <c r="C3738" s="17" t="s">
        <v>9397</v>
      </c>
      <c r="D3738" s="17" t="s">
        <v>9398</v>
      </c>
      <c r="E3738" s="16">
        <v>7.5</v>
      </c>
      <c r="F3738" s="7">
        <f t="shared" si="3"/>
        <v>92.5</v>
      </c>
      <c r="G3738" s="17" t="s">
        <v>3113</v>
      </c>
    </row>
    <row r="3739">
      <c r="A3739" s="12">
        <v>2332.0</v>
      </c>
      <c r="B3739" s="17" t="s">
        <v>9399</v>
      </c>
      <c r="C3739" s="17" t="s">
        <v>9400</v>
      </c>
      <c r="D3739" s="17" t="s">
        <v>9401</v>
      </c>
      <c r="E3739" s="16">
        <v>7.5</v>
      </c>
      <c r="F3739" s="7">
        <f t="shared" si="3"/>
        <v>92.5</v>
      </c>
      <c r="G3739" s="17" t="s">
        <v>3113</v>
      </c>
    </row>
    <row r="3740">
      <c r="A3740" s="12">
        <v>2333.0</v>
      </c>
      <c r="B3740" s="17" t="s">
        <v>9402</v>
      </c>
      <c r="C3740" s="17" t="s">
        <v>9403</v>
      </c>
      <c r="D3740" s="17" t="s">
        <v>9404</v>
      </c>
      <c r="E3740" s="16">
        <v>7.5</v>
      </c>
      <c r="F3740" s="7">
        <f t="shared" si="3"/>
        <v>92.5</v>
      </c>
      <c r="G3740" s="17" t="s">
        <v>3113</v>
      </c>
    </row>
    <row r="3741">
      <c r="A3741" s="12">
        <v>2334.0</v>
      </c>
      <c r="B3741" s="17" t="s">
        <v>9405</v>
      </c>
      <c r="C3741" s="17" t="s">
        <v>9406</v>
      </c>
      <c r="D3741" s="17" t="s">
        <v>9407</v>
      </c>
      <c r="E3741" s="16">
        <v>7.5</v>
      </c>
      <c r="F3741" s="7">
        <f t="shared" si="3"/>
        <v>92.5</v>
      </c>
      <c r="G3741" s="17" t="s">
        <v>3113</v>
      </c>
    </row>
    <row r="3742">
      <c r="A3742" s="12">
        <v>2335.0</v>
      </c>
      <c r="B3742" s="17" t="s">
        <v>9408</v>
      </c>
      <c r="C3742" s="17" t="s">
        <v>9409</v>
      </c>
      <c r="D3742" s="17" t="s">
        <v>9410</v>
      </c>
      <c r="E3742" s="16">
        <v>7.5</v>
      </c>
      <c r="F3742" s="7">
        <f t="shared" si="3"/>
        <v>92.5</v>
      </c>
      <c r="G3742" s="17" t="s">
        <v>3113</v>
      </c>
    </row>
    <row r="3743">
      <c r="A3743" s="12">
        <v>2336.0</v>
      </c>
      <c r="B3743" s="17" t="s">
        <v>9411</v>
      </c>
      <c r="C3743" s="17" t="s">
        <v>9412</v>
      </c>
      <c r="D3743" s="17" t="s">
        <v>9413</v>
      </c>
      <c r="E3743" s="16">
        <v>7.5</v>
      </c>
      <c r="F3743" s="7">
        <f t="shared" si="3"/>
        <v>92.5</v>
      </c>
      <c r="G3743" s="17" t="s">
        <v>3113</v>
      </c>
    </row>
    <row r="3744">
      <c r="A3744" s="12">
        <v>2337.0</v>
      </c>
      <c r="B3744" s="17" t="s">
        <v>9414</v>
      </c>
      <c r="C3744" s="17" t="s">
        <v>9415</v>
      </c>
      <c r="D3744" s="17" t="s">
        <v>9416</v>
      </c>
      <c r="E3744" s="16">
        <v>7.5</v>
      </c>
      <c r="F3744" s="7">
        <f t="shared" si="3"/>
        <v>92.5</v>
      </c>
      <c r="G3744" s="17" t="s">
        <v>3113</v>
      </c>
    </row>
    <row r="3745">
      <c r="A3745" s="12">
        <v>2338.0</v>
      </c>
      <c r="B3745" s="17" t="s">
        <v>9417</v>
      </c>
      <c r="C3745" s="17" t="s">
        <v>9418</v>
      </c>
      <c r="D3745" s="17" t="s">
        <v>9419</v>
      </c>
      <c r="E3745" s="16">
        <v>7.5</v>
      </c>
      <c r="F3745" s="7">
        <f t="shared" si="3"/>
        <v>92.5</v>
      </c>
      <c r="G3745" s="17" t="s">
        <v>3113</v>
      </c>
    </row>
    <row r="3746">
      <c r="A3746" s="12">
        <v>2339.0</v>
      </c>
      <c r="B3746" s="17" t="s">
        <v>9420</v>
      </c>
      <c r="C3746" s="17" t="s">
        <v>9421</v>
      </c>
      <c r="D3746" s="17" t="s">
        <v>9422</v>
      </c>
      <c r="E3746" s="16">
        <v>7.5</v>
      </c>
      <c r="F3746" s="7">
        <f t="shared" si="3"/>
        <v>92.5</v>
      </c>
      <c r="G3746" s="17" t="s">
        <v>3113</v>
      </c>
    </row>
    <row r="3747">
      <c r="A3747" s="12">
        <v>2340.0</v>
      </c>
      <c r="B3747" s="17" t="s">
        <v>9420</v>
      </c>
      <c r="C3747" s="17" t="s">
        <v>9423</v>
      </c>
      <c r="D3747" s="17" t="s">
        <v>9422</v>
      </c>
      <c r="E3747" s="16">
        <v>7.5</v>
      </c>
      <c r="F3747" s="7">
        <f t="shared" si="3"/>
        <v>92.5</v>
      </c>
      <c r="G3747" s="17" t="s">
        <v>3113</v>
      </c>
    </row>
    <row r="3748">
      <c r="A3748" s="12">
        <v>2341.0</v>
      </c>
      <c r="B3748" s="17" t="s">
        <v>9424</v>
      </c>
      <c r="C3748" s="17" t="s">
        <v>9425</v>
      </c>
      <c r="D3748" s="17" t="s">
        <v>9426</v>
      </c>
      <c r="E3748" s="16">
        <v>7.5</v>
      </c>
      <c r="F3748" s="7">
        <f t="shared" si="3"/>
        <v>92.5</v>
      </c>
      <c r="G3748" s="17" t="s">
        <v>3113</v>
      </c>
    </row>
    <row r="3749">
      <c r="A3749" s="12">
        <v>2342.0</v>
      </c>
      <c r="B3749" s="17" t="s">
        <v>9424</v>
      </c>
      <c r="C3749" s="17" t="s">
        <v>9427</v>
      </c>
      <c r="D3749" s="17" t="s">
        <v>9426</v>
      </c>
      <c r="E3749" s="16">
        <v>7.5</v>
      </c>
      <c r="F3749" s="7">
        <f t="shared" si="3"/>
        <v>92.5</v>
      </c>
      <c r="G3749" s="17" t="s">
        <v>3113</v>
      </c>
    </row>
    <row r="3750">
      <c r="A3750" s="12">
        <v>2343.0</v>
      </c>
      <c r="B3750" s="17" t="s">
        <v>9428</v>
      </c>
      <c r="C3750" s="17" t="s">
        <v>9429</v>
      </c>
      <c r="D3750" s="17" t="s">
        <v>9430</v>
      </c>
      <c r="E3750" s="16">
        <v>7.5</v>
      </c>
      <c r="F3750" s="7">
        <f t="shared" si="3"/>
        <v>92.5</v>
      </c>
      <c r="G3750" s="17" t="s">
        <v>3113</v>
      </c>
    </row>
    <row r="3751">
      <c r="A3751" s="12">
        <v>2344.0</v>
      </c>
      <c r="B3751" s="17" t="s">
        <v>9428</v>
      </c>
      <c r="C3751" s="17" t="s">
        <v>9431</v>
      </c>
      <c r="D3751" s="17" t="s">
        <v>9432</v>
      </c>
      <c r="E3751" s="16">
        <v>7.5</v>
      </c>
      <c r="F3751" s="7">
        <f t="shared" si="3"/>
        <v>92.5</v>
      </c>
      <c r="G3751" s="17" t="s">
        <v>3113</v>
      </c>
    </row>
    <row r="3752">
      <c r="A3752" s="12">
        <v>2345.0</v>
      </c>
      <c r="B3752" s="17" t="s">
        <v>9428</v>
      </c>
      <c r="C3752" s="17" t="s">
        <v>9433</v>
      </c>
      <c r="D3752" s="17" t="s">
        <v>9430</v>
      </c>
      <c r="E3752" s="16">
        <v>7.5</v>
      </c>
      <c r="F3752" s="7">
        <f t="shared" si="3"/>
        <v>92.5</v>
      </c>
      <c r="G3752" s="17" t="s">
        <v>3113</v>
      </c>
    </row>
    <row r="3753">
      <c r="A3753" s="12">
        <v>2346.0</v>
      </c>
      <c r="B3753" s="17" t="s">
        <v>9434</v>
      </c>
      <c r="C3753" s="17" t="s">
        <v>9435</v>
      </c>
      <c r="D3753" s="17" t="s">
        <v>9436</v>
      </c>
      <c r="E3753" s="16">
        <v>7.5</v>
      </c>
      <c r="F3753" s="7">
        <f t="shared" si="3"/>
        <v>92.5</v>
      </c>
      <c r="G3753" s="17" t="s">
        <v>3113</v>
      </c>
    </row>
    <row r="3754">
      <c r="A3754" s="12">
        <v>2347.0</v>
      </c>
      <c r="B3754" s="17" t="s">
        <v>9437</v>
      </c>
      <c r="C3754" s="17" t="s">
        <v>9438</v>
      </c>
      <c r="D3754" s="17" t="s">
        <v>9439</v>
      </c>
      <c r="E3754" s="16">
        <v>7.5</v>
      </c>
      <c r="F3754" s="7">
        <f t="shared" si="3"/>
        <v>92.5</v>
      </c>
      <c r="G3754" s="17" t="s">
        <v>3113</v>
      </c>
    </row>
    <row r="3755">
      <c r="A3755" s="12">
        <v>2348.0</v>
      </c>
      <c r="B3755" s="17" t="s">
        <v>9440</v>
      </c>
      <c r="C3755" s="17" t="s">
        <v>9441</v>
      </c>
      <c r="D3755" s="17" t="s">
        <v>9442</v>
      </c>
      <c r="E3755" s="16">
        <v>7.5</v>
      </c>
      <c r="F3755" s="7">
        <f t="shared" si="3"/>
        <v>92.5</v>
      </c>
      <c r="G3755" s="17" t="s">
        <v>3113</v>
      </c>
    </row>
    <row r="3756">
      <c r="A3756" s="12">
        <v>2349.0</v>
      </c>
      <c r="B3756" s="17" t="s">
        <v>9443</v>
      </c>
      <c r="C3756" s="17" t="s">
        <v>9444</v>
      </c>
      <c r="D3756" s="17" t="s">
        <v>9445</v>
      </c>
      <c r="E3756" s="16">
        <v>7.5</v>
      </c>
      <c r="F3756" s="7">
        <f t="shared" si="3"/>
        <v>92.5</v>
      </c>
      <c r="G3756" s="17" t="s">
        <v>3113</v>
      </c>
    </row>
    <row r="3757">
      <c r="A3757" s="12">
        <v>2350.0</v>
      </c>
      <c r="B3757" s="17" t="s">
        <v>9446</v>
      </c>
      <c r="C3757" s="17" t="s">
        <v>9447</v>
      </c>
      <c r="D3757" s="17" t="s">
        <v>9448</v>
      </c>
      <c r="E3757" s="16">
        <v>7.5</v>
      </c>
      <c r="F3757" s="7">
        <f t="shared" si="3"/>
        <v>92.5</v>
      </c>
      <c r="G3757" s="17" t="s">
        <v>3113</v>
      </c>
    </row>
    <row r="3758">
      <c r="A3758" s="12">
        <v>2351.0</v>
      </c>
      <c r="B3758" s="17" t="s">
        <v>9449</v>
      </c>
      <c r="C3758" s="17" t="s">
        <v>9450</v>
      </c>
      <c r="D3758" s="17" t="s">
        <v>9451</v>
      </c>
      <c r="E3758" s="16">
        <v>7.5</v>
      </c>
      <c r="F3758" s="7">
        <f t="shared" si="3"/>
        <v>92.5</v>
      </c>
      <c r="G3758" s="17" t="s">
        <v>3113</v>
      </c>
    </row>
    <row r="3759">
      <c r="A3759" s="12">
        <v>2352.0</v>
      </c>
      <c r="B3759" s="17" t="s">
        <v>9452</v>
      </c>
      <c r="C3759" s="17" t="s">
        <v>9453</v>
      </c>
      <c r="D3759" s="17" t="s">
        <v>9454</v>
      </c>
      <c r="E3759" s="16">
        <v>7.5</v>
      </c>
      <c r="F3759" s="7">
        <f t="shared" si="3"/>
        <v>92.5</v>
      </c>
      <c r="G3759" s="17" t="s">
        <v>3113</v>
      </c>
    </row>
    <row r="3760">
      <c r="A3760" s="12">
        <v>2353.0</v>
      </c>
      <c r="B3760" s="17" t="s">
        <v>9455</v>
      </c>
      <c r="C3760" s="17" t="s">
        <v>9456</v>
      </c>
      <c r="D3760" s="17" t="s">
        <v>9457</v>
      </c>
      <c r="E3760" s="16">
        <v>7.5</v>
      </c>
      <c r="F3760" s="7">
        <f t="shared" si="3"/>
        <v>92.5</v>
      </c>
      <c r="G3760" s="17" t="s">
        <v>3113</v>
      </c>
    </row>
    <row r="3761">
      <c r="A3761" s="12">
        <v>2354.0</v>
      </c>
      <c r="B3761" s="17" t="s">
        <v>9458</v>
      </c>
      <c r="C3761" s="17" t="s">
        <v>9459</v>
      </c>
      <c r="D3761" s="17" t="s">
        <v>9460</v>
      </c>
      <c r="E3761" s="16">
        <v>7.5</v>
      </c>
      <c r="F3761" s="7">
        <f t="shared" si="3"/>
        <v>92.5</v>
      </c>
      <c r="G3761" s="17" t="s">
        <v>3113</v>
      </c>
    </row>
    <row r="3762">
      <c r="A3762" s="12">
        <v>2355.0</v>
      </c>
      <c r="B3762" s="17" t="s">
        <v>9461</v>
      </c>
      <c r="C3762" s="17" t="s">
        <v>9462</v>
      </c>
      <c r="D3762" s="17" t="s">
        <v>9460</v>
      </c>
      <c r="E3762" s="16">
        <v>7.5</v>
      </c>
      <c r="F3762" s="7">
        <f t="shared" si="3"/>
        <v>92.5</v>
      </c>
      <c r="G3762" s="17" t="s">
        <v>3113</v>
      </c>
    </row>
    <row r="3763">
      <c r="A3763" s="12">
        <v>2356.0</v>
      </c>
      <c r="B3763" s="17" t="s">
        <v>9463</v>
      </c>
      <c r="C3763" s="17" t="s">
        <v>9464</v>
      </c>
      <c r="D3763" s="17" t="s">
        <v>9465</v>
      </c>
      <c r="E3763" s="16">
        <v>7.5</v>
      </c>
      <c r="F3763" s="7">
        <f t="shared" si="3"/>
        <v>92.5</v>
      </c>
      <c r="G3763" s="17" t="s">
        <v>3113</v>
      </c>
    </row>
    <row r="3764">
      <c r="A3764" s="12">
        <v>2357.0</v>
      </c>
      <c r="B3764" s="17" t="s">
        <v>9466</v>
      </c>
      <c r="C3764" s="17" t="s">
        <v>9467</v>
      </c>
      <c r="D3764" s="17" t="s">
        <v>9468</v>
      </c>
      <c r="E3764" s="16">
        <v>7.5</v>
      </c>
      <c r="F3764" s="7">
        <f t="shared" si="3"/>
        <v>92.5</v>
      </c>
      <c r="G3764" s="17" t="s">
        <v>3113</v>
      </c>
    </row>
    <row r="3765">
      <c r="A3765" s="12">
        <v>2358.0</v>
      </c>
      <c r="B3765" s="17" t="s">
        <v>9469</v>
      </c>
      <c r="C3765" s="17" t="s">
        <v>9470</v>
      </c>
      <c r="D3765" s="17" t="s">
        <v>9468</v>
      </c>
      <c r="E3765" s="16">
        <v>7.5</v>
      </c>
      <c r="F3765" s="7">
        <f t="shared" si="3"/>
        <v>92.5</v>
      </c>
      <c r="G3765" s="17" t="s">
        <v>3113</v>
      </c>
    </row>
    <row r="3766">
      <c r="A3766" s="12">
        <v>2359.0</v>
      </c>
      <c r="B3766" s="17" t="s">
        <v>9471</v>
      </c>
      <c r="C3766" s="17" t="s">
        <v>9472</v>
      </c>
      <c r="D3766" s="17" t="s">
        <v>9473</v>
      </c>
      <c r="E3766" s="16">
        <v>7.5</v>
      </c>
      <c r="F3766" s="7">
        <f t="shared" si="3"/>
        <v>92.5</v>
      </c>
      <c r="G3766" s="17" t="s">
        <v>3113</v>
      </c>
    </row>
    <row r="3767">
      <c r="A3767" s="12">
        <v>2360.0</v>
      </c>
      <c r="B3767" s="17" t="s">
        <v>9474</v>
      </c>
      <c r="C3767" s="17" t="s">
        <v>9475</v>
      </c>
      <c r="D3767" s="17" t="s">
        <v>9476</v>
      </c>
      <c r="E3767" s="16">
        <v>7.5</v>
      </c>
      <c r="F3767" s="7">
        <f t="shared" si="3"/>
        <v>92.5</v>
      </c>
      <c r="G3767" s="17" t="s">
        <v>3113</v>
      </c>
    </row>
    <row r="3768">
      <c r="A3768" s="12">
        <v>2361.0</v>
      </c>
      <c r="B3768" s="17" t="s">
        <v>9477</v>
      </c>
      <c r="C3768" s="17" t="s">
        <v>9478</v>
      </c>
      <c r="D3768" s="17" t="s">
        <v>9479</v>
      </c>
      <c r="E3768" s="16">
        <v>7.5</v>
      </c>
      <c r="F3768" s="7">
        <f t="shared" si="3"/>
        <v>92.5</v>
      </c>
      <c r="G3768" s="17" t="s">
        <v>3113</v>
      </c>
    </row>
    <row r="3769">
      <c r="A3769" s="12">
        <v>2362.0</v>
      </c>
      <c r="B3769" s="17" t="s">
        <v>9480</v>
      </c>
      <c r="C3769" s="17" t="s">
        <v>9481</v>
      </c>
      <c r="D3769" s="17" t="s">
        <v>9479</v>
      </c>
      <c r="E3769" s="16">
        <v>7.5</v>
      </c>
      <c r="F3769" s="7">
        <f t="shared" si="3"/>
        <v>92.5</v>
      </c>
      <c r="G3769" s="17" t="s">
        <v>3113</v>
      </c>
    </row>
    <row r="3770">
      <c r="A3770" s="12">
        <v>2363.0</v>
      </c>
      <c r="B3770" s="17" t="s">
        <v>9482</v>
      </c>
      <c r="C3770" s="17" t="s">
        <v>9483</v>
      </c>
      <c r="D3770" s="17" t="s">
        <v>9484</v>
      </c>
      <c r="E3770" s="16">
        <v>7.5</v>
      </c>
      <c r="F3770" s="7">
        <f t="shared" si="3"/>
        <v>92.5</v>
      </c>
      <c r="G3770" s="17" t="s">
        <v>3113</v>
      </c>
    </row>
    <row r="3771">
      <c r="A3771" s="12">
        <v>2364.0</v>
      </c>
      <c r="B3771" s="17" t="s">
        <v>9485</v>
      </c>
      <c r="C3771" s="17" t="s">
        <v>9486</v>
      </c>
      <c r="D3771" s="17" t="s">
        <v>9487</v>
      </c>
      <c r="E3771" s="16">
        <v>7.5</v>
      </c>
      <c r="F3771" s="7">
        <f t="shared" si="3"/>
        <v>92.5</v>
      </c>
      <c r="G3771" s="17" t="s">
        <v>3113</v>
      </c>
    </row>
    <row r="3772">
      <c r="A3772" s="12">
        <v>2365.0</v>
      </c>
      <c r="B3772" s="17" t="s">
        <v>9488</v>
      </c>
      <c r="C3772" s="17" t="s">
        <v>9489</v>
      </c>
      <c r="D3772" s="17" t="s">
        <v>9487</v>
      </c>
      <c r="E3772" s="16">
        <v>7.5</v>
      </c>
      <c r="F3772" s="7">
        <f t="shared" si="3"/>
        <v>92.5</v>
      </c>
      <c r="G3772" s="17" t="s">
        <v>3113</v>
      </c>
    </row>
    <row r="3773">
      <c r="A3773" s="12">
        <v>2366.0</v>
      </c>
      <c r="B3773" s="17" t="s">
        <v>9490</v>
      </c>
      <c r="C3773" s="17" t="s">
        <v>9491</v>
      </c>
      <c r="D3773" s="17" t="s">
        <v>9492</v>
      </c>
      <c r="E3773" s="16">
        <v>7.5</v>
      </c>
      <c r="F3773" s="7">
        <f t="shared" si="3"/>
        <v>92.5</v>
      </c>
      <c r="G3773" s="17" t="s">
        <v>3113</v>
      </c>
    </row>
    <row r="3774">
      <c r="A3774" s="12">
        <v>2367.0</v>
      </c>
      <c r="B3774" s="17" t="s">
        <v>9493</v>
      </c>
      <c r="C3774" s="17" t="s">
        <v>9494</v>
      </c>
      <c r="D3774" s="17" t="s">
        <v>9492</v>
      </c>
      <c r="E3774" s="16">
        <v>7.5</v>
      </c>
      <c r="F3774" s="7">
        <f t="shared" si="3"/>
        <v>92.5</v>
      </c>
      <c r="G3774" s="17" t="s">
        <v>3113</v>
      </c>
    </row>
    <row r="3775">
      <c r="A3775" s="12">
        <v>2368.0</v>
      </c>
      <c r="B3775" s="17" t="s">
        <v>9495</v>
      </c>
      <c r="C3775" s="17" t="s">
        <v>9496</v>
      </c>
      <c r="D3775" s="17" t="s">
        <v>9497</v>
      </c>
      <c r="E3775" s="16">
        <v>7.5</v>
      </c>
      <c r="F3775" s="7">
        <f t="shared" si="3"/>
        <v>92.5</v>
      </c>
      <c r="G3775" s="17" t="s">
        <v>3113</v>
      </c>
    </row>
    <row r="3776">
      <c r="A3776" s="12">
        <v>2369.0</v>
      </c>
      <c r="B3776" s="17" t="s">
        <v>9495</v>
      </c>
      <c r="C3776" s="17" t="s">
        <v>9498</v>
      </c>
      <c r="D3776" s="17" t="s">
        <v>9497</v>
      </c>
      <c r="E3776" s="16">
        <v>7.5</v>
      </c>
      <c r="F3776" s="7">
        <f t="shared" si="3"/>
        <v>92.5</v>
      </c>
      <c r="G3776" s="17" t="s">
        <v>3113</v>
      </c>
    </row>
    <row r="3777">
      <c r="A3777" s="12">
        <v>2370.0</v>
      </c>
      <c r="B3777" s="17" t="s">
        <v>9499</v>
      </c>
      <c r="C3777" s="17" t="s">
        <v>9500</v>
      </c>
      <c r="D3777" s="17" t="s">
        <v>9501</v>
      </c>
      <c r="E3777" s="16">
        <v>7.5</v>
      </c>
      <c r="F3777" s="7">
        <f t="shared" si="3"/>
        <v>92.5</v>
      </c>
      <c r="G3777" s="17" t="s">
        <v>3113</v>
      </c>
    </row>
    <row r="3778">
      <c r="A3778" s="12">
        <v>2371.0</v>
      </c>
      <c r="B3778" s="17" t="s">
        <v>9502</v>
      </c>
      <c r="C3778" s="17" t="s">
        <v>9503</v>
      </c>
      <c r="D3778" s="17" t="s">
        <v>9504</v>
      </c>
      <c r="E3778" s="16">
        <v>7.5</v>
      </c>
      <c r="F3778" s="7">
        <f t="shared" si="3"/>
        <v>92.5</v>
      </c>
      <c r="G3778" s="17" t="s">
        <v>3113</v>
      </c>
    </row>
    <row r="3779">
      <c r="A3779" s="12">
        <v>2372.0</v>
      </c>
      <c r="B3779" s="17" t="s">
        <v>9505</v>
      </c>
      <c r="C3779" s="17" t="s">
        <v>9506</v>
      </c>
      <c r="D3779" s="17" t="s">
        <v>9507</v>
      </c>
      <c r="E3779" s="16">
        <v>7.5</v>
      </c>
      <c r="F3779" s="7">
        <f t="shared" si="3"/>
        <v>92.5</v>
      </c>
      <c r="G3779" s="17" t="s">
        <v>3113</v>
      </c>
    </row>
    <row r="3780">
      <c r="A3780" s="12">
        <v>2373.0</v>
      </c>
      <c r="B3780" s="17" t="s">
        <v>9505</v>
      </c>
      <c r="C3780" s="17" t="s">
        <v>9508</v>
      </c>
      <c r="D3780" s="17" t="s">
        <v>9509</v>
      </c>
      <c r="E3780" s="16">
        <v>7.5</v>
      </c>
      <c r="F3780" s="7">
        <f t="shared" si="3"/>
        <v>92.5</v>
      </c>
      <c r="G3780" s="17" t="s">
        <v>3113</v>
      </c>
    </row>
    <row r="3781">
      <c r="A3781" s="12">
        <v>2374.0</v>
      </c>
      <c r="B3781" s="17" t="s">
        <v>9505</v>
      </c>
      <c r="C3781" s="17" t="s">
        <v>9510</v>
      </c>
      <c r="D3781" s="17" t="s">
        <v>9509</v>
      </c>
      <c r="E3781" s="16">
        <v>7.5</v>
      </c>
      <c r="F3781" s="7">
        <f t="shared" si="3"/>
        <v>92.5</v>
      </c>
      <c r="G3781" s="17" t="s">
        <v>3113</v>
      </c>
    </row>
    <row r="3782">
      <c r="A3782" s="12">
        <v>2375.0</v>
      </c>
      <c r="B3782" s="17" t="s">
        <v>9511</v>
      </c>
      <c r="C3782" s="17" t="s">
        <v>9512</v>
      </c>
      <c r="D3782" s="17" t="s">
        <v>9513</v>
      </c>
      <c r="E3782" s="16">
        <v>7.5</v>
      </c>
      <c r="F3782" s="7">
        <f t="shared" si="3"/>
        <v>92.5</v>
      </c>
      <c r="G3782" s="17" t="s">
        <v>3113</v>
      </c>
    </row>
    <row r="3783">
      <c r="A3783" s="12">
        <v>2376.0</v>
      </c>
      <c r="B3783" s="17" t="s">
        <v>9514</v>
      </c>
      <c r="C3783" s="17" t="s">
        <v>9515</v>
      </c>
      <c r="D3783" s="17" t="s">
        <v>9516</v>
      </c>
      <c r="E3783" s="16">
        <v>7.5</v>
      </c>
      <c r="F3783" s="7">
        <f t="shared" si="3"/>
        <v>92.5</v>
      </c>
      <c r="G3783" s="17" t="s">
        <v>3113</v>
      </c>
    </row>
    <row r="3784">
      <c r="A3784" s="12">
        <v>2377.0</v>
      </c>
      <c r="B3784" s="17" t="s">
        <v>9517</v>
      </c>
      <c r="C3784" s="17" t="s">
        <v>9518</v>
      </c>
      <c r="D3784" s="17" t="s">
        <v>9519</v>
      </c>
      <c r="E3784" s="16">
        <v>7.5</v>
      </c>
      <c r="F3784" s="7">
        <f t="shared" si="3"/>
        <v>92.5</v>
      </c>
      <c r="G3784" s="17" t="s">
        <v>3113</v>
      </c>
    </row>
    <row r="3785">
      <c r="A3785" s="12">
        <v>2378.0</v>
      </c>
      <c r="B3785" s="17" t="s">
        <v>9520</v>
      </c>
      <c r="C3785" s="17" t="s">
        <v>9521</v>
      </c>
      <c r="D3785" s="17" t="s">
        <v>9522</v>
      </c>
      <c r="E3785" s="16">
        <v>7.5</v>
      </c>
      <c r="F3785" s="7">
        <f t="shared" si="3"/>
        <v>92.5</v>
      </c>
      <c r="G3785" s="17" t="s">
        <v>3113</v>
      </c>
    </row>
    <row r="3786">
      <c r="A3786" s="12">
        <v>2379.0</v>
      </c>
      <c r="B3786" s="17" t="s">
        <v>9523</v>
      </c>
      <c r="C3786" s="17" t="s">
        <v>9524</v>
      </c>
      <c r="D3786" s="17" t="s">
        <v>9525</v>
      </c>
      <c r="E3786" s="16">
        <v>7.5</v>
      </c>
      <c r="F3786" s="7">
        <f t="shared" si="3"/>
        <v>92.5</v>
      </c>
      <c r="G3786" s="17" t="s">
        <v>3113</v>
      </c>
    </row>
    <row r="3787">
      <c r="A3787" s="12">
        <v>2380.0</v>
      </c>
      <c r="B3787" s="17" t="s">
        <v>9526</v>
      </c>
      <c r="C3787" s="17" t="s">
        <v>9527</v>
      </c>
      <c r="D3787" s="17" t="s">
        <v>9528</v>
      </c>
      <c r="E3787" s="16">
        <v>7.5</v>
      </c>
      <c r="F3787" s="7">
        <f t="shared" si="3"/>
        <v>92.5</v>
      </c>
      <c r="G3787" s="17" t="s">
        <v>3113</v>
      </c>
    </row>
    <row r="3788">
      <c r="A3788" s="12">
        <v>2381.0</v>
      </c>
      <c r="B3788" s="17" t="s">
        <v>9529</v>
      </c>
      <c r="C3788" s="17" t="s">
        <v>9530</v>
      </c>
      <c r="D3788" s="17" t="s">
        <v>9531</v>
      </c>
      <c r="E3788" s="16">
        <v>7.5</v>
      </c>
      <c r="F3788" s="7">
        <f t="shared" si="3"/>
        <v>92.5</v>
      </c>
      <c r="G3788" s="17" t="s">
        <v>3113</v>
      </c>
    </row>
    <row r="3789">
      <c r="A3789" s="12">
        <v>2382.0</v>
      </c>
      <c r="B3789" s="17" t="s">
        <v>9532</v>
      </c>
      <c r="C3789" s="17" t="s">
        <v>9533</v>
      </c>
      <c r="D3789" s="17" t="s">
        <v>9534</v>
      </c>
      <c r="E3789" s="16">
        <v>7.5</v>
      </c>
      <c r="F3789" s="7">
        <f t="shared" si="3"/>
        <v>92.5</v>
      </c>
      <c r="G3789" s="17" t="s">
        <v>3113</v>
      </c>
    </row>
    <row r="3790">
      <c r="A3790" s="12">
        <v>2383.0</v>
      </c>
      <c r="B3790" s="17" t="s">
        <v>9535</v>
      </c>
      <c r="C3790" s="17" t="s">
        <v>9536</v>
      </c>
      <c r="D3790" s="17" t="s">
        <v>9537</v>
      </c>
      <c r="E3790" s="16">
        <v>7.5</v>
      </c>
      <c r="F3790" s="7">
        <f t="shared" si="3"/>
        <v>92.5</v>
      </c>
      <c r="G3790" s="17" t="s">
        <v>3113</v>
      </c>
    </row>
    <row r="3791">
      <c r="A3791" s="12">
        <v>2384.0</v>
      </c>
      <c r="B3791" s="17" t="s">
        <v>9538</v>
      </c>
      <c r="C3791" s="17" t="s">
        <v>9539</v>
      </c>
      <c r="D3791" s="17" t="s">
        <v>9540</v>
      </c>
      <c r="E3791" s="16">
        <v>7.5</v>
      </c>
      <c r="F3791" s="7">
        <f t="shared" si="3"/>
        <v>92.5</v>
      </c>
      <c r="G3791" s="17" t="s">
        <v>3113</v>
      </c>
    </row>
    <row r="3792">
      <c r="A3792" s="12">
        <v>2385.0</v>
      </c>
      <c r="B3792" s="17" t="s">
        <v>9541</v>
      </c>
      <c r="C3792" s="17" t="s">
        <v>9542</v>
      </c>
      <c r="D3792" s="17" t="s">
        <v>9543</v>
      </c>
      <c r="E3792" s="16">
        <v>7.5</v>
      </c>
      <c r="F3792" s="7">
        <f t="shared" si="3"/>
        <v>92.5</v>
      </c>
      <c r="G3792" s="17" t="s">
        <v>3113</v>
      </c>
    </row>
    <row r="3793">
      <c r="A3793" s="12">
        <v>2386.0</v>
      </c>
      <c r="B3793" s="17" t="s">
        <v>9544</v>
      </c>
      <c r="C3793" s="17" t="s">
        <v>9545</v>
      </c>
      <c r="D3793" s="17" t="s">
        <v>9546</v>
      </c>
      <c r="E3793" s="16">
        <v>7.5</v>
      </c>
      <c r="F3793" s="7">
        <f t="shared" si="3"/>
        <v>92.5</v>
      </c>
      <c r="G3793" s="17" t="s">
        <v>3113</v>
      </c>
    </row>
    <row r="3794">
      <c r="A3794" s="12">
        <v>2387.0</v>
      </c>
      <c r="B3794" s="17" t="s">
        <v>9547</v>
      </c>
      <c r="C3794" s="17" t="s">
        <v>9548</v>
      </c>
      <c r="D3794" s="17" t="s">
        <v>9549</v>
      </c>
      <c r="E3794" s="16">
        <v>7.5</v>
      </c>
      <c r="F3794" s="7">
        <f t="shared" si="3"/>
        <v>92.5</v>
      </c>
      <c r="G3794" s="17" t="s">
        <v>3113</v>
      </c>
    </row>
    <row r="3795">
      <c r="A3795" s="12">
        <v>2388.0</v>
      </c>
      <c r="B3795" s="17" t="s">
        <v>9550</v>
      </c>
      <c r="C3795" s="17" t="s">
        <v>9551</v>
      </c>
      <c r="D3795" s="17" t="s">
        <v>9552</v>
      </c>
      <c r="E3795" s="16">
        <v>7.5</v>
      </c>
      <c r="F3795" s="7">
        <f t="shared" si="3"/>
        <v>92.5</v>
      </c>
      <c r="G3795" s="17" t="s">
        <v>3113</v>
      </c>
    </row>
    <row r="3796">
      <c r="A3796" s="12">
        <v>2389.0</v>
      </c>
      <c r="B3796" s="17" t="s">
        <v>9553</v>
      </c>
      <c r="C3796" s="17" t="s">
        <v>9554</v>
      </c>
      <c r="D3796" s="17" t="s">
        <v>9555</v>
      </c>
      <c r="E3796" s="16">
        <v>7.5</v>
      </c>
      <c r="F3796" s="7">
        <f t="shared" si="3"/>
        <v>92.5</v>
      </c>
      <c r="G3796" s="17" t="s">
        <v>3113</v>
      </c>
    </row>
    <row r="3797">
      <c r="A3797" s="12">
        <v>2390.0</v>
      </c>
      <c r="B3797" s="17" t="s">
        <v>9553</v>
      </c>
      <c r="C3797" s="17" t="s">
        <v>9556</v>
      </c>
      <c r="D3797" s="17" t="s">
        <v>9555</v>
      </c>
      <c r="E3797" s="16">
        <v>7.5</v>
      </c>
      <c r="F3797" s="7">
        <f t="shared" si="3"/>
        <v>92.5</v>
      </c>
      <c r="G3797" s="17" t="s">
        <v>3113</v>
      </c>
    </row>
    <row r="3798">
      <c r="A3798" s="12">
        <v>2391.0</v>
      </c>
      <c r="B3798" s="17" t="s">
        <v>9557</v>
      </c>
      <c r="C3798" s="17" t="s">
        <v>9558</v>
      </c>
      <c r="D3798" s="17" t="s">
        <v>9559</v>
      </c>
      <c r="E3798" s="16">
        <v>7.5</v>
      </c>
      <c r="F3798" s="7">
        <f t="shared" si="3"/>
        <v>92.5</v>
      </c>
      <c r="G3798" s="17" t="s">
        <v>3113</v>
      </c>
    </row>
    <row r="3799">
      <c r="A3799" s="12">
        <v>2392.0</v>
      </c>
      <c r="B3799" s="17" t="s">
        <v>9557</v>
      </c>
      <c r="C3799" s="17" t="s">
        <v>9560</v>
      </c>
      <c r="D3799" s="17" t="s">
        <v>9559</v>
      </c>
      <c r="E3799" s="16">
        <v>7.5</v>
      </c>
      <c r="F3799" s="7">
        <f t="shared" si="3"/>
        <v>92.5</v>
      </c>
      <c r="G3799" s="17" t="s">
        <v>3113</v>
      </c>
    </row>
    <row r="3800">
      <c r="A3800" s="12">
        <v>2393.0</v>
      </c>
      <c r="B3800" s="17" t="s">
        <v>9561</v>
      </c>
      <c r="C3800" s="17" t="s">
        <v>9562</v>
      </c>
      <c r="D3800" s="17" t="s">
        <v>9563</v>
      </c>
      <c r="E3800" s="16">
        <v>7.5</v>
      </c>
      <c r="F3800" s="7">
        <f t="shared" si="3"/>
        <v>92.5</v>
      </c>
      <c r="G3800" s="17" t="s">
        <v>3113</v>
      </c>
    </row>
    <row r="3801">
      <c r="A3801" s="12">
        <v>2394.0</v>
      </c>
      <c r="B3801" s="17" t="s">
        <v>9561</v>
      </c>
      <c r="C3801" s="17" t="s">
        <v>9564</v>
      </c>
      <c r="D3801" s="17" t="s">
        <v>9565</v>
      </c>
      <c r="E3801" s="16">
        <v>7.5</v>
      </c>
      <c r="F3801" s="7">
        <f t="shared" si="3"/>
        <v>92.5</v>
      </c>
      <c r="G3801" s="17" t="s">
        <v>3113</v>
      </c>
    </row>
    <row r="3802">
      <c r="A3802" s="12">
        <v>2395.0</v>
      </c>
      <c r="B3802" s="17" t="s">
        <v>9561</v>
      </c>
      <c r="C3802" s="17" t="s">
        <v>9566</v>
      </c>
      <c r="D3802" s="17" t="s">
        <v>9563</v>
      </c>
      <c r="E3802" s="16">
        <v>7.5</v>
      </c>
      <c r="F3802" s="7">
        <f t="shared" si="3"/>
        <v>92.5</v>
      </c>
      <c r="G3802" s="17" t="s">
        <v>3113</v>
      </c>
    </row>
    <row r="3803">
      <c r="A3803" s="12">
        <v>2396.0</v>
      </c>
      <c r="B3803" s="17" t="s">
        <v>9567</v>
      </c>
      <c r="C3803" s="17" t="s">
        <v>9568</v>
      </c>
      <c r="D3803" s="17" t="s">
        <v>9569</v>
      </c>
      <c r="E3803" s="16">
        <v>7.5</v>
      </c>
      <c r="F3803" s="7">
        <f t="shared" si="3"/>
        <v>92.5</v>
      </c>
      <c r="G3803" s="17" t="s">
        <v>3113</v>
      </c>
    </row>
    <row r="3804">
      <c r="A3804" s="12">
        <v>2397.0</v>
      </c>
      <c r="B3804" s="17" t="s">
        <v>9570</v>
      </c>
      <c r="C3804" s="17" t="s">
        <v>9571</v>
      </c>
      <c r="D3804" s="17" t="s">
        <v>9572</v>
      </c>
      <c r="E3804" s="16">
        <v>7.5</v>
      </c>
      <c r="F3804" s="7">
        <f t="shared" si="3"/>
        <v>92.5</v>
      </c>
      <c r="G3804" s="17" t="s">
        <v>3113</v>
      </c>
    </row>
    <row r="3805">
      <c r="A3805" s="12">
        <v>2398.0</v>
      </c>
      <c r="B3805" s="17" t="s">
        <v>9573</v>
      </c>
      <c r="C3805" s="17" t="s">
        <v>9574</v>
      </c>
      <c r="D3805" s="17" t="s">
        <v>9575</v>
      </c>
      <c r="E3805" s="16">
        <v>7.5</v>
      </c>
      <c r="F3805" s="7">
        <f t="shared" si="3"/>
        <v>92.5</v>
      </c>
      <c r="G3805" s="17" t="s">
        <v>3113</v>
      </c>
    </row>
    <row r="3806">
      <c r="A3806" s="12">
        <v>2399.0</v>
      </c>
      <c r="B3806" s="17" t="s">
        <v>9576</v>
      </c>
      <c r="C3806" s="17" t="s">
        <v>9577</v>
      </c>
      <c r="D3806" s="17" t="s">
        <v>9578</v>
      </c>
      <c r="E3806" s="16">
        <v>7.5</v>
      </c>
      <c r="F3806" s="7">
        <f t="shared" si="3"/>
        <v>92.5</v>
      </c>
      <c r="G3806" s="17" t="s">
        <v>3113</v>
      </c>
    </row>
    <row r="3807">
      <c r="A3807" s="12">
        <v>2400.0</v>
      </c>
      <c r="B3807" s="17" t="s">
        <v>9579</v>
      </c>
      <c r="C3807" s="17" t="s">
        <v>9580</v>
      </c>
      <c r="D3807" s="17" t="s">
        <v>9581</v>
      </c>
      <c r="E3807" s="16">
        <v>7.5</v>
      </c>
      <c r="F3807" s="7">
        <f t="shared" si="3"/>
        <v>92.5</v>
      </c>
      <c r="G3807" s="17" t="s">
        <v>3113</v>
      </c>
    </row>
    <row r="3808">
      <c r="A3808" s="12">
        <v>2401.0</v>
      </c>
      <c r="B3808" s="17" t="s">
        <v>9582</v>
      </c>
      <c r="C3808" s="17" t="s">
        <v>9583</v>
      </c>
      <c r="D3808" s="17" t="s">
        <v>9584</v>
      </c>
      <c r="E3808" s="16">
        <v>7.5</v>
      </c>
      <c r="F3808" s="7">
        <f t="shared" si="3"/>
        <v>92.5</v>
      </c>
      <c r="G3808" s="17" t="s">
        <v>3113</v>
      </c>
    </row>
    <row r="3809">
      <c r="A3809" s="12">
        <v>2402.0</v>
      </c>
      <c r="B3809" s="17" t="s">
        <v>9585</v>
      </c>
      <c r="C3809" s="17" t="s">
        <v>9586</v>
      </c>
      <c r="D3809" s="17" t="s">
        <v>9587</v>
      </c>
      <c r="E3809" s="16">
        <v>7.5</v>
      </c>
      <c r="F3809" s="7">
        <f t="shared" si="3"/>
        <v>92.5</v>
      </c>
      <c r="G3809" s="17" t="s">
        <v>3113</v>
      </c>
    </row>
    <row r="3810">
      <c r="A3810" s="12">
        <v>2403.0</v>
      </c>
      <c r="B3810" s="17" t="s">
        <v>9588</v>
      </c>
      <c r="C3810" s="17" t="s">
        <v>9589</v>
      </c>
      <c r="D3810" s="17" t="s">
        <v>9590</v>
      </c>
      <c r="E3810" s="16">
        <v>7.5</v>
      </c>
      <c r="F3810" s="7">
        <f t="shared" si="3"/>
        <v>92.5</v>
      </c>
      <c r="G3810" s="17" t="s">
        <v>3113</v>
      </c>
    </row>
    <row r="3811">
      <c r="A3811" s="12">
        <v>2404.0</v>
      </c>
      <c r="B3811" s="17" t="s">
        <v>9591</v>
      </c>
      <c r="C3811" s="17" t="s">
        <v>9592</v>
      </c>
      <c r="D3811" s="17" t="s">
        <v>9593</v>
      </c>
      <c r="E3811" s="16">
        <v>7.5</v>
      </c>
      <c r="F3811" s="7">
        <f t="shared" si="3"/>
        <v>92.5</v>
      </c>
      <c r="G3811" s="17" t="s">
        <v>3113</v>
      </c>
    </row>
    <row r="3812">
      <c r="A3812" s="12">
        <v>2405.0</v>
      </c>
      <c r="B3812" s="17" t="s">
        <v>9594</v>
      </c>
      <c r="C3812" s="17" t="s">
        <v>9595</v>
      </c>
      <c r="D3812" s="17" t="s">
        <v>9596</v>
      </c>
      <c r="E3812" s="16">
        <v>7.5</v>
      </c>
      <c r="F3812" s="7">
        <f t="shared" si="3"/>
        <v>92.5</v>
      </c>
      <c r="G3812" s="17" t="s">
        <v>3113</v>
      </c>
    </row>
    <row r="3813">
      <c r="A3813" s="12">
        <v>2406.0</v>
      </c>
      <c r="B3813" s="17" t="s">
        <v>9597</v>
      </c>
      <c r="C3813" s="17" t="s">
        <v>9598</v>
      </c>
      <c r="D3813" s="17" t="s">
        <v>9599</v>
      </c>
      <c r="E3813" s="16">
        <v>7.5</v>
      </c>
      <c r="F3813" s="7">
        <f t="shared" si="3"/>
        <v>92.5</v>
      </c>
      <c r="G3813" s="17" t="s">
        <v>3113</v>
      </c>
    </row>
    <row r="3814">
      <c r="A3814" s="12">
        <v>2407.0</v>
      </c>
      <c r="B3814" s="17" t="s">
        <v>9600</v>
      </c>
      <c r="C3814" s="17" t="s">
        <v>9601</v>
      </c>
      <c r="D3814" s="17" t="s">
        <v>9602</v>
      </c>
      <c r="E3814" s="16">
        <v>7.5</v>
      </c>
      <c r="F3814" s="7">
        <f t="shared" si="3"/>
        <v>92.5</v>
      </c>
      <c r="G3814" s="17" t="s">
        <v>3113</v>
      </c>
    </row>
    <row r="3815">
      <c r="A3815" s="12">
        <v>2408.0</v>
      </c>
      <c r="B3815" s="17" t="s">
        <v>9603</v>
      </c>
      <c r="C3815" s="17" t="s">
        <v>9604</v>
      </c>
      <c r="D3815" s="17" t="s">
        <v>9605</v>
      </c>
      <c r="E3815" s="16">
        <v>7.5</v>
      </c>
      <c r="F3815" s="7">
        <f t="shared" si="3"/>
        <v>92.5</v>
      </c>
      <c r="G3815" s="17" t="s">
        <v>3113</v>
      </c>
    </row>
    <row r="3816">
      <c r="A3816" s="12">
        <v>2409.0</v>
      </c>
      <c r="B3816" s="17" t="s">
        <v>9606</v>
      </c>
      <c r="C3816" s="17" t="s">
        <v>9607</v>
      </c>
      <c r="D3816" s="17" t="s">
        <v>9608</v>
      </c>
      <c r="E3816" s="16">
        <v>7.5</v>
      </c>
      <c r="F3816" s="7">
        <f t="shared" si="3"/>
        <v>92.5</v>
      </c>
      <c r="G3816" s="17" t="s">
        <v>3113</v>
      </c>
    </row>
    <row r="3817">
      <c r="A3817" s="12">
        <v>2410.0</v>
      </c>
      <c r="B3817" s="17" t="s">
        <v>9609</v>
      </c>
      <c r="C3817" s="17" t="s">
        <v>9610</v>
      </c>
      <c r="D3817" s="17" t="s">
        <v>9611</v>
      </c>
      <c r="E3817" s="16">
        <v>7.5</v>
      </c>
      <c r="F3817" s="7">
        <f t="shared" si="3"/>
        <v>92.5</v>
      </c>
      <c r="G3817" s="17" t="s">
        <v>3113</v>
      </c>
    </row>
    <row r="3818">
      <c r="A3818" s="12">
        <v>2411.0</v>
      </c>
      <c r="B3818" s="17" t="s">
        <v>9612</v>
      </c>
      <c r="C3818" s="17" t="s">
        <v>9613</v>
      </c>
      <c r="D3818" s="17" t="s">
        <v>9614</v>
      </c>
      <c r="E3818" s="16">
        <v>7.5</v>
      </c>
      <c r="F3818" s="7">
        <f t="shared" si="3"/>
        <v>92.5</v>
      </c>
      <c r="G3818" s="17" t="s">
        <v>3113</v>
      </c>
    </row>
    <row r="3819">
      <c r="A3819" s="12">
        <v>2412.0</v>
      </c>
      <c r="B3819" s="17" t="s">
        <v>9615</v>
      </c>
      <c r="C3819" s="17" t="s">
        <v>9616</v>
      </c>
      <c r="D3819" s="17" t="s">
        <v>9617</v>
      </c>
      <c r="E3819" s="16">
        <v>7.5</v>
      </c>
      <c r="F3819" s="7">
        <f t="shared" si="3"/>
        <v>92.5</v>
      </c>
      <c r="G3819" s="17" t="s">
        <v>3113</v>
      </c>
    </row>
    <row r="3820">
      <c r="A3820" s="12">
        <v>2413.0</v>
      </c>
      <c r="B3820" s="17" t="s">
        <v>9618</v>
      </c>
      <c r="C3820" s="17" t="s">
        <v>9619</v>
      </c>
      <c r="D3820" s="17" t="s">
        <v>9620</v>
      </c>
      <c r="E3820" s="16">
        <v>7.5</v>
      </c>
      <c r="F3820" s="7">
        <f t="shared" si="3"/>
        <v>92.5</v>
      </c>
      <c r="G3820" s="17" t="s">
        <v>3113</v>
      </c>
    </row>
    <row r="3821">
      <c r="A3821" s="12">
        <v>2414.0</v>
      </c>
      <c r="B3821" s="17" t="s">
        <v>9621</v>
      </c>
      <c r="C3821" s="17" t="s">
        <v>9622</v>
      </c>
      <c r="D3821" s="17" t="s">
        <v>9623</v>
      </c>
      <c r="E3821" s="16">
        <v>7.5</v>
      </c>
      <c r="F3821" s="7">
        <f t="shared" si="3"/>
        <v>92.5</v>
      </c>
      <c r="G3821" s="17" t="s">
        <v>3113</v>
      </c>
    </row>
    <row r="3822">
      <c r="A3822" s="12">
        <v>2415.0</v>
      </c>
      <c r="B3822" s="17" t="s">
        <v>9621</v>
      </c>
      <c r="C3822" s="17" t="s">
        <v>9624</v>
      </c>
      <c r="D3822" s="17" t="s">
        <v>9625</v>
      </c>
      <c r="E3822" s="16">
        <v>7.5</v>
      </c>
      <c r="F3822" s="7">
        <f t="shared" si="3"/>
        <v>92.5</v>
      </c>
      <c r="G3822" s="17" t="s">
        <v>3113</v>
      </c>
    </row>
    <row r="3823">
      <c r="A3823" s="12">
        <v>2416.0</v>
      </c>
      <c r="B3823" s="17" t="s">
        <v>9621</v>
      </c>
      <c r="C3823" s="17" t="s">
        <v>9626</v>
      </c>
      <c r="D3823" s="17" t="s">
        <v>9627</v>
      </c>
      <c r="E3823" s="16">
        <v>7.5</v>
      </c>
      <c r="F3823" s="7">
        <f t="shared" si="3"/>
        <v>92.5</v>
      </c>
      <c r="G3823" s="17" t="s">
        <v>3113</v>
      </c>
    </row>
    <row r="3824">
      <c r="A3824" s="12">
        <v>2417.0</v>
      </c>
      <c r="B3824" s="17" t="s">
        <v>9628</v>
      </c>
      <c r="C3824" s="17" t="s">
        <v>9629</v>
      </c>
      <c r="D3824" s="17" t="s">
        <v>9630</v>
      </c>
      <c r="E3824" s="16">
        <v>7.5</v>
      </c>
      <c r="F3824" s="7">
        <f t="shared" si="3"/>
        <v>92.5</v>
      </c>
      <c r="G3824" s="17" t="s">
        <v>3113</v>
      </c>
    </row>
    <row r="3825">
      <c r="A3825" s="12">
        <v>2418.0</v>
      </c>
      <c r="B3825" s="17" t="s">
        <v>9628</v>
      </c>
      <c r="C3825" s="17" t="s">
        <v>9631</v>
      </c>
      <c r="D3825" s="17" t="s">
        <v>9632</v>
      </c>
      <c r="E3825" s="16">
        <v>7.5</v>
      </c>
      <c r="F3825" s="7">
        <f t="shared" si="3"/>
        <v>92.5</v>
      </c>
      <c r="G3825" s="17" t="s">
        <v>3113</v>
      </c>
    </row>
    <row r="3826">
      <c r="A3826" s="12">
        <v>2419.0</v>
      </c>
      <c r="B3826" s="17" t="s">
        <v>9633</v>
      </c>
      <c r="C3826" s="17" t="s">
        <v>9634</v>
      </c>
      <c r="D3826" s="17" t="s">
        <v>9635</v>
      </c>
      <c r="E3826" s="16">
        <v>7.5</v>
      </c>
      <c r="F3826" s="7">
        <f t="shared" si="3"/>
        <v>92.5</v>
      </c>
      <c r="G3826" s="17" t="s">
        <v>3113</v>
      </c>
    </row>
    <row r="3827">
      <c r="A3827" s="12">
        <v>2420.0</v>
      </c>
      <c r="B3827" s="17" t="s">
        <v>9633</v>
      </c>
      <c r="C3827" s="17" t="s">
        <v>9636</v>
      </c>
      <c r="D3827" s="17" t="s">
        <v>9637</v>
      </c>
      <c r="E3827" s="16">
        <v>7.5</v>
      </c>
      <c r="F3827" s="7">
        <f t="shared" si="3"/>
        <v>92.5</v>
      </c>
      <c r="G3827" s="17" t="s">
        <v>3113</v>
      </c>
    </row>
    <row r="3828">
      <c r="A3828" s="12">
        <v>2421.0</v>
      </c>
      <c r="B3828" s="17" t="s">
        <v>9633</v>
      </c>
      <c r="C3828" s="17" t="s">
        <v>9638</v>
      </c>
      <c r="D3828" s="17" t="s">
        <v>9639</v>
      </c>
      <c r="E3828" s="16">
        <v>7.5</v>
      </c>
      <c r="F3828" s="7">
        <f t="shared" si="3"/>
        <v>92.5</v>
      </c>
      <c r="G3828" s="17" t="s">
        <v>3113</v>
      </c>
    </row>
    <row r="3829">
      <c r="A3829" s="12">
        <v>2422.0</v>
      </c>
      <c r="B3829" s="17" t="s">
        <v>9640</v>
      </c>
      <c r="C3829" s="17" t="s">
        <v>9641</v>
      </c>
      <c r="D3829" s="17" t="s">
        <v>9642</v>
      </c>
      <c r="E3829" s="16">
        <v>7.5</v>
      </c>
      <c r="F3829" s="7">
        <f t="shared" si="3"/>
        <v>92.5</v>
      </c>
      <c r="G3829" s="17" t="s">
        <v>3113</v>
      </c>
    </row>
    <row r="3830">
      <c r="A3830" s="12">
        <v>2423.0</v>
      </c>
      <c r="B3830" s="17" t="s">
        <v>9640</v>
      </c>
      <c r="C3830" s="17" t="s">
        <v>9643</v>
      </c>
      <c r="D3830" s="17" t="s">
        <v>9644</v>
      </c>
      <c r="E3830" s="16">
        <v>7.5</v>
      </c>
      <c r="F3830" s="7">
        <f t="shared" si="3"/>
        <v>92.5</v>
      </c>
      <c r="G3830" s="17" t="s">
        <v>3113</v>
      </c>
    </row>
    <row r="3831">
      <c r="A3831" s="12">
        <v>2424.0</v>
      </c>
      <c r="B3831" s="17" t="s">
        <v>9640</v>
      </c>
      <c r="C3831" s="17" t="s">
        <v>9645</v>
      </c>
      <c r="D3831" s="17" t="s">
        <v>9646</v>
      </c>
      <c r="E3831" s="16">
        <v>7.5</v>
      </c>
      <c r="F3831" s="7">
        <f t="shared" si="3"/>
        <v>92.5</v>
      </c>
      <c r="G3831" s="17" t="s">
        <v>3113</v>
      </c>
    </row>
    <row r="3832">
      <c r="A3832" s="12">
        <v>2425.0</v>
      </c>
      <c r="B3832" s="17" t="s">
        <v>9647</v>
      </c>
      <c r="C3832" s="17" t="s">
        <v>9648</v>
      </c>
      <c r="D3832" s="17" t="s">
        <v>9649</v>
      </c>
      <c r="E3832" s="16">
        <v>7.5</v>
      </c>
      <c r="F3832" s="7">
        <f t="shared" si="3"/>
        <v>92.5</v>
      </c>
      <c r="G3832" s="17" t="s">
        <v>3113</v>
      </c>
    </row>
    <row r="3833">
      <c r="A3833" s="12">
        <v>2426.0</v>
      </c>
      <c r="B3833" s="17" t="s">
        <v>9650</v>
      </c>
      <c r="C3833" s="17" t="s">
        <v>9651</v>
      </c>
      <c r="D3833" s="17" t="s">
        <v>9652</v>
      </c>
      <c r="E3833" s="16">
        <v>7.5</v>
      </c>
      <c r="F3833" s="7">
        <f t="shared" si="3"/>
        <v>92.5</v>
      </c>
      <c r="G3833" s="17" t="s">
        <v>3113</v>
      </c>
    </row>
    <row r="3834">
      <c r="A3834" s="12">
        <v>2427.0</v>
      </c>
      <c r="B3834" s="17" t="s">
        <v>9653</v>
      </c>
      <c r="C3834" s="17" t="s">
        <v>9654</v>
      </c>
      <c r="D3834" s="17" t="s">
        <v>9655</v>
      </c>
      <c r="E3834" s="16">
        <v>7.5</v>
      </c>
      <c r="F3834" s="7">
        <f t="shared" si="3"/>
        <v>92.5</v>
      </c>
      <c r="G3834" s="17" t="s">
        <v>3113</v>
      </c>
    </row>
    <row r="3835">
      <c r="A3835" s="12">
        <v>2428.0</v>
      </c>
      <c r="B3835" s="17" t="s">
        <v>9656</v>
      </c>
      <c r="C3835" s="17" t="s">
        <v>9657</v>
      </c>
      <c r="D3835" s="17" t="s">
        <v>9658</v>
      </c>
      <c r="E3835" s="16">
        <v>7.5</v>
      </c>
      <c r="F3835" s="7">
        <f t="shared" si="3"/>
        <v>92.5</v>
      </c>
      <c r="G3835" s="17" t="s">
        <v>3113</v>
      </c>
    </row>
    <row r="3836">
      <c r="A3836" s="12">
        <v>2429.0</v>
      </c>
      <c r="B3836" s="17" t="s">
        <v>9656</v>
      </c>
      <c r="C3836" s="17" t="s">
        <v>9659</v>
      </c>
      <c r="D3836" s="17" t="s">
        <v>9660</v>
      </c>
      <c r="E3836" s="16">
        <v>7.5</v>
      </c>
      <c r="F3836" s="7">
        <f t="shared" si="3"/>
        <v>92.5</v>
      </c>
      <c r="G3836" s="17" t="s">
        <v>3113</v>
      </c>
    </row>
    <row r="3837">
      <c r="A3837" s="12">
        <v>2430.0</v>
      </c>
      <c r="B3837" s="17" t="s">
        <v>9656</v>
      </c>
      <c r="C3837" s="17" t="s">
        <v>9661</v>
      </c>
      <c r="D3837" s="17" t="s">
        <v>9662</v>
      </c>
      <c r="E3837" s="16">
        <v>7.5</v>
      </c>
      <c r="F3837" s="7">
        <f t="shared" si="3"/>
        <v>92.5</v>
      </c>
      <c r="G3837" s="17" t="s">
        <v>3113</v>
      </c>
    </row>
    <row r="3838">
      <c r="A3838" s="12">
        <v>2431.0</v>
      </c>
      <c r="B3838" s="17" t="s">
        <v>9663</v>
      </c>
      <c r="C3838" s="17" t="s">
        <v>9664</v>
      </c>
      <c r="D3838" s="17" t="s">
        <v>9665</v>
      </c>
      <c r="E3838" s="16">
        <v>7.5</v>
      </c>
      <c r="F3838" s="7">
        <f t="shared" si="3"/>
        <v>92.5</v>
      </c>
      <c r="G3838" s="17" t="s">
        <v>3113</v>
      </c>
    </row>
    <row r="3839">
      <c r="A3839" s="12">
        <v>2432.0</v>
      </c>
      <c r="B3839" s="17" t="s">
        <v>9663</v>
      </c>
      <c r="C3839" s="17" t="s">
        <v>9666</v>
      </c>
      <c r="D3839" s="17" t="s">
        <v>9667</v>
      </c>
      <c r="E3839" s="16">
        <v>7.5</v>
      </c>
      <c r="F3839" s="7">
        <f t="shared" si="3"/>
        <v>92.5</v>
      </c>
      <c r="G3839" s="17" t="s">
        <v>3113</v>
      </c>
    </row>
    <row r="3840">
      <c r="A3840" s="12">
        <v>2433.0</v>
      </c>
      <c r="B3840" s="17" t="s">
        <v>9663</v>
      </c>
      <c r="C3840" s="17" t="s">
        <v>9668</v>
      </c>
      <c r="D3840" s="17" t="s">
        <v>9669</v>
      </c>
      <c r="E3840" s="16">
        <v>7.5</v>
      </c>
      <c r="F3840" s="7">
        <f t="shared" si="3"/>
        <v>92.5</v>
      </c>
      <c r="G3840" s="17" t="s">
        <v>3113</v>
      </c>
    </row>
    <row r="3841">
      <c r="A3841" s="12">
        <v>2434.0</v>
      </c>
      <c r="B3841" s="17" t="s">
        <v>9670</v>
      </c>
      <c r="C3841" s="17" t="s">
        <v>9671</v>
      </c>
      <c r="D3841" s="17" t="s">
        <v>9672</v>
      </c>
      <c r="E3841" s="16">
        <v>7.5</v>
      </c>
      <c r="F3841" s="7">
        <f t="shared" si="3"/>
        <v>92.5</v>
      </c>
      <c r="G3841" s="17" t="s">
        <v>3113</v>
      </c>
    </row>
    <row r="3842">
      <c r="A3842" s="12">
        <v>2435.0</v>
      </c>
      <c r="B3842" s="17" t="s">
        <v>9670</v>
      </c>
      <c r="C3842" s="17" t="s">
        <v>9673</v>
      </c>
      <c r="D3842" s="17" t="s">
        <v>9674</v>
      </c>
      <c r="E3842" s="16">
        <v>7.5</v>
      </c>
      <c r="F3842" s="7">
        <f t="shared" si="3"/>
        <v>92.5</v>
      </c>
      <c r="G3842" s="17" t="s">
        <v>3113</v>
      </c>
    </row>
    <row r="3843">
      <c r="A3843" s="12">
        <v>2436.0</v>
      </c>
      <c r="B3843" s="17" t="s">
        <v>9670</v>
      </c>
      <c r="C3843" s="17" t="s">
        <v>9675</v>
      </c>
      <c r="D3843" s="17" t="s">
        <v>9676</v>
      </c>
      <c r="E3843" s="16">
        <v>7.5</v>
      </c>
      <c r="F3843" s="7">
        <f t="shared" si="3"/>
        <v>92.5</v>
      </c>
      <c r="G3843" s="17" t="s">
        <v>3113</v>
      </c>
    </row>
    <row r="3844">
      <c r="A3844" s="12">
        <v>2437.0</v>
      </c>
      <c r="B3844" s="17" t="s">
        <v>9677</v>
      </c>
      <c r="C3844" s="17" t="s">
        <v>9678</v>
      </c>
      <c r="D3844" s="17" t="s">
        <v>9679</v>
      </c>
      <c r="E3844" s="16">
        <v>7.5</v>
      </c>
      <c r="F3844" s="7">
        <f t="shared" si="3"/>
        <v>92.5</v>
      </c>
      <c r="G3844" s="17" t="s">
        <v>3113</v>
      </c>
    </row>
    <row r="3845">
      <c r="A3845" s="12">
        <v>2438.0</v>
      </c>
      <c r="B3845" s="17" t="s">
        <v>9677</v>
      </c>
      <c r="C3845" s="17" t="s">
        <v>9680</v>
      </c>
      <c r="D3845" s="17" t="s">
        <v>9681</v>
      </c>
      <c r="E3845" s="16">
        <v>7.5</v>
      </c>
      <c r="F3845" s="7">
        <f t="shared" si="3"/>
        <v>92.5</v>
      </c>
      <c r="G3845" s="17" t="s">
        <v>3113</v>
      </c>
    </row>
    <row r="3846">
      <c r="A3846" s="12">
        <v>2439.0</v>
      </c>
      <c r="B3846" s="17" t="s">
        <v>9682</v>
      </c>
      <c r="C3846" s="17" t="s">
        <v>9683</v>
      </c>
      <c r="D3846" s="17" t="s">
        <v>9684</v>
      </c>
      <c r="E3846" s="16">
        <v>7.5</v>
      </c>
      <c r="F3846" s="7">
        <f t="shared" si="3"/>
        <v>92.5</v>
      </c>
      <c r="G3846" s="17" t="s">
        <v>3113</v>
      </c>
    </row>
    <row r="3847">
      <c r="A3847" s="12">
        <v>2440.0</v>
      </c>
      <c r="B3847" s="17" t="s">
        <v>9685</v>
      </c>
      <c r="C3847" s="17" t="s">
        <v>9686</v>
      </c>
      <c r="D3847" s="17" t="s">
        <v>9687</v>
      </c>
      <c r="E3847" s="16">
        <v>7.5</v>
      </c>
      <c r="F3847" s="7">
        <f t="shared" si="3"/>
        <v>92.5</v>
      </c>
      <c r="G3847" s="17" t="s">
        <v>3113</v>
      </c>
    </row>
    <row r="3848">
      <c r="A3848" s="12">
        <v>2441.0</v>
      </c>
      <c r="B3848" s="17" t="s">
        <v>9685</v>
      </c>
      <c r="C3848" s="17" t="s">
        <v>9688</v>
      </c>
      <c r="D3848" s="17" t="s">
        <v>9689</v>
      </c>
      <c r="E3848" s="16">
        <v>7.5</v>
      </c>
      <c r="F3848" s="7">
        <f t="shared" si="3"/>
        <v>92.5</v>
      </c>
      <c r="G3848" s="17" t="s">
        <v>3113</v>
      </c>
    </row>
    <row r="3849">
      <c r="A3849" s="12">
        <v>2442.0</v>
      </c>
      <c r="B3849" s="17" t="s">
        <v>9685</v>
      </c>
      <c r="C3849" s="17" t="s">
        <v>9690</v>
      </c>
      <c r="D3849" s="17" t="s">
        <v>9691</v>
      </c>
      <c r="E3849" s="16">
        <v>7.5</v>
      </c>
      <c r="F3849" s="7">
        <f t="shared" si="3"/>
        <v>92.5</v>
      </c>
      <c r="G3849" s="17" t="s">
        <v>3113</v>
      </c>
    </row>
    <row r="3850">
      <c r="A3850" s="12">
        <v>2443.0</v>
      </c>
      <c r="B3850" s="17" t="s">
        <v>9692</v>
      </c>
      <c r="C3850" s="17" t="s">
        <v>9693</v>
      </c>
      <c r="D3850" s="17" t="s">
        <v>9694</v>
      </c>
      <c r="E3850" s="16">
        <v>7.5</v>
      </c>
      <c r="F3850" s="7">
        <f t="shared" si="3"/>
        <v>92.5</v>
      </c>
      <c r="G3850" s="17" t="s">
        <v>3113</v>
      </c>
    </row>
    <row r="3851">
      <c r="A3851" s="12">
        <v>2444.0</v>
      </c>
      <c r="B3851" s="17" t="s">
        <v>9692</v>
      </c>
      <c r="C3851" s="17" t="s">
        <v>9695</v>
      </c>
      <c r="D3851" s="17" t="s">
        <v>9696</v>
      </c>
      <c r="E3851" s="16">
        <v>7.5</v>
      </c>
      <c r="F3851" s="7">
        <f t="shared" si="3"/>
        <v>92.5</v>
      </c>
      <c r="G3851" s="17" t="s">
        <v>3113</v>
      </c>
    </row>
    <row r="3852">
      <c r="A3852" s="12">
        <v>2445.0</v>
      </c>
      <c r="B3852" s="17" t="s">
        <v>9692</v>
      </c>
      <c r="C3852" s="17" t="s">
        <v>9697</v>
      </c>
      <c r="D3852" s="17" t="s">
        <v>9698</v>
      </c>
      <c r="E3852" s="16">
        <v>7.5</v>
      </c>
      <c r="F3852" s="7">
        <f t="shared" si="3"/>
        <v>92.5</v>
      </c>
      <c r="G3852" s="17" t="s">
        <v>3113</v>
      </c>
    </row>
    <row r="3853">
      <c r="A3853" s="12">
        <v>2446.0</v>
      </c>
      <c r="B3853" s="17" t="s">
        <v>9699</v>
      </c>
      <c r="C3853" s="17" t="s">
        <v>9700</v>
      </c>
      <c r="D3853" s="17" t="s">
        <v>9701</v>
      </c>
      <c r="E3853" s="16">
        <v>7.5</v>
      </c>
      <c r="F3853" s="7">
        <f t="shared" si="3"/>
        <v>92.5</v>
      </c>
      <c r="G3853" s="17" t="s">
        <v>3113</v>
      </c>
    </row>
    <row r="3854">
      <c r="A3854" s="12">
        <v>2447.0</v>
      </c>
      <c r="B3854" s="17" t="s">
        <v>9699</v>
      </c>
      <c r="C3854" s="17" t="s">
        <v>9702</v>
      </c>
      <c r="D3854" s="17" t="s">
        <v>9703</v>
      </c>
      <c r="E3854" s="16">
        <v>7.5</v>
      </c>
      <c r="F3854" s="7">
        <f t="shared" si="3"/>
        <v>92.5</v>
      </c>
      <c r="G3854" s="17" t="s">
        <v>3113</v>
      </c>
    </row>
    <row r="3855">
      <c r="A3855" s="12">
        <v>2448.0</v>
      </c>
      <c r="B3855" s="17" t="s">
        <v>9699</v>
      </c>
      <c r="C3855" s="17" t="s">
        <v>9704</v>
      </c>
      <c r="D3855" s="17" t="s">
        <v>9705</v>
      </c>
      <c r="E3855" s="16">
        <v>7.5</v>
      </c>
      <c r="F3855" s="7">
        <f t="shared" si="3"/>
        <v>92.5</v>
      </c>
      <c r="G3855" s="17" t="s">
        <v>3113</v>
      </c>
    </row>
    <row r="3856">
      <c r="A3856" s="12">
        <v>2449.0</v>
      </c>
      <c r="B3856" s="17" t="s">
        <v>9706</v>
      </c>
      <c r="C3856" s="17" t="s">
        <v>9707</v>
      </c>
      <c r="D3856" s="17" t="s">
        <v>9708</v>
      </c>
      <c r="E3856" s="16">
        <v>7.5</v>
      </c>
      <c r="F3856" s="7">
        <f t="shared" si="3"/>
        <v>92.5</v>
      </c>
      <c r="G3856" s="17" t="s">
        <v>3113</v>
      </c>
    </row>
    <row r="3857">
      <c r="A3857" s="12">
        <v>2450.0</v>
      </c>
      <c r="B3857" s="17" t="s">
        <v>9706</v>
      </c>
      <c r="C3857" s="17" t="s">
        <v>9709</v>
      </c>
      <c r="D3857" s="17" t="s">
        <v>9710</v>
      </c>
      <c r="E3857" s="16">
        <v>7.5</v>
      </c>
      <c r="F3857" s="7">
        <f t="shared" si="3"/>
        <v>92.5</v>
      </c>
      <c r="G3857" s="17" t="s">
        <v>3113</v>
      </c>
    </row>
    <row r="3858">
      <c r="A3858" s="12">
        <v>2451.0</v>
      </c>
      <c r="B3858" s="17" t="s">
        <v>9706</v>
      </c>
      <c r="C3858" s="17" t="s">
        <v>9711</v>
      </c>
      <c r="D3858" s="17" t="s">
        <v>9712</v>
      </c>
      <c r="E3858" s="16">
        <v>7.5</v>
      </c>
      <c r="F3858" s="7">
        <f t="shared" si="3"/>
        <v>92.5</v>
      </c>
      <c r="G3858" s="17" t="s">
        <v>3113</v>
      </c>
    </row>
    <row r="3859">
      <c r="A3859" s="12">
        <v>2452.0</v>
      </c>
      <c r="B3859" s="17" t="s">
        <v>9713</v>
      </c>
      <c r="C3859" s="17" t="s">
        <v>9714</v>
      </c>
      <c r="D3859" s="17" t="s">
        <v>9715</v>
      </c>
      <c r="E3859" s="16">
        <v>7.5</v>
      </c>
      <c r="F3859" s="7">
        <f t="shared" si="3"/>
        <v>92.5</v>
      </c>
      <c r="G3859" s="17" t="s">
        <v>3113</v>
      </c>
    </row>
    <row r="3860">
      <c r="A3860" s="12">
        <v>2453.0</v>
      </c>
      <c r="B3860" s="17" t="s">
        <v>9713</v>
      </c>
      <c r="C3860" s="17" t="s">
        <v>9716</v>
      </c>
      <c r="D3860" s="17" t="s">
        <v>9717</v>
      </c>
      <c r="E3860" s="16">
        <v>7.5</v>
      </c>
      <c r="F3860" s="7">
        <f t="shared" si="3"/>
        <v>92.5</v>
      </c>
      <c r="G3860" s="17" t="s">
        <v>3113</v>
      </c>
    </row>
    <row r="3861">
      <c r="A3861" s="12">
        <v>2454.0</v>
      </c>
      <c r="B3861" s="17" t="s">
        <v>9713</v>
      </c>
      <c r="C3861" s="17" t="s">
        <v>9718</v>
      </c>
      <c r="D3861" s="17" t="s">
        <v>9719</v>
      </c>
      <c r="E3861" s="16">
        <v>7.5</v>
      </c>
      <c r="F3861" s="7">
        <f t="shared" si="3"/>
        <v>92.5</v>
      </c>
      <c r="G3861" s="17" t="s">
        <v>3113</v>
      </c>
    </row>
    <row r="3862">
      <c r="A3862" s="12">
        <v>2455.0</v>
      </c>
      <c r="B3862" s="17" t="s">
        <v>9720</v>
      </c>
      <c r="C3862" s="17" t="s">
        <v>9721</v>
      </c>
      <c r="D3862" s="17" t="s">
        <v>9722</v>
      </c>
      <c r="E3862" s="16">
        <v>7.5</v>
      </c>
      <c r="F3862" s="7">
        <f t="shared" si="3"/>
        <v>92.5</v>
      </c>
      <c r="G3862" s="17" t="s">
        <v>3113</v>
      </c>
    </row>
    <row r="3863">
      <c r="A3863" s="12">
        <v>2456.0</v>
      </c>
      <c r="B3863" s="17" t="s">
        <v>9720</v>
      </c>
      <c r="C3863" s="17" t="s">
        <v>9723</v>
      </c>
      <c r="D3863" s="17" t="s">
        <v>9724</v>
      </c>
      <c r="E3863" s="16">
        <v>7.5</v>
      </c>
      <c r="F3863" s="7">
        <f t="shared" si="3"/>
        <v>92.5</v>
      </c>
      <c r="G3863" s="17" t="s">
        <v>3113</v>
      </c>
    </row>
    <row r="3864">
      <c r="A3864" s="12">
        <v>2457.0</v>
      </c>
      <c r="B3864" s="17" t="s">
        <v>9720</v>
      </c>
      <c r="C3864" s="17" t="s">
        <v>9725</v>
      </c>
      <c r="D3864" s="17" t="s">
        <v>9726</v>
      </c>
      <c r="E3864" s="16">
        <v>7.5</v>
      </c>
      <c r="F3864" s="7">
        <f t="shared" si="3"/>
        <v>92.5</v>
      </c>
      <c r="G3864" s="17" t="s">
        <v>3113</v>
      </c>
    </row>
    <row r="3865">
      <c r="A3865" s="12">
        <v>2458.0</v>
      </c>
      <c r="B3865" s="17" t="s">
        <v>9727</v>
      </c>
      <c r="C3865" s="17" t="s">
        <v>9728</v>
      </c>
      <c r="D3865" s="17" t="s">
        <v>9729</v>
      </c>
      <c r="E3865" s="16">
        <v>7.5</v>
      </c>
      <c r="F3865" s="7">
        <f t="shared" si="3"/>
        <v>92.5</v>
      </c>
      <c r="G3865" s="17" t="s">
        <v>3113</v>
      </c>
    </row>
    <row r="3866">
      <c r="A3866" s="12">
        <v>2459.0</v>
      </c>
      <c r="B3866" s="17" t="s">
        <v>9727</v>
      </c>
      <c r="C3866" s="17" t="s">
        <v>9730</v>
      </c>
      <c r="D3866" s="17" t="s">
        <v>9731</v>
      </c>
      <c r="E3866" s="16">
        <v>7.5</v>
      </c>
      <c r="F3866" s="7">
        <f t="shared" si="3"/>
        <v>92.5</v>
      </c>
      <c r="G3866" s="17" t="s">
        <v>3113</v>
      </c>
    </row>
    <row r="3867">
      <c r="A3867" s="12">
        <v>2460.0</v>
      </c>
      <c r="B3867" s="17" t="s">
        <v>9727</v>
      </c>
      <c r="C3867" s="17" t="s">
        <v>9732</v>
      </c>
      <c r="D3867" s="17" t="s">
        <v>9733</v>
      </c>
      <c r="E3867" s="16">
        <v>7.5</v>
      </c>
      <c r="F3867" s="7">
        <f t="shared" si="3"/>
        <v>92.5</v>
      </c>
      <c r="G3867" s="17" t="s">
        <v>3113</v>
      </c>
    </row>
    <row r="3868">
      <c r="A3868" s="12">
        <v>2461.0</v>
      </c>
      <c r="B3868" s="17" t="s">
        <v>9734</v>
      </c>
      <c r="C3868" s="17" t="s">
        <v>9735</v>
      </c>
      <c r="D3868" s="17" t="s">
        <v>9736</v>
      </c>
      <c r="E3868" s="16">
        <v>7.5</v>
      </c>
      <c r="F3868" s="7">
        <f t="shared" si="3"/>
        <v>92.5</v>
      </c>
      <c r="G3868" s="17" t="s">
        <v>3113</v>
      </c>
    </row>
    <row r="3869">
      <c r="A3869" s="12">
        <v>2462.0</v>
      </c>
      <c r="B3869" s="17" t="s">
        <v>9734</v>
      </c>
      <c r="C3869" s="17" t="s">
        <v>9737</v>
      </c>
      <c r="D3869" s="17" t="s">
        <v>9738</v>
      </c>
      <c r="E3869" s="16">
        <v>7.5</v>
      </c>
      <c r="F3869" s="7">
        <f t="shared" si="3"/>
        <v>92.5</v>
      </c>
      <c r="G3869" s="17" t="s">
        <v>3113</v>
      </c>
    </row>
    <row r="3870">
      <c r="A3870" s="12">
        <v>2463.0</v>
      </c>
      <c r="B3870" s="17" t="s">
        <v>9734</v>
      </c>
      <c r="C3870" s="17" t="s">
        <v>9739</v>
      </c>
      <c r="D3870" s="17" t="s">
        <v>9740</v>
      </c>
      <c r="E3870" s="16">
        <v>7.5</v>
      </c>
      <c r="F3870" s="7">
        <f t="shared" si="3"/>
        <v>92.5</v>
      </c>
      <c r="G3870" s="17" t="s">
        <v>3113</v>
      </c>
    </row>
    <row r="3871">
      <c r="A3871" s="12">
        <v>2464.0</v>
      </c>
      <c r="B3871" s="17" t="s">
        <v>9741</v>
      </c>
      <c r="C3871" s="17" t="s">
        <v>9742</v>
      </c>
      <c r="D3871" s="17" t="s">
        <v>9743</v>
      </c>
      <c r="E3871" s="16">
        <v>7.5</v>
      </c>
      <c r="F3871" s="7">
        <f t="shared" si="3"/>
        <v>92.5</v>
      </c>
      <c r="G3871" s="17" t="s">
        <v>3113</v>
      </c>
    </row>
    <row r="3872">
      <c r="A3872" s="12">
        <v>2465.0</v>
      </c>
      <c r="B3872" s="17" t="s">
        <v>9741</v>
      </c>
      <c r="C3872" s="17" t="s">
        <v>9744</v>
      </c>
      <c r="D3872" s="17" t="s">
        <v>9745</v>
      </c>
      <c r="E3872" s="16">
        <v>7.5</v>
      </c>
      <c r="F3872" s="7">
        <f t="shared" si="3"/>
        <v>92.5</v>
      </c>
      <c r="G3872" s="17" t="s">
        <v>3113</v>
      </c>
    </row>
    <row r="3873">
      <c r="A3873" s="12">
        <v>2466.0</v>
      </c>
      <c r="B3873" s="17" t="s">
        <v>9741</v>
      </c>
      <c r="C3873" s="17" t="s">
        <v>9746</v>
      </c>
      <c r="D3873" s="17" t="s">
        <v>9747</v>
      </c>
      <c r="E3873" s="16">
        <v>7.5</v>
      </c>
      <c r="F3873" s="7">
        <f t="shared" si="3"/>
        <v>92.5</v>
      </c>
      <c r="G3873" s="17" t="s">
        <v>3113</v>
      </c>
    </row>
    <row r="3874">
      <c r="A3874" s="12">
        <v>2467.0</v>
      </c>
      <c r="B3874" s="17" t="s">
        <v>9748</v>
      </c>
      <c r="C3874" s="17" t="s">
        <v>9749</v>
      </c>
      <c r="D3874" s="17" t="s">
        <v>9750</v>
      </c>
      <c r="E3874" s="16">
        <v>7.5</v>
      </c>
      <c r="F3874" s="7">
        <f t="shared" si="3"/>
        <v>92.5</v>
      </c>
      <c r="G3874" s="17" t="s">
        <v>3113</v>
      </c>
    </row>
    <row r="3875">
      <c r="A3875" s="12"/>
      <c r="B3875" s="17"/>
      <c r="C3875" s="17"/>
      <c r="D3875" s="17"/>
      <c r="E3875" s="16"/>
      <c r="F3875" s="7"/>
      <c r="G3875" s="17"/>
    </row>
    <row r="3876">
      <c r="A3876" s="12"/>
      <c r="B3876" s="17"/>
      <c r="C3876" s="17"/>
      <c r="D3876" s="17"/>
      <c r="E3876" s="16"/>
      <c r="F3876" s="7"/>
      <c r="G3876" s="17"/>
    </row>
    <row r="3877">
      <c r="A3877" s="12"/>
      <c r="B3877" s="17"/>
      <c r="C3877" s="17"/>
      <c r="D3877" s="17"/>
      <c r="E3877" s="16"/>
      <c r="F3877" s="7"/>
      <c r="G3877" s="17"/>
    </row>
    <row r="3878">
      <c r="A3878" s="12"/>
      <c r="B3878" s="17"/>
      <c r="C3878" s="17"/>
      <c r="D3878" s="17"/>
      <c r="E3878" s="16"/>
      <c r="F3878" s="7"/>
      <c r="G3878" s="17"/>
    </row>
    <row r="3879">
      <c r="A3879" s="12"/>
      <c r="B3879" s="17"/>
      <c r="C3879" s="17"/>
      <c r="D3879" s="17"/>
      <c r="E3879" s="16"/>
      <c r="F3879" s="7"/>
      <c r="G3879" s="17"/>
    </row>
    <row r="3880">
      <c r="A3880" s="12"/>
      <c r="B3880" s="17"/>
      <c r="C3880" s="17"/>
      <c r="D3880" s="17"/>
      <c r="E3880" s="16"/>
      <c r="F3880" s="7"/>
      <c r="G3880" s="17"/>
    </row>
    <row r="3881">
      <c r="A3881" s="12"/>
      <c r="B3881" s="17"/>
      <c r="C3881" s="17"/>
      <c r="D3881" s="17"/>
      <c r="E3881" s="16"/>
      <c r="F3881" s="7"/>
      <c r="G3881" s="17"/>
    </row>
    <row r="3882">
      <c r="A3882" s="12"/>
      <c r="B3882" s="17"/>
      <c r="C3882" s="17"/>
      <c r="D3882" s="17"/>
      <c r="E3882" s="16"/>
      <c r="F3882" s="7"/>
      <c r="G3882" s="17"/>
    </row>
    <row r="3883">
      <c r="A3883" s="12"/>
      <c r="B3883" s="17"/>
      <c r="C3883" s="17"/>
      <c r="D3883" s="17"/>
      <c r="E3883" s="16"/>
      <c r="F3883" s="7"/>
      <c r="G3883" s="17"/>
    </row>
    <row r="3884">
      <c r="A3884" s="12"/>
      <c r="B3884" s="17"/>
      <c r="C3884" s="17"/>
      <c r="D3884" s="17"/>
      <c r="E3884" s="16"/>
      <c r="F3884" s="7"/>
      <c r="G3884" s="17"/>
    </row>
    <row r="3885">
      <c r="A3885" s="12"/>
      <c r="B3885" s="17"/>
      <c r="C3885" s="17"/>
      <c r="D3885" s="17"/>
      <c r="E3885" s="16"/>
      <c r="F3885" s="7"/>
      <c r="G3885" s="17"/>
    </row>
    <row r="3886">
      <c r="A3886" s="12"/>
      <c r="B3886" s="17"/>
      <c r="C3886" s="17"/>
      <c r="D3886" s="17"/>
      <c r="E3886" s="16"/>
      <c r="F3886" s="7"/>
      <c r="G3886" s="17"/>
    </row>
    <row r="3887">
      <c r="A3887" s="12"/>
      <c r="B3887" s="17"/>
      <c r="C3887" s="17"/>
      <c r="D3887" s="17"/>
      <c r="E3887" s="16"/>
      <c r="F3887" s="7"/>
      <c r="G3887" s="17"/>
    </row>
    <row r="3888">
      <c r="A3888" s="12"/>
      <c r="B3888" s="17"/>
      <c r="C3888" s="17"/>
      <c r="D3888" s="17"/>
      <c r="E3888" s="16"/>
      <c r="F3888" s="7"/>
      <c r="G3888" s="17"/>
    </row>
    <row r="3889">
      <c r="A3889" s="12"/>
      <c r="B3889" s="17"/>
      <c r="C3889" s="17"/>
      <c r="D3889" s="17"/>
      <c r="E3889" s="16"/>
      <c r="F3889" s="7"/>
      <c r="G3889" s="17"/>
    </row>
    <row r="3890">
      <c r="A3890" s="12"/>
      <c r="B3890" s="17"/>
      <c r="C3890" s="17"/>
      <c r="D3890" s="17"/>
      <c r="E3890" s="16"/>
      <c r="F3890" s="7"/>
      <c r="G3890" s="17"/>
    </row>
    <row r="3891">
      <c r="A3891" s="12"/>
      <c r="B3891" s="17"/>
      <c r="C3891" s="17"/>
      <c r="D3891" s="17"/>
      <c r="E3891" s="16"/>
      <c r="F3891" s="7"/>
      <c r="G3891" s="17"/>
    </row>
    <row r="3892">
      <c r="A3892" s="12"/>
      <c r="B3892" s="17"/>
      <c r="C3892" s="17"/>
      <c r="D3892" s="17"/>
      <c r="E3892" s="16"/>
      <c r="F3892" s="7"/>
      <c r="G3892" s="17"/>
    </row>
    <row r="3893">
      <c r="A3893" s="12"/>
      <c r="B3893" s="17"/>
      <c r="C3893" s="17"/>
      <c r="D3893" s="17"/>
      <c r="E3893" s="16"/>
      <c r="F3893" s="7"/>
      <c r="G3893" s="17"/>
    </row>
    <row r="3894">
      <c r="A3894" s="12"/>
      <c r="B3894" s="17"/>
      <c r="C3894" s="17"/>
      <c r="D3894" s="17"/>
      <c r="E3894" s="16"/>
      <c r="F3894" s="7"/>
      <c r="G3894" s="17"/>
    </row>
    <row r="3895">
      <c r="A3895" s="12"/>
      <c r="B3895" s="17"/>
      <c r="C3895" s="17"/>
      <c r="D3895" s="17"/>
      <c r="E3895" s="16"/>
      <c r="F3895" s="7"/>
      <c r="G3895" s="17"/>
    </row>
    <row r="3896">
      <c r="A3896" s="12"/>
      <c r="B3896" s="17"/>
      <c r="C3896" s="17"/>
      <c r="D3896" s="17"/>
      <c r="E3896" s="16"/>
      <c r="F3896" s="7"/>
      <c r="G3896" s="17"/>
    </row>
    <row r="3897">
      <c r="A3897" s="12"/>
      <c r="B3897" s="17"/>
      <c r="C3897" s="17"/>
      <c r="D3897" s="17"/>
      <c r="E3897" s="16"/>
      <c r="F3897" s="7"/>
      <c r="G3897" s="17"/>
    </row>
    <row r="3898">
      <c r="A3898" s="12"/>
      <c r="B3898" s="17"/>
      <c r="C3898" s="17"/>
      <c r="D3898" s="17"/>
      <c r="E3898" s="16"/>
      <c r="F3898" s="7"/>
      <c r="G3898" s="17"/>
    </row>
    <row r="3899">
      <c r="A3899" s="12"/>
      <c r="B3899" s="17"/>
      <c r="C3899" s="17"/>
      <c r="D3899" s="17"/>
      <c r="E3899" s="16"/>
      <c r="F3899" s="7"/>
      <c r="G3899" s="17"/>
    </row>
    <row r="3900">
      <c r="A3900" s="12"/>
      <c r="B3900" s="17"/>
      <c r="C3900" s="17"/>
      <c r="D3900" s="17"/>
      <c r="E3900" s="12"/>
      <c r="F3900" s="7"/>
      <c r="G3900" s="17"/>
    </row>
    <row r="3901">
      <c r="A3901" s="12"/>
      <c r="B3901" s="17"/>
      <c r="C3901" s="17"/>
      <c r="D3901" s="17"/>
      <c r="E3901" s="12"/>
      <c r="F3901" s="7"/>
      <c r="G3901" s="17"/>
    </row>
    <row r="3902">
      <c r="A3902" s="12"/>
      <c r="B3902" s="17"/>
      <c r="C3902" s="17"/>
      <c r="D3902" s="17"/>
      <c r="E3902" s="12"/>
      <c r="F3902" s="7"/>
      <c r="G3902" s="17"/>
    </row>
    <row r="3903">
      <c r="A3903" s="12"/>
      <c r="B3903" s="17"/>
      <c r="C3903" s="17"/>
      <c r="D3903" s="17"/>
      <c r="E3903" s="12"/>
      <c r="F3903" s="7"/>
      <c r="G3903" s="17"/>
    </row>
    <row r="3904">
      <c r="A3904" s="12"/>
      <c r="B3904" s="17"/>
      <c r="C3904" s="17"/>
      <c r="D3904" s="17"/>
      <c r="E3904" s="12"/>
      <c r="F3904" s="7"/>
      <c r="G3904" s="17"/>
    </row>
    <row r="3905">
      <c r="A3905" s="12"/>
      <c r="B3905" s="17"/>
      <c r="C3905" s="17"/>
      <c r="D3905" s="17"/>
      <c r="E3905" s="12"/>
      <c r="F3905" s="7"/>
      <c r="G3905" s="17"/>
    </row>
    <row r="3906">
      <c r="A3906" s="12"/>
      <c r="B3906" s="17"/>
      <c r="C3906" s="17"/>
      <c r="D3906" s="17"/>
      <c r="E3906" s="12"/>
      <c r="F3906" s="7"/>
      <c r="G3906" s="17"/>
    </row>
    <row r="3907">
      <c r="A3907" s="12"/>
      <c r="B3907" s="17"/>
      <c r="C3907" s="17"/>
      <c r="D3907" s="17"/>
      <c r="E3907" s="12"/>
      <c r="F3907" s="7"/>
      <c r="G3907" s="17"/>
    </row>
    <row r="3908">
      <c r="A3908" s="12"/>
      <c r="B3908" s="17"/>
      <c r="C3908" s="17"/>
      <c r="D3908" s="17"/>
      <c r="E3908" s="12"/>
      <c r="F3908" s="7"/>
      <c r="G3908" s="17"/>
    </row>
    <row r="3909">
      <c r="A3909" s="12"/>
      <c r="B3909" s="17"/>
      <c r="C3909" s="17"/>
      <c r="D3909" s="17"/>
      <c r="E3909" s="12"/>
      <c r="F3909" s="7"/>
      <c r="G3909" s="17"/>
    </row>
    <row r="3910">
      <c r="A3910" s="12"/>
      <c r="B3910" s="17"/>
      <c r="C3910" s="17"/>
      <c r="D3910" s="17"/>
      <c r="E3910" s="12"/>
      <c r="F3910" s="7"/>
      <c r="G3910" s="17"/>
    </row>
    <row r="3911">
      <c r="A3911" s="12"/>
      <c r="B3911" s="17"/>
      <c r="C3911" s="17"/>
      <c r="D3911" s="17"/>
      <c r="E3911" s="12"/>
      <c r="F3911" s="7"/>
      <c r="G3911" s="17"/>
    </row>
    <row r="3912">
      <c r="A3912" s="12"/>
      <c r="B3912" s="17"/>
      <c r="C3912" s="17"/>
      <c r="D3912" s="17"/>
      <c r="E3912" s="12"/>
      <c r="F3912" s="7"/>
      <c r="G3912" s="17"/>
    </row>
    <row r="3913">
      <c r="A3913" s="12"/>
      <c r="B3913" s="17"/>
      <c r="C3913" s="17"/>
      <c r="D3913" s="17"/>
      <c r="E3913" s="12"/>
      <c r="F3913" s="7"/>
      <c r="G3913" s="17"/>
    </row>
    <row r="3914">
      <c r="A3914" s="12"/>
      <c r="B3914" s="17"/>
      <c r="C3914" s="17"/>
      <c r="D3914" s="17"/>
      <c r="E3914" s="12"/>
      <c r="F3914" s="7"/>
      <c r="G3914" s="17"/>
    </row>
    <row r="3915">
      <c r="A3915" s="12"/>
      <c r="B3915" s="17"/>
      <c r="C3915" s="17"/>
      <c r="D3915" s="17"/>
      <c r="E3915" s="12"/>
      <c r="F3915" s="7"/>
      <c r="G3915" s="17"/>
    </row>
    <row r="3916">
      <c r="A3916" s="12"/>
      <c r="B3916" s="17"/>
      <c r="C3916" s="17"/>
      <c r="D3916" s="17"/>
      <c r="E3916" s="12"/>
      <c r="F3916" s="7"/>
      <c r="G3916" s="17"/>
    </row>
    <row r="3917">
      <c r="A3917" s="12"/>
      <c r="B3917" s="17"/>
      <c r="C3917" s="17"/>
      <c r="D3917" s="17"/>
      <c r="E3917" s="12"/>
      <c r="F3917" s="7"/>
      <c r="G3917" s="17"/>
    </row>
    <row r="3918">
      <c r="A3918" s="12"/>
      <c r="B3918" s="17"/>
      <c r="C3918" s="17"/>
      <c r="D3918" s="17"/>
      <c r="E3918" s="12"/>
      <c r="F3918" s="7"/>
      <c r="G3918" s="17"/>
    </row>
    <row r="3919">
      <c r="A3919" s="12"/>
      <c r="B3919" s="17"/>
      <c r="C3919" s="17"/>
      <c r="D3919" s="17"/>
      <c r="E3919" s="12"/>
      <c r="F3919" s="7"/>
      <c r="G3919" s="17"/>
    </row>
    <row r="3920">
      <c r="A3920" s="12"/>
      <c r="B3920" s="17"/>
      <c r="C3920" s="17"/>
      <c r="D3920" s="17"/>
      <c r="E3920" s="12"/>
      <c r="F3920" s="7"/>
      <c r="G3920" s="17"/>
    </row>
    <row r="3921">
      <c r="A3921" s="12"/>
      <c r="B3921" s="12"/>
      <c r="C3921" s="12"/>
      <c r="D3921" s="12"/>
      <c r="E3921" s="12"/>
      <c r="F3921" s="7"/>
      <c r="G3921" s="12"/>
    </row>
    <row r="3922">
      <c r="A3922" s="12"/>
      <c r="B3922" s="12"/>
      <c r="C3922" s="12"/>
      <c r="D3922" s="12"/>
      <c r="E3922" s="12"/>
      <c r="F3922" s="7"/>
      <c r="G3922" s="12"/>
    </row>
    <row r="3923">
      <c r="A3923" s="12"/>
      <c r="B3923" s="12"/>
      <c r="C3923" s="12"/>
      <c r="D3923" s="12"/>
      <c r="E3923" s="12"/>
      <c r="F3923" s="7"/>
      <c r="G3923" s="12"/>
    </row>
    <row r="3924">
      <c r="A3924" s="12"/>
      <c r="B3924" s="12"/>
      <c r="C3924" s="12"/>
      <c r="D3924" s="12"/>
      <c r="E3924" s="12"/>
      <c r="F3924" s="7"/>
      <c r="G3924" s="12"/>
    </row>
    <row r="3925">
      <c r="A3925" s="12"/>
      <c r="B3925" s="12"/>
      <c r="C3925" s="12"/>
      <c r="D3925" s="12"/>
      <c r="E3925" s="12"/>
      <c r="F3925" s="7"/>
      <c r="G3925" s="12"/>
    </row>
    <row r="3926">
      <c r="A3926" s="12"/>
      <c r="B3926" s="12"/>
      <c r="C3926" s="12"/>
      <c r="D3926" s="12"/>
      <c r="E3926" s="12"/>
      <c r="F3926" s="7"/>
      <c r="G3926" s="12"/>
    </row>
    <row r="3927">
      <c r="A3927" s="12"/>
      <c r="B3927" s="12"/>
      <c r="C3927" s="12"/>
      <c r="D3927" s="12"/>
      <c r="E3927" s="12"/>
      <c r="F3927" s="7"/>
      <c r="G3927" s="12"/>
    </row>
    <row r="3928">
      <c r="A3928" s="12"/>
      <c r="B3928" s="12"/>
      <c r="C3928" s="12"/>
      <c r="D3928" s="12"/>
      <c r="E3928" s="12"/>
      <c r="F3928" s="7"/>
      <c r="G3928" s="12"/>
    </row>
    <row r="3929">
      <c r="A3929" s="12"/>
      <c r="B3929" s="12"/>
      <c r="C3929" s="12"/>
      <c r="D3929" s="12"/>
      <c r="E3929" s="12"/>
      <c r="F3929" s="7"/>
      <c r="G3929" s="12"/>
    </row>
    <row r="3930">
      <c r="A3930" s="12"/>
      <c r="B3930" s="12"/>
      <c r="C3930" s="12"/>
      <c r="D3930" s="12"/>
      <c r="E3930" s="12"/>
      <c r="F3930" s="7"/>
      <c r="G3930" s="12"/>
    </row>
    <row r="3931">
      <c r="A3931" s="12"/>
      <c r="B3931" s="12"/>
      <c r="C3931" s="12"/>
      <c r="D3931" s="12"/>
      <c r="E3931" s="12"/>
      <c r="F3931" s="7"/>
      <c r="G3931" s="12"/>
    </row>
    <row r="3932">
      <c r="A3932" s="12"/>
      <c r="B3932" s="12"/>
      <c r="C3932" s="12"/>
      <c r="D3932" s="12"/>
      <c r="E3932" s="12"/>
      <c r="F3932" s="7"/>
      <c r="G3932" s="12"/>
    </row>
    <row r="3933">
      <c r="A3933" s="12"/>
      <c r="B3933" s="12"/>
      <c r="C3933" s="12"/>
      <c r="D3933" s="12"/>
      <c r="E3933" s="12"/>
      <c r="F3933" s="7"/>
      <c r="G3933" s="12"/>
    </row>
    <row r="3934">
      <c r="A3934" s="12"/>
      <c r="B3934" s="12"/>
      <c r="C3934" s="12"/>
      <c r="D3934" s="12"/>
      <c r="E3934" s="12"/>
      <c r="F3934" s="7"/>
      <c r="G3934" s="12"/>
    </row>
    <row r="3935">
      <c r="A3935" s="12"/>
      <c r="B3935" s="12"/>
      <c r="C3935" s="12"/>
      <c r="D3935" s="12"/>
      <c r="E3935" s="12"/>
      <c r="F3935" s="7"/>
      <c r="G3935" s="12"/>
    </row>
    <row r="3936">
      <c r="A3936" s="12"/>
      <c r="B3936" s="12"/>
      <c r="C3936" s="12"/>
      <c r="D3936" s="12"/>
      <c r="E3936" s="12"/>
      <c r="F3936" s="7"/>
      <c r="G3936" s="12"/>
    </row>
    <row r="3937">
      <c r="A3937" s="12"/>
      <c r="B3937" s="12"/>
      <c r="C3937" s="12"/>
      <c r="D3937" s="12"/>
      <c r="E3937" s="12"/>
      <c r="F3937" s="7"/>
      <c r="G3937" s="12"/>
    </row>
    <row r="3938">
      <c r="A3938" s="12"/>
      <c r="B3938" s="12"/>
      <c r="C3938" s="12"/>
      <c r="D3938" s="12"/>
      <c r="E3938" s="12"/>
      <c r="F3938" s="7"/>
      <c r="G3938" s="12"/>
    </row>
    <row r="3939">
      <c r="A3939" s="12"/>
      <c r="B3939" s="12"/>
      <c r="C3939" s="12"/>
      <c r="D3939" s="12"/>
      <c r="E3939" s="12"/>
      <c r="F3939" s="7"/>
      <c r="G3939" s="12"/>
    </row>
    <row r="3940">
      <c r="A3940" s="12"/>
      <c r="B3940" s="12"/>
      <c r="C3940" s="12"/>
      <c r="D3940" s="12"/>
      <c r="E3940" s="12"/>
      <c r="F3940" s="7"/>
      <c r="G3940" s="12"/>
    </row>
    <row r="3941">
      <c r="A3941" s="12"/>
      <c r="B3941" s="12"/>
      <c r="C3941" s="12"/>
      <c r="D3941" s="12"/>
      <c r="E3941" s="12"/>
      <c r="F3941" s="12"/>
      <c r="G3941" s="12"/>
    </row>
    <row r="3942">
      <c r="A3942" s="12"/>
      <c r="B3942" s="12"/>
      <c r="C3942" s="12"/>
      <c r="D3942" s="12"/>
      <c r="E3942" s="12"/>
      <c r="F3942" s="12"/>
      <c r="G3942" s="12"/>
    </row>
    <row r="3943">
      <c r="A3943" s="12"/>
      <c r="B3943" s="12"/>
      <c r="C3943" s="12"/>
      <c r="D3943" s="12"/>
      <c r="E3943" s="12"/>
      <c r="F3943" s="12"/>
      <c r="G3943" s="12"/>
    </row>
    <row r="3944">
      <c r="A3944" s="12"/>
      <c r="B3944" s="12"/>
      <c r="C3944" s="12"/>
      <c r="D3944" s="12"/>
      <c r="E3944" s="12"/>
      <c r="F3944" s="12"/>
      <c r="G3944" s="12"/>
    </row>
    <row r="3945">
      <c r="A3945" s="12"/>
      <c r="B3945" s="12"/>
      <c r="C3945" s="12"/>
      <c r="D3945" s="12"/>
      <c r="E3945" s="12"/>
      <c r="F3945" s="12"/>
      <c r="G3945" s="12"/>
    </row>
    <row r="3946">
      <c r="A3946" s="12"/>
      <c r="B3946" s="12"/>
      <c r="C3946" s="12"/>
      <c r="D3946" s="12"/>
      <c r="E3946" s="12"/>
      <c r="F3946" s="12"/>
      <c r="G3946" s="12"/>
    </row>
    <row r="3947">
      <c r="A3947" s="12"/>
      <c r="B3947" s="12"/>
      <c r="C3947" s="12"/>
      <c r="D3947" s="12"/>
      <c r="E3947" s="12"/>
      <c r="F3947" s="12"/>
      <c r="G3947" s="12"/>
    </row>
    <row r="3948">
      <c r="A3948" s="12"/>
      <c r="B3948" s="12"/>
      <c r="C3948" s="12"/>
      <c r="D3948" s="12"/>
      <c r="E3948" s="12"/>
      <c r="F3948" s="12"/>
      <c r="G3948" s="12"/>
    </row>
    <row r="3949">
      <c r="A3949" s="12"/>
      <c r="B3949" s="12"/>
      <c r="C3949" s="12"/>
      <c r="D3949" s="12"/>
      <c r="E3949" s="12"/>
      <c r="F3949" s="12"/>
      <c r="G3949" s="12"/>
    </row>
    <row r="3950">
      <c r="A3950" s="12"/>
      <c r="B3950" s="12"/>
      <c r="C3950" s="12"/>
      <c r="D3950" s="12"/>
      <c r="E3950" s="12"/>
      <c r="F3950" s="12"/>
      <c r="G3950" s="12"/>
    </row>
    <row r="3951">
      <c r="A3951" s="12"/>
      <c r="B3951" s="12"/>
      <c r="C3951" s="12"/>
      <c r="D3951" s="12"/>
      <c r="E3951" s="12"/>
      <c r="F3951" s="12"/>
      <c r="G3951" s="12"/>
    </row>
    <row r="3952">
      <c r="A3952" s="12"/>
      <c r="B3952" s="12"/>
      <c r="C3952" s="12"/>
      <c r="D3952" s="12"/>
      <c r="E3952" s="12"/>
      <c r="F3952" s="12"/>
      <c r="G3952" s="12"/>
    </row>
    <row r="3953">
      <c r="A3953" s="12"/>
      <c r="B3953" s="12"/>
      <c r="C3953" s="12"/>
      <c r="D3953" s="12"/>
      <c r="E3953" s="12"/>
      <c r="F3953" s="12"/>
      <c r="G3953" s="12"/>
    </row>
    <row r="3954">
      <c r="A3954" s="12"/>
      <c r="B3954" s="12"/>
      <c r="C3954" s="12"/>
      <c r="D3954" s="12"/>
      <c r="E3954" s="12"/>
      <c r="F3954" s="12"/>
      <c r="G3954" s="12"/>
    </row>
    <row r="3955">
      <c r="A3955" s="12"/>
      <c r="B3955" s="12"/>
      <c r="C3955" s="12"/>
      <c r="D3955" s="12"/>
      <c r="E3955" s="12"/>
      <c r="F3955" s="12"/>
      <c r="G3955" s="12"/>
    </row>
    <row r="3956">
      <c r="A3956" s="12"/>
      <c r="B3956" s="12"/>
      <c r="C3956" s="12"/>
      <c r="D3956" s="12"/>
      <c r="E3956" s="12"/>
      <c r="F3956" s="12"/>
      <c r="G3956" s="12"/>
    </row>
    <row r="3957">
      <c r="A3957" s="12"/>
      <c r="B3957" s="12"/>
      <c r="C3957" s="12"/>
      <c r="D3957" s="12"/>
      <c r="E3957" s="12"/>
      <c r="F3957" s="12"/>
      <c r="G3957" s="12"/>
    </row>
    <row r="3958">
      <c r="A3958" s="12"/>
      <c r="B3958" s="12"/>
      <c r="C3958" s="12"/>
      <c r="D3958" s="12"/>
      <c r="E3958" s="12"/>
      <c r="F3958" s="12"/>
      <c r="G3958" s="12"/>
    </row>
    <row r="3959">
      <c r="A3959" s="12"/>
      <c r="B3959" s="12"/>
      <c r="C3959" s="12"/>
      <c r="D3959" s="12"/>
      <c r="E3959" s="12"/>
      <c r="F3959" s="12"/>
      <c r="G3959" s="12"/>
    </row>
    <row r="3960">
      <c r="A3960" s="12"/>
      <c r="B3960" s="12"/>
      <c r="C3960" s="12"/>
      <c r="D3960" s="12"/>
      <c r="E3960" s="12"/>
      <c r="F3960" s="12"/>
      <c r="G3960" s="12"/>
    </row>
    <row r="3961">
      <c r="A3961" s="12"/>
      <c r="B3961" s="12"/>
      <c r="C3961" s="12"/>
      <c r="D3961" s="12"/>
      <c r="E3961" s="12"/>
      <c r="F3961" s="12"/>
      <c r="G3961" s="12"/>
    </row>
    <row r="3962">
      <c r="A3962" s="12"/>
      <c r="B3962" s="12"/>
      <c r="C3962" s="12"/>
      <c r="D3962" s="12"/>
      <c r="E3962" s="12"/>
      <c r="F3962" s="12"/>
      <c r="G3962" s="12"/>
    </row>
    <row r="3963">
      <c r="A3963" s="4" t="s">
        <v>9751</v>
      </c>
      <c r="B3963" s="12"/>
      <c r="C3963" s="12"/>
      <c r="D3963" s="12"/>
      <c r="E3963" s="18"/>
      <c r="F3963" s="12"/>
      <c r="G3963" s="12"/>
    </row>
    <row r="3964">
      <c r="A3964" s="12" t="s">
        <v>9752</v>
      </c>
      <c r="E3964" s="18"/>
      <c r="F3964" s="12"/>
      <c r="G3964" s="12"/>
    </row>
    <row r="3965">
      <c r="A3965" s="12" t="s">
        <v>9753</v>
      </c>
      <c r="E3965" s="18"/>
      <c r="F3965" s="12"/>
      <c r="G3965" s="12"/>
    </row>
    <row r="3966">
      <c r="A3966" s="12" t="s">
        <v>9754</v>
      </c>
      <c r="E3966" s="18"/>
      <c r="F3966" s="12"/>
      <c r="G3966" s="12"/>
    </row>
    <row r="3967">
      <c r="A3967" s="12" t="s">
        <v>9755</v>
      </c>
      <c r="E3967" s="18"/>
      <c r="F3967" s="12"/>
      <c r="G3967" s="12"/>
    </row>
    <row r="3968">
      <c r="A3968" s="19" t="s">
        <v>9756</v>
      </c>
      <c r="E3968" s="18"/>
      <c r="F3968" s="12"/>
      <c r="G3968" s="12"/>
    </row>
    <row r="3969">
      <c r="A3969" s="12" t="s">
        <v>9757</v>
      </c>
      <c r="E3969" s="18"/>
      <c r="F3969" s="12"/>
      <c r="G3969" s="12"/>
    </row>
    <row r="3970">
      <c r="A3970" s="12" t="s">
        <v>9758</v>
      </c>
      <c r="F3970" s="12"/>
      <c r="G3970" s="12"/>
    </row>
    <row r="3971">
      <c r="A3971" s="12"/>
      <c r="B3971" s="12"/>
      <c r="C3971" s="12"/>
      <c r="D3971" s="12"/>
      <c r="E3971" s="12"/>
      <c r="F3971" s="12"/>
      <c r="G3971" s="12"/>
    </row>
    <row r="3972">
      <c r="A3972" s="4" t="s">
        <v>9759</v>
      </c>
      <c r="B3972" s="12" t="s">
        <v>9760</v>
      </c>
      <c r="F3972" s="12"/>
      <c r="G3972" s="12"/>
    </row>
    <row r="3973">
      <c r="A3973" s="12"/>
      <c r="B3973" s="12"/>
      <c r="C3973" s="12"/>
      <c r="D3973" s="12"/>
      <c r="E3973" s="12"/>
      <c r="F3973" s="12"/>
      <c r="G3973" s="12"/>
    </row>
    <row r="3974">
      <c r="A3974" s="12"/>
      <c r="B3974" s="12"/>
      <c r="C3974" s="12"/>
      <c r="D3974" s="12"/>
      <c r="E3974" s="12"/>
      <c r="F3974" s="12"/>
      <c r="G3974" s="12"/>
    </row>
    <row r="3975">
      <c r="A3975" s="12"/>
      <c r="B3975" s="12"/>
      <c r="C3975" s="12"/>
      <c r="D3975" s="12"/>
      <c r="E3975" s="12"/>
      <c r="F3975" s="12"/>
      <c r="G3975" s="12"/>
    </row>
    <row r="3976">
      <c r="A3976" s="12"/>
      <c r="B3976" s="12"/>
      <c r="C3976" s="12"/>
      <c r="D3976" s="12"/>
      <c r="E3976" s="12"/>
      <c r="F3976" s="12"/>
      <c r="G3976" s="12"/>
    </row>
    <row r="3977">
      <c r="A3977" s="12"/>
      <c r="B3977" s="12"/>
      <c r="C3977" s="12"/>
      <c r="D3977" s="12"/>
      <c r="E3977" s="12"/>
      <c r="F3977" s="12"/>
      <c r="G3977" s="12"/>
    </row>
    <row r="3978">
      <c r="A3978" s="12"/>
      <c r="B3978" s="12"/>
      <c r="C3978" s="12"/>
      <c r="D3978" s="12"/>
      <c r="E3978" s="12"/>
      <c r="F3978" s="12"/>
      <c r="G3978" s="12"/>
    </row>
    <row r="3979">
      <c r="A3979" s="12"/>
      <c r="B3979" s="12"/>
      <c r="C3979" s="12"/>
      <c r="D3979" s="12"/>
      <c r="E3979" s="12"/>
      <c r="F3979" s="12"/>
      <c r="G3979" s="12"/>
    </row>
  </sheetData>
  <customSheetViews>
    <customSheetView guid="{705FB94B-EA87-400D-9A2E-919DAA6F4CA6}" filter="1" showAutoFilter="1">
      <autoFilter ref="$A$6:$F$1127">
        <filterColumn colId="5">
          <filters>
            <filter val="No"/>
          </filters>
        </filterColumn>
      </autoFilter>
    </customSheetView>
    <customSheetView guid="{FF61C264-5AD6-4E52-A375-24B3E7A218D9}" filter="1" showAutoFilter="1">
      <autoFilter ref="$A$6:$G$1127">
        <filterColumn colId="5">
          <filters>
            <filter val="No"/>
          </filters>
        </filterColumn>
      </autoFilter>
    </customSheetView>
    <customSheetView guid="{7CE9DE67-5233-4F6F-8296-EFA207D141FA}" filter="1" showAutoFilter="1">
      <autoFilter ref="$A$4:$F$1142"/>
    </customSheetView>
    <customSheetView guid="{56B271B1-8627-46CB-92F6-9BD56F086148}" filter="1" showAutoFilter="1">
      <autoFilter ref="$B$1408:$G$3940">
        <filterColumn colId="5">
          <filters blank="1">
            <filter val="DIRECT"/>
            <filter val="NORMAL"/>
          </filters>
        </filterColumn>
      </autoFilter>
    </customSheetView>
  </customSheetViews>
  <mergeCells count="11">
    <mergeCell ref="A3968:D3968"/>
    <mergeCell ref="A3969:D3969"/>
    <mergeCell ref="A3970:E3970"/>
    <mergeCell ref="B3972:E3972"/>
    <mergeCell ref="A4:E4"/>
    <mergeCell ref="A1288:E1288"/>
    <mergeCell ref="A1407:E1407"/>
    <mergeCell ref="A3964:D3964"/>
    <mergeCell ref="A3965:D3965"/>
    <mergeCell ref="A3966:D3966"/>
    <mergeCell ref="A3967:D3967"/>
  </mergeCells>
  <hyperlinks>
    <hyperlink r:id="rId1" ref="A396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1">
      <c r="A1" s="10" t="s">
        <v>4</v>
      </c>
    </row>
    <row r="2">
      <c r="A2" s="10" t="s">
        <v>297</v>
      </c>
    </row>
    <row r="3">
      <c r="A3" s="10" t="s">
        <v>717</v>
      </c>
    </row>
    <row r="4">
      <c r="A4" s="10" t="s">
        <v>749</v>
      </c>
    </row>
    <row r="5">
      <c r="A5" s="10" t="s">
        <v>857</v>
      </c>
    </row>
    <row r="6">
      <c r="A6" s="10" t="s">
        <v>1363</v>
      </c>
    </row>
    <row r="7">
      <c r="A7" s="10" t="s">
        <v>1707</v>
      </c>
    </row>
    <row r="8">
      <c r="A8" s="10" t="s">
        <v>1725</v>
      </c>
    </row>
    <row r="9">
      <c r="A9" s="10" t="s">
        <v>1733</v>
      </c>
    </row>
    <row r="10">
      <c r="A10" s="10" t="s">
        <v>1805</v>
      </c>
    </row>
    <row r="11">
      <c r="A11" s="10" t="s">
        <v>9761</v>
      </c>
    </row>
    <row r="12">
      <c r="A12" s="10" t="s">
        <v>9762</v>
      </c>
    </row>
    <row r="13">
      <c r="A13" s="10" t="s">
        <v>2223</v>
      </c>
    </row>
    <row r="14">
      <c r="A14" s="10" t="s">
        <v>9763</v>
      </c>
    </row>
    <row r="15">
      <c r="A15" s="10" t="s">
        <v>9764</v>
      </c>
    </row>
    <row r="16">
      <c r="A16" s="10" t="s">
        <v>2641</v>
      </c>
    </row>
    <row r="17">
      <c r="A17" s="10" t="s">
        <v>2659</v>
      </c>
    </row>
    <row r="18">
      <c r="A18" s="10" t="s">
        <v>2661</v>
      </c>
    </row>
    <row r="19">
      <c r="A19" s="10" t="s">
        <v>2667</v>
      </c>
    </row>
    <row r="20">
      <c r="A20" s="10" t="s">
        <v>2673</v>
      </c>
    </row>
    <row r="21">
      <c r="A21" s="10" t="s">
        <v>2683</v>
      </c>
    </row>
    <row r="22">
      <c r="A22" s="10" t="s">
        <v>2703</v>
      </c>
    </row>
    <row r="23">
      <c r="A23" s="10" t="s">
        <v>2735</v>
      </c>
    </row>
    <row r="24">
      <c r="A24" s="10" t="s">
        <v>2751</v>
      </c>
    </row>
    <row r="25">
      <c r="A25" s="10" t="s">
        <v>9765</v>
      </c>
    </row>
    <row r="26">
      <c r="A26" s="10" t="s">
        <v>2767</v>
      </c>
    </row>
    <row r="27">
      <c r="A27" s="10" t="s">
        <v>2777</v>
      </c>
    </row>
    <row r="28">
      <c r="A28" s="10" t="s">
        <v>2779</v>
      </c>
    </row>
    <row r="29">
      <c r="A29" s="10" t="s">
        <v>9766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7.38"/>
    <col customWidth="1" min="4" max="4" width="60.88"/>
    <col customWidth="1" min="5" max="5" width="29.63"/>
    <col customWidth="1" min="6" max="6" width="21.38"/>
  </cols>
  <sheetData>
    <row r="1">
      <c r="A1" s="3" t="s">
        <v>0</v>
      </c>
      <c r="G1" s="2"/>
      <c r="H1" s="2"/>
      <c r="I1" s="2"/>
      <c r="J1" s="2"/>
      <c r="K1" s="2"/>
      <c r="L1" s="2"/>
      <c r="M1" s="2"/>
      <c r="N1" s="2"/>
      <c r="O1" s="2"/>
      <c r="P1" s="2"/>
      <c r="Q1" s="2"/>
      <c r="R1" s="2"/>
      <c r="S1" s="2"/>
      <c r="T1" s="2"/>
      <c r="U1" s="2"/>
      <c r="V1" s="2"/>
      <c r="W1" s="2"/>
      <c r="X1" s="2"/>
      <c r="Y1" s="2"/>
      <c r="Z1" s="2"/>
      <c r="AA1" s="2"/>
    </row>
    <row r="2">
      <c r="A2" s="4" t="s">
        <v>9767</v>
      </c>
      <c r="G2" s="2"/>
      <c r="H2" s="2"/>
      <c r="I2" s="2"/>
      <c r="J2" s="2"/>
      <c r="K2" s="2"/>
      <c r="L2" s="2"/>
      <c r="M2" s="2"/>
      <c r="N2" s="2"/>
      <c r="O2" s="2"/>
      <c r="P2" s="2"/>
      <c r="Q2" s="2"/>
      <c r="R2" s="2"/>
      <c r="S2" s="2"/>
      <c r="T2" s="2"/>
      <c r="U2" s="2"/>
      <c r="V2" s="2"/>
      <c r="W2" s="2"/>
      <c r="X2" s="2"/>
      <c r="Y2" s="2"/>
      <c r="Z2" s="2"/>
      <c r="AA2" s="2"/>
    </row>
    <row r="3">
      <c r="A3" s="4" t="s">
        <v>2</v>
      </c>
      <c r="B3" s="4" t="s">
        <v>3</v>
      </c>
      <c r="C3" s="4" t="s">
        <v>4</v>
      </c>
      <c r="D3" s="5" t="s">
        <v>2569</v>
      </c>
      <c r="E3" s="4" t="s">
        <v>6</v>
      </c>
      <c r="F3" s="6" t="s">
        <v>7</v>
      </c>
      <c r="G3" s="2"/>
      <c r="H3" s="2"/>
      <c r="I3" s="2"/>
      <c r="J3" s="2"/>
      <c r="K3" s="2"/>
      <c r="L3" s="2"/>
      <c r="M3" s="2"/>
      <c r="N3" s="2"/>
      <c r="O3" s="2"/>
      <c r="P3" s="2"/>
      <c r="Q3" s="2"/>
      <c r="R3" s="2"/>
      <c r="S3" s="2"/>
      <c r="T3" s="2"/>
      <c r="U3" s="2"/>
      <c r="V3" s="2"/>
      <c r="W3" s="2"/>
      <c r="X3" s="2"/>
      <c r="Y3" s="2"/>
      <c r="Z3" s="2"/>
      <c r="AA3" s="2"/>
    </row>
    <row r="4">
      <c r="A4" s="11">
        <v>1.0</v>
      </c>
      <c r="B4" s="12" t="s">
        <v>9768</v>
      </c>
      <c r="C4" s="12" t="s">
        <v>9769</v>
      </c>
      <c r="D4" s="12">
        <v>12.5</v>
      </c>
      <c r="E4" s="7">
        <f t="shared" ref="E4:E12" si="1">100-D4</f>
        <v>87.5</v>
      </c>
      <c r="F4" s="16" t="s">
        <v>217</v>
      </c>
      <c r="G4" s="2"/>
      <c r="H4" s="2"/>
      <c r="I4" s="2"/>
      <c r="J4" s="2"/>
      <c r="K4" s="2"/>
      <c r="L4" s="2"/>
      <c r="M4" s="2"/>
      <c r="N4" s="2"/>
      <c r="O4" s="2"/>
      <c r="P4" s="2"/>
      <c r="Q4" s="2"/>
      <c r="R4" s="2"/>
      <c r="S4" s="2"/>
      <c r="T4" s="2"/>
      <c r="U4" s="2"/>
      <c r="V4" s="2"/>
      <c r="W4" s="2"/>
      <c r="X4" s="2"/>
      <c r="Y4" s="2"/>
      <c r="Z4" s="2"/>
      <c r="AA4" s="2"/>
    </row>
    <row r="5">
      <c r="A5" s="11">
        <v>2.0</v>
      </c>
      <c r="B5" s="12" t="s">
        <v>9770</v>
      </c>
      <c r="C5" s="12" t="s">
        <v>9771</v>
      </c>
      <c r="D5" s="12">
        <v>8.0</v>
      </c>
      <c r="E5" s="7">
        <f t="shared" si="1"/>
        <v>92</v>
      </c>
      <c r="F5" s="16" t="s">
        <v>10</v>
      </c>
      <c r="G5" s="2"/>
      <c r="H5" s="2"/>
      <c r="I5" s="2"/>
      <c r="J5" s="2"/>
      <c r="K5" s="2"/>
      <c r="L5" s="2"/>
      <c r="M5" s="2"/>
      <c r="N5" s="2"/>
      <c r="O5" s="2"/>
      <c r="P5" s="2"/>
      <c r="Q5" s="2"/>
      <c r="R5" s="2"/>
      <c r="S5" s="2"/>
      <c r="T5" s="2"/>
      <c r="U5" s="2"/>
      <c r="V5" s="2"/>
      <c r="W5" s="2"/>
      <c r="X5" s="2"/>
      <c r="Y5" s="2"/>
      <c r="Z5" s="2"/>
      <c r="AA5" s="2"/>
    </row>
    <row r="6">
      <c r="A6" s="11">
        <v>3.0</v>
      </c>
      <c r="B6" s="12" t="s">
        <v>9772</v>
      </c>
      <c r="C6" s="12" t="s">
        <v>9773</v>
      </c>
      <c r="D6" s="12">
        <v>8.0</v>
      </c>
      <c r="E6" s="7">
        <f t="shared" si="1"/>
        <v>92</v>
      </c>
      <c r="F6" s="16" t="s">
        <v>217</v>
      </c>
      <c r="G6" s="2"/>
      <c r="H6" s="2"/>
      <c r="I6" s="2"/>
      <c r="J6" s="2"/>
      <c r="K6" s="2"/>
      <c r="L6" s="2"/>
      <c r="M6" s="2"/>
      <c r="N6" s="2"/>
      <c r="O6" s="2"/>
      <c r="P6" s="2"/>
      <c r="Q6" s="2"/>
      <c r="R6" s="2"/>
      <c r="S6" s="2"/>
      <c r="T6" s="2"/>
      <c r="U6" s="2"/>
      <c r="V6" s="2"/>
      <c r="W6" s="2"/>
      <c r="X6" s="2"/>
      <c r="Y6" s="2"/>
      <c r="Z6" s="2"/>
      <c r="AA6" s="2"/>
    </row>
    <row r="7">
      <c r="A7" s="11">
        <v>4.0</v>
      </c>
      <c r="B7" s="12" t="s">
        <v>9774</v>
      </c>
      <c r="C7" s="12" t="s">
        <v>9775</v>
      </c>
      <c r="D7" s="12">
        <v>8.0</v>
      </c>
      <c r="E7" s="7">
        <f t="shared" si="1"/>
        <v>92</v>
      </c>
      <c r="F7" s="16" t="s">
        <v>10</v>
      </c>
      <c r="G7" s="2"/>
      <c r="H7" s="2"/>
      <c r="I7" s="2"/>
      <c r="J7" s="2"/>
      <c r="K7" s="2"/>
      <c r="L7" s="2"/>
      <c r="M7" s="2"/>
      <c r="N7" s="2"/>
      <c r="O7" s="2"/>
      <c r="P7" s="2"/>
      <c r="Q7" s="2"/>
      <c r="R7" s="2"/>
      <c r="S7" s="2"/>
      <c r="T7" s="2"/>
      <c r="U7" s="2"/>
      <c r="V7" s="2"/>
      <c r="W7" s="2"/>
      <c r="X7" s="2"/>
      <c r="Y7" s="2"/>
      <c r="Z7" s="2"/>
      <c r="AA7" s="2"/>
    </row>
    <row r="8">
      <c r="A8" s="20">
        <v>5.0</v>
      </c>
      <c r="B8" s="12" t="s">
        <v>9776</v>
      </c>
      <c r="C8" s="12" t="s">
        <v>9777</v>
      </c>
      <c r="D8" s="12">
        <v>8.0</v>
      </c>
      <c r="E8" s="7">
        <f t="shared" si="1"/>
        <v>92</v>
      </c>
      <c r="F8" s="16" t="s">
        <v>10</v>
      </c>
      <c r="G8" s="2"/>
      <c r="H8" s="2"/>
      <c r="I8" s="2"/>
      <c r="J8" s="2"/>
      <c r="K8" s="2"/>
      <c r="L8" s="2"/>
      <c r="M8" s="2"/>
      <c r="N8" s="2"/>
      <c r="O8" s="2"/>
      <c r="P8" s="2"/>
      <c r="Q8" s="2"/>
      <c r="R8" s="2"/>
      <c r="S8" s="2"/>
      <c r="T8" s="2"/>
      <c r="U8" s="2"/>
      <c r="V8" s="2"/>
      <c r="W8" s="2"/>
      <c r="X8" s="2"/>
      <c r="Y8" s="2"/>
      <c r="Z8" s="2"/>
      <c r="AA8" s="2"/>
    </row>
    <row r="9">
      <c r="A9" s="11">
        <v>6.0</v>
      </c>
      <c r="B9" s="12" t="s">
        <v>9778</v>
      </c>
      <c r="C9" s="12" t="s">
        <v>9766</v>
      </c>
      <c r="D9" s="12">
        <v>8.0</v>
      </c>
      <c r="E9" s="7">
        <f t="shared" si="1"/>
        <v>92</v>
      </c>
      <c r="F9" s="16" t="s">
        <v>217</v>
      </c>
      <c r="G9" s="2"/>
      <c r="H9" s="2"/>
      <c r="I9" s="2"/>
      <c r="J9" s="2"/>
      <c r="K9" s="2"/>
      <c r="L9" s="2"/>
      <c r="M9" s="2"/>
      <c r="N9" s="2"/>
      <c r="O9" s="2"/>
      <c r="P9" s="2"/>
      <c r="Q9" s="2"/>
      <c r="R9" s="2"/>
      <c r="S9" s="2"/>
      <c r="T9" s="2"/>
      <c r="U9" s="2"/>
      <c r="V9" s="2"/>
      <c r="W9" s="2"/>
      <c r="X9" s="2"/>
      <c r="Y9" s="2"/>
      <c r="Z9" s="2"/>
      <c r="AA9" s="2"/>
    </row>
    <row r="10">
      <c r="A10" s="11">
        <v>7.0</v>
      </c>
      <c r="B10" s="12" t="s">
        <v>9779</v>
      </c>
      <c r="C10" s="12" t="s">
        <v>9780</v>
      </c>
      <c r="D10" s="12">
        <v>12.5</v>
      </c>
      <c r="E10" s="7">
        <f t="shared" si="1"/>
        <v>87.5</v>
      </c>
      <c r="F10" s="16" t="s">
        <v>217</v>
      </c>
      <c r="G10" s="2"/>
      <c r="H10" s="2"/>
      <c r="I10" s="2"/>
      <c r="J10" s="2"/>
      <c r="K10" s="2"/>
      <c r="L10" s="2"/>
      <c r="M10" s="2"/>
      <c r="N10" s="2"/>
      <c r="O10" s="2"/>
      <c r="P10" s="2"/>
      <c r="Q10" s="2"/>
      <c r="R10" s="2"/>
      <c r="S10" s="2"/>
      <c r="T10" s="2"/>
      <c r="U10" s="2"/>
      <c r="V10" s="2"/>
      <c r="W10" s="2"/>
      <c r="X10" s="2"/>
      <c r="Y10" s="2"/>
      <c r="Z10" s="2"/>
      <c r="AA10" s="2"/>
    </row>
    <row r="11">
      <c r="A11" s="11">
        <v>8.0</v>
      </c>
      <c r="B11" s="12" t="s">
        <v>9781</v>
      </c>
      <c r="C11" s="12" t="s">
        <v>9782</v>
      </c>
      <c r="D11" s="7">
        <v>12.5</v>
      </c>
      <c r="E11" s="7">
        <f t="shared" si="1"/>
        <v>87.5</v>
      </c>
      <c r="F11" s="16" t="s">
        <v>217</v>
      </c>
      <c r="G11" s="2"/>
      <c r="H11" s="2"/>
      <c r="I11" s="2"/>
      <c r="J11" s="2"/>
      <c r="K11" s="2"/>
      <c r="L11" s="2"/>
      <c r="M11" s="2"/>
      <c r="N11" s="2"/>
      <c r="O11" s="2"/>
      <c r="P11" s="2"/>
      <c r="Q11" s="2"/>
      <c r="R11" s="2"/>
      <c r="S11" s="2"/>
      <c r="T11" s="2"/>
      <c r="U11" s="2"/>
      <c r="V11" s="2"/>
      <c r="W11" s="2"/>
      <c r="X11" s="2"/>
      <c r="Y11" s="2"/>
      <c r="Z11" s="2"/>
      <c r="AA11" s="2"/>
    </row>
    <row r="12">
      <c r="A12" s="11">
        <v>9.0</v>
      </c>
      <c r="B12" s="17" t="s">
        <v>9783</v>
      </c>
      <c r="C12" s="17" t="s">
        <v>9784</v>
      </c>
      <c r="D12" s="16">
        <v>8.0</v>
      </c>
      <c r="E12" s="7">
        <f t="shared" si="1"/>
        <v>92</v>
      </c>
      <c r="F12" s="16" t="s">
        <v>217</v>
      </c>
      <c r="G12" s="2"/>
      <c r="H12" s="2"/>
      <c r="I12" s="2"/>
      <c r="J12" s="2"/>
      <c r="K12" s="2"/>
      <c r="L12" s="2"/>
      <c r="M12" s="2"/>
      <c r="N12" s="2"/>
      <c r="O12" s="2"/>
      <c r="P12" s="2"/>
      <c r="Q12" s="2"/>
      <c r="R12" s="2"/>
      <c r="S12" s="2"/>
      <c r="T12" s="2"/>
      <c r="U12" s="2"/>
      <c r="V12" s="2"/>
      <c r="W12" s="2"/>
      <c r="X12" s="2"/>
      <c r="Y12" s="2"/>
      <c r="Z12" s="2"/>
      <c r="AA12" s="2"/>
    </row>
    <row r="13">
      <c r="A13" s="11"/>
      <c r="B13" s="2"/>
      <c r="C13" s="2"/>
      <c r="D13" s="7"/>
      <c r="E13" s="7"/>
      <c r="F13" s="7"/>
      <c r="G13" s="2"/>
      <c r="H13" s="2"/>
      <c r="I13" s="2"/>
      <c r="J13" s="2"/>
      <c r="K13" s="2"/>
      <c r="L13" s="2"/>
      <c r="M13" s="2"/>
      <c r="N13" s="2"/>
      <c r="O13" s="2"/>
      <c r="P13" s="2"/>
      <c r="Q13" s="2"/>
      <c r="R13" s="2"/>
      <c r="S13" s="2"/>
      <c r="T13" s="2"/>
      <c r="U13" s="2"/>
      <c r="V13" s="2"/>
      <c r="W13" s="2"/>
      <c r="X13" s="2"/>
      <c r="Y13" s="2"/>
      <c r="Z13" s="2"/>
      <c r="AA13" s="2"/>
    </row>
    <row r="14">
      <c r="A14" s="11"/>
      <c r="B14" s="2"/>
      <c r="C14" s="2"/>
      <c r="D14" s="7"/>
      <c r="E14" s="7"/>
      <c r="F14" s="7"/>
      <c r="G14" s="2"/>
      <c r="H14" s="2"/>
      <c r="I14" s="2"/>
      <c r="J14" s="2"/>
      <c r="K14" s="2"/>
      <c r="L14" s="2"/>
      <c r="M14" s="2"/>
      <c r="N14" s="2"/>
      <c r="O14" s="2"/>
      <c r="P14" s="2"/>
      <c r="Q14" s="2"/>
      <c r="R14" s="2"/>
      <c r="S14" s="2"/>
      <c r="T14" s="2"/>
      <c r="U14" s="2"/>
      <c r="V14" s="2"/>
      <c r="W14" s="2"/>
      <c r="X14" s="2"/>
      <c r="Y14" s="2"/>
      <c r="Z14" s="2"/>
      <c r="AA14" s="2"/>
    </row>
    <row r="15">
      <c r="A15" s="14" t="s">
        <v>9785</v>
      </c>
      <c r="G15" s="2"/>
      <c r="H15" s="2"/>
      <c r="I15" s="2"/>
      <c r="J15" s="2"/>
      <c r="K15" s="2"/>
      <c r="L15" s="2"/>
      <c r="M15" s="2"/>
      <c r="N15" s="2"/>
      <c r="O15" s="2"/>
      <c r="P15" s="2"/>
      <c r="Q15" s="2"/>
      <c r="R15" s="2"/>
      <c r="S15" s="2"/>
      <c r="T15" s="2"/>
      <c r="U15" s="2"/>
      <c r="V15" s="2"/>
      <c r="W15" s="2"/>
      <c r="X15" s="2"/>
      <c r="Y15" s="2"/>
      <c r="Z15" s="2"/>
      <c r="AA15" s="2"/>
    </row>
    <row r="16">
      <c r="A16" s="4" t="s">
        <v>2</v>
      </c>
      <c r="B16" s="4" t="s">
        <v>3</v>
      </c>
      <c r="C16" s="21" t="s">
        <v>4</v>
      </c>
      <c r="D16" s="15" t="s">
        <v>2799</v>
      </c>
      <c r="E16" s="5" t="s">
        <v>2569</v>
      </c>
      <c r="F16" s="4" t="s">
        <v>6</v>
      </c>
      <c r="G16" s="13" t="s">
        <v>2801</v>
      </c>
      <c r="H16" s="2"/>
      <c r="I16" s="2"/>
      <c r="J16" s="2"/>
      <c r="K16" s="2"/>
      <c r="L16" s="2"/>
      <c r="M16" s="2"/>
      <c r="N16" s="2"/>
      <c r="O16" s="2"/>
      <c r="P16" s="2"/>
      <c r="Q16" s="2"/>
      <c r="R16" s="2"/>
      <c r="S16" s="2"/>
      <c r="T16" s="2"/>
      <c r="U16" s="2"/>
      <c r="V16" s="2"/>
      <c r="W16" s="2"/>
      <c r="X16" s="2"/>
      <c r="Y16" s="2"/>
      <c r="Z16" s="2"/>
      <c r="AA16" s="2"/>
    </row>
    <row r="17">
      <c r="A17" s="11">
        <v>1.0</v>
      </c>
      <c r="B17" s="17" t="s">
        <v>9786</v>
      </c>
      <c r="C17" s="17" t="s">
        <v>9787</v>
      </c>
      <c r="D17" s="17" t="s">
        <v>9788</v>
      </c>
      <c r="E17" s="12">
        <v>10.0</v>
      </c>
      <c r="F17" s="7">
        <f t="shared" ref="F17:F363" si="2">100-E17</f>
        <v>90</v>
      </c>
      <c r="G17" s="17" t="s">
        <v>2804</v>
      </c>
      <c r="H17" s="2"/>
      <c r="I17" s="2"/>
      <c r="J17" s="2"/>
      <c r="K17" s="2"/>
      <c r="L17" s="2"/>
      <c r="M17" s="2"/>
      <c r="N17" s="2"/>
      <c r="O17" s="2"/>
      <c r="P17" s="2"/>
      <c r="Q17" s="2"/>
      <c r="R17" s="2"/>
      <c r="S17" s="2"/>
      <c r="T17" s="2"/>
      <c r="U17" s="2"/>
      <c r="V17" s="2"/>
      <c r="W17" s="2"/>
      <c r="X17" s="2"/>
      <c r="Y17" s="2"/>
      <c r="Z17" s="2"/>
      <c r="AA17" s="2"/>
    </row>
    <row r="18">
      <c r="A18" s="11">
        <v>2.0</v>
      </c>
      <c r="B18" s="17" t="s">
        <v>9789</v>
      </c>
      <c r="C18" s="17" t="s">
        <v>9790</v>
      </c>
      <c r="D18" s="17" t="s">
        <v>9791</v>
      </c>
      <c r="E18" s="12">
        <v>10.0</v>
      </c>
      <c r="F18" s="7">
        <f t="shared" si="2"/>
        <v>90</v>
      </c>
      <c r="G18" s="17" t="s">
        <v>2804</v>
      </c>
      <c r="H18" s="2"/>
      <c r="I18" s="2"/>
      <c r="J18" s="2"/>
      <c r="K18" s="2"/>
      <c r="L18" s="2"/>
      <c r="M18" s="2"/>
      <c r="N18" s="2"/>
      <c r="O18" s="2"/>
      <c r="P18" s="2"/>
      <c r="Q18" s="2"/>
      <c r="R18" s="2"/>
      <c r="S18" s="2"/>
      <c r="T18" s="2"/>
      <c r="U18" s="2"/>
      <c r="V18" s="2"/>
      <c r="W18" s="2"/>
      <c r="X18" s="2"/>
      <c r="Y18" s="2"/>
      <c r="Z18" s="2"/>
      <c r="AA18" s="2"/>
    </row>
    <row r="19">
      <c r="A19" s="11">
        <v>3.0</v>
      </c>
      <c r="B19" s="17" t="s">
        <v>9792</v>
      </c>
      <c r="C19" s="17" t="s">
        <v>9793</v>
      </c>
      <c r="D19" s="17" t="s">
        <v>9794</v>
      </c>
      <c r="E19" s="12">
        <v>10.0</v>
      </c>
      <c r="F19" s="7">
        <f t="shared" si="2"/>
        <v>90</v>
      </c>
      <c r="G19" s="17" t="s">
        <v>2804</v>
      </c>
      <c r="H19" s="2"/>
      <c r="I19" s="2"/>
      <c r="J19" s="2"/>
      <c r="K19" s="2"/>
      <c r="L19" s="2"/>
      <c r="M19" s="2"/>
      <c r="N19" s="2"/>
      <c r="O19" s="2"/>
      <c r="P19" s="2"/>
      <c r="Q19" s="2"/>
      <c r="R19" s="2"/>
      <c r="S19" s="2"/>
      <c r="T19" s="2"/>
      <c r="U19" s="2"/>
      <c r="V19" s="2"/>
      <c r="W19" s="2"/>
      <c r="X19" s="2"/>
      <c r="Y19" s="2"/>
      <c r="Z19" s="2"/>
      <c r="AA19" s="2"/>
    </row>
    <row r="20">
      <c r="A20" s="11">
        <v>4.0</v>
      </c>
      <c r="B20" s="17" t="s">
        <v>9795</v>
      </c>
      <c r="C20" s="17" t="s">
        <v>9796</v>
      </c>
      <c r="D20" s="17" t="s">
        <v>9797</v>
      </c>
      <c r="E20" s="12">
        <v>10.0</v>
      </c>
      <c r="F20" s="7">
        <f t="shared" si="2"/>
        <v>90</v>
      </c>
      <c r="G20" s="17" t="s">
        <v>2804</v>
      </c>
      <c r="H20" s="2"/>
      <c r="I20" s="2"/>
      <c r="J20" s="2"/>
      <c r="K20" s="2"/>
      <c r="L20" s="2"/>
      <c r="M20" s="2"/>
      <c r="N20" s="2"/>
      <c r="O20" s="2"/>
      <c r="P20" s="2"/>
      <c r="Q20" s="2"/>
      <c r="R20" s="2"/>
      <c r="S20" s="2"/>
      <c r="T20" s="2"/>
      <c r="U20" s="2"/>
      <c r="V20" s="2"/>
      <c r="W20" s="2"/>
      <c r="X20" s="2"/>
      <c r="Y20" s="2"/>
      <c r="Z20" s="2"/>
      <c r="AA20" s="2"/>
    </row>
    <row r="21">
      <c r="A21" s="11">
        <v>5.0</v>
      </c>
      <c r="B21" s="17" t="s">
        <v>9798</v>
      </c>
      <c r="C21" s="17" t="s">
        <v>9799</v>
      </c>
      <c r="D21" s="17" t="s">
        <v>9800</v>
      </c>
      <c r="E21" s="12">
        <v>10.0</v>
      </c>
      <c r="F21" s="7">
        <f t="shared" si="2"/>
        <v>90</v>
      </c>
      <c r="G21" s="17" t="s">
        <v>2804</v>
      </c>
      <c r="H21" s="2"/>
      <c r="I21" s="2"/>
      <c r="J21" s="2"/>
      <c r="K21" s="2"/>
      <c r="L21" s="2"/>
      <c r="M21" s="2"/>
      <c r="N21" s="2"/>
      <c r="O21" s="2"/>
      <c r="P21" s="2"/>
      <c r="Q21" s="2"/>
      <c r="R21" s="2"/>
      <c r="S21" s="2"/>
      <c r="T21" s="2"/>
      <c r="U21" s="2"/>
      <c r="V21" s="2"/>
      <c r="W21" s="2"/>
      <c r="X21" s="2"/>
      <c r="Y21" s="2"/>
      <c r="Z21" s="2"/>
      <c r="AA21" s="2"/>
    </row>
    <row r="22">
      <c r="A22" s="11">
        <v>6.0</v>
      </c>
      <c r="B22" s="17" t="s">
        <v>9801</v>
      </c>
      <c r="C22" s="17" t="s">
        <v>9802</v>
      </c>
      <c r="D22" s="17" t="s">
        <v>9803</v>
      </c>
      <c r="E22" s="12">
        <v>10.0</v>
      </c>
      <c r="F22" s="7">
        <f t="shared" si="2"/>
        <v>90</v>
      </c>
      <c r="G22" s="17" t="s">
        <v>2804</v>
      </c>
      <c r="H22" s="2"/>
      <c r="I22" s="2"/>
      <c r="J22" s="2"/>
      <c r="K22" s="2"/>
      <c r="L22" s="2"/>
      <c r="M22" s="2"/>
      <c r="N22" s="2"/>
      <c r="O22" s="2"/>
      <c r="P22" s="2"/>
      <c r="Q22" s="2"/>
      <c r="R22" s="2"/>
      <c r="S22" s="2"/>
      <c r="T22" s="2"/>
      <c r="U22" s="2"/>
      <c r="V22" s="2"/>
      <c r="W22" s="2"/>
      <c r="X22" s="2"/>
      <c r="Y22" s="2"/>
      <c r="Z22" s="2"/>
      <c r="AA22" s="2"/>
    </row>
    <row r="23">
      <c r="A23" s="11">
        <v>7.0</v>
      </c>
      <c r="B23" s="17" t="s">
        <v>9804</v>
      </c>
      <c r="C23" s="17" t="s">
        <v>9805</v>
      </c>
      <c r="D23" s="17" t="s">
        <v>9806</v>
      </c>
      <c r="E23" s="12">
        <v>10.0</v>
      </c>
      <c r="F23" s="7">
        <f t="shared" si="2"/>
        <v>90</v>
      </c>
      <c r="G23" s="17" t="s">
        <v>2804</v>
      </c>
      <c r="H23" s="2"/>
      <c r="I23" s="2"/>
      <c r="J23" s="2"/>
      <c r="K23" s="2"/>
      <c r="L23" s="2"/>
      <c r="M23" s="2"/>
      <c r="N23" s="2"/>
      <c r="O23" s="2"/>
      <c r="P23" s="2"/>
      <c r="Q23" s="2"/>
      <c r="R23" s="2"/>
      <c r="S23" s="2"/>
      <c r="T23" s="2"/>
      <c r="U23" s="2"/>
      <c r="V23" s="2"/>
      <c r="W23" s="2"/>
      <c r="X23" s="2"/>
      <c r="Y23" s="2"/>
      <c r="Z23" s="2"/>
      <c r="AA23" s="2"/>
    </row>
    <row r="24">
      <c r="A24" s="11">
        <v>8.0</v>
      </c>
      <c r="B24" s="17" t="s">
        <v>9807</v>
      </c>
      <c r="C24" s="17" t="s">
        <v>9808</v>
      </c>
      <c r="D24" s="17" t="s">
        <v>9806</v>
      </c>
      <c r="E24" s="12">
        <v>10.0</v>
      </c>
      <c r="F24" s="7">
        <f t="shared" si="2"/>
        <v>90</v>
      </c>
      <c r="G24" s="17" t="s">
        <v>2804</v>
      </c>
      <c r="H24" s="2"/>
      <c r="I24" s="2"/>
      <c r="J24" s="2"/>
      <c r="K24" s="2"/>
      <c r="L24" s="2"/>
      <c r="M24" s="2"/>
      <c r="N24" s="2"/>
      <c r="O24" s="2"/>
      <c r="P24" s="2"/>
      <c r="Q24" s="2"/>
      <c r="R24" s="2"/>
      <c r="S24" s="2"/>
      <c r="T24" s="2"/>
      <c r="U24" s="2"/>
      <c r="V24" s="2"/>
      <c r="W24" s="2"/>
      <c r="X24" s="2"/>
      <c r="Y24" s="2"/>
      <c r="Z24" s="2"/>
      <c r="AA24" s="2"/>
    </row>
    <row r="25">
      <c r="A25" s="11">
        <v>9.0</v>
      </c>
      <c r="B25" s="17" t="s">
        <v>9809</v>
      </c>
      <c r="C25" s="17" t="s">
        <v>9810</v>
      </c>
      <c r="D25" s="17" t="s">
        <v>9811</v>
      </c>
      <c r="E25" s="12">
        <v>10.0</v>
      </c>
      <c r="F25" s="7">
        <f t="shared" si="2"/>
        <v>90</v>
      </c>
      <c r="G25" s="17" t="s">
        <v>2804</v>
      </c>
      <c r="H25" s="2"/>
      <c r="I25" s="2"/>
      <c r="J25" s="2"/>
      <c r="K25" s="2"/>
      <c r="L25" s="2"/>
      <c r="M25" s="2"/>
      <c r="N25" s="2"/>
      <c r="O25" s="2"/>
      <c r="P25" s="2"/>
      <c r="Q25" s="2"/>
      <c r="R25" s="2"/>
      <c r="S25" s="2"/>
      <c r="T25" s="2"/>
      <c r="U25" s="2"/>
      <c r="V25" s="2"/>
      <c r="W25" s="2"/>
      <c r="X25" s="2"/>
      <c r="Y25" s="2"/>
      <c r="Z25" s="2"/>
      <c r="AA25" s="2"/>
    </row>
    <row r="26">
      <c r="A26" s="11">
        <v>10.0</v>
      </c>
      <c r="B26" s="17" t="s">
        <v>9812</v>
      </c>
      <c r="C26" s="17" t="s">
        <v>9813</v>
      </c>
      <c r="D26" s="17" t="s">
        <v>9814</v>
      </c>
      <c r="E26" s="12">
        <v>10.0</v>
      </c>
      <c r="F26" s="7">
        <f t="shared" si="2"/>
        <v>90</v>
      </c>
      <c r="G26" s="17" t="s">
        <v>2804</v>
      </c>
      <c r="H26" s="2"/>
      <c r="I26" s="2"/>
      <c r="J26" s="2"/>
      <c r="K26" s="2"/>
      <c r="L26" s="2"/>
      <c r="M26" s="2"/>
      <c r="N26" s="2"/>
      <c r="O26" s="2"/>
      <c r="P26" s="2"/>
      <c r="Q26" s="2"/>
      <c r="R26" s="2"/>
      <c r="S26" s="2"/>
      <c r="T26" s="2"/>
      <c r="U26" s="2"/>
      <c r="V26" s="2"/>
      <c r="W26" s="2"/>
      <c r="X26" s="2"/>
      <c r="Y26" s="2"/>
      <c r="Z26" s="2"/>
      <c r="AA26" s="2"/>
    </row>
    <row r="27">
      <c r="A27" s="11">
        <v>11.0</v>
      </c>
      <c r="B27" s="17" t="s">
        <v>9815</v>
      </c>
      <c r="C27" s="17" t="s">
        <v>9816</v>
      </c>
      <c r="D27" s="17" t="s">
        <v>9817</v>
      </c>
      <c r="E27" s="12">
        <v>10.0</v>
      </c>
      <c r="F27" s="7">
        <f t="shared" si="2"/>
        <v>90</v>
      </c>
      <c r="G27" s="17" t="s">
        <v>2804</v>
      </c>
      <c r="H27" s="2"/>
      <c r="I27" s="2"/>
      <c r="J27" s="2"/>
      <c r="K27" s="2"/>
      <c r="L27" s="2"/>
      <c r="M27" s="2"/>
      <c r="N27" s="2"/>
      <c r="O27" s="2"/>
      <c r="P27" s="2"/>
      <c r="Q27" s="2"/>
      <c r="R27" s="2"/>
      <c r="S27" s="2"/>
      <c r="T27" s="2"/>
      <c r="U27" s="2"/>
      <c r="V27" s="2"/>
      <c r="W27" s="2"/>
      <c r="X27" s="2"/>
      <c r="Y27" s="2"/>
      <c r="Z27" s="2"/>
      <c r="AA27" s="2"/>
    </row>
    <row r="28">
      <c r="A28" s="11">
        <v>12.0</v>
      </c>
      <c r="B28" s="17" t="s">
        <v>9818</v>
      </c>
      <c r="C28" s="17" t="s">
        <v>9819</v>
      </c>
      <c r="D28" s="17" t="s">
        <v>9820</v>
      </c>
      <c r="E28" s="12">
        <v>10.0</v>
      </c>
      <c r="F28" s="7">
        <f t="shared" si="2"/>
        <v>90</v>
      </c>
      <c r="G28" s="17" t="s">
        <v>2804</v>
      </c>
      <c r="H28" s="2"/>
      <c r="I28" s="2"/>
      <c r="J28" s="2"/>
      <c r="K28" s="2"/>
      <c r="L28" s="2"/>
      <c r="M28" s="2"/>
      <c r="N28" s="2"/>
      <c r="O28" s="2"/>
      <c r="P28" s="2"/>
      <c r="Q28" s="2"/>
      <c r="R28" s="2"/>
      <c r="S28" s="2"/>
      <c r="T28" s="2"/>
      <c r="U28" s="2"/>
      <c r="V28" s="2"/>
      <c r="W28" s="2"/>
      <c r="X28" s="2"/>
      <c r="Y28" s="2"/>
      <c r="Z28" s="2"/>
      <c r="AA28" s="2"/>
    </row>
    <row r="29">
      <c r="A29" s="11">
        <v>13.0</v>
      </c>
      <c r="B29" s="17" t="s">
        <v>9821</v>
      </c>
      <c r="C29" s="17" t="s">
        <v>9822</v>
      </c>
      <c r="D29" s="17" t="s">
        <v>9823</v>
      </c>
      <c r="E29" s="12">
        <v>10.0</v>
      </c>
      <c r="F29" s="7">
        <f t="shared" si="2"/>
        <v>90</v>
      </c>
      <c r="G29" s="17" t="s">
        <v>2804</v>
      </c>
      <c r="H29" s="2"/>
      <c r="I29" s="2"/>
      <c r="J29" s="2"/>
      <c r="K29" s="2"/>
      <c r="L29" s="2"/>
      <c r="M29" s="2"/>
      <c r="N29" s="2"/>
      <c r="O29" s="2"/>
      <c r="P29" s="2"/>
      <c r="Q29" s="2"/>
      <c r="R29" s="2"/>
      <c r="S29" s="2"/>
      <c r="T29" s="2"/>
      <c r="U29" s="2"/>
      <c r="V29" s="2"/>
      <c r="W29" s="2"/>
      <c r="X29" s="2"/>
      <c r="Y29" s="2"/>
      <c r="Z29" s="2"/>
      <c r="AA29" s="2"/>
    </row>
    <row r="30">
      <c r="A30" s="11">
        <v>14.0</v>
      </c>
      <c r="B30" s="17" t="s">
        <v>9824</v>
      </c>
      <c r="C30" s="17" t="s">
        <v>9825</v>
      </c>
      <c r="D30" s="17" t="s">
        <v>9826</v>
      </c>
      <c r="E30" s="12">
        <v>10.0</v>
      </c>
      <c r="F30" s="7">
        <f t="shared" si="2"/>
        <v>90</v>
      </c>
      <c r="G30" s="17" t="s">
        <v>2804</v>
      </c>
      <c r="H30" s="2"/>
      <c r="I30" s="2"/>
      <c r="J30" s="2"/>
      <c r="K30" s="2"/>
      <c r="L30" s="2"/>
      <c r="M30" s="2"/>
      <c r="N30" s="2"/>
      <c r="O30" s="2"/>
      <c r="P30" s="2"/>
      <c r="Q30" s="2"/>
      <c r="R30" s="2"/>
      <c r="S30" s="2"/>
      <c r="T30" s="2"/>
      <c r="U30" s="2"/>
      <c r="V30" s="2"/>
      <c r="W30" s="2"/>
      <c r="X30" s="2"/>
      <c r="Y30" s="2"/>
      <c r="Z30" s="2"/>
      <c r="AA30" s="2"/>
    </row>
    <row r="31">
      <c r="A31" s="11">
        <v>15.0</v>
      </c>
      <c r="B31" s="17" t="s">
        <v>9827</v>
      </c>
      <c r="C31" s="17" t="s">
        <v>9828</v>
      </c>
      <c r="D31" s="17" t="s">
        <v>9829</v>
      </c>
      <c r="E31" s="12">
        <v>10.0</v>
      </c>
      <c r="F31" s="7">
        <f t="shared" si="2"/>
        <v>90</v>
      </c>
      <c r="G31" s="17" t="s">
        <v>2804</v>
      </c>
      <c r="H31" s="2"/>
      <c r="I31" s="2"/>
      <c r="J31" s="2"/>
      <c r="K31" s="2"/>
      <c r="L31" s="2"/>
      <c r="M31" s="2"/>
      <c r="N31" s="2"/>
      <c r="O31" s="2"/>
      <c r="P31" s="2"/>
      <c r="Q31" s="2"/>
      <c r="R31" s="2"/>
      <c r="S31" s="2"/>
      <c r="T31" s="2"/>
      <c r="U31" s="2"/>
      <c r="V31" s="2"/>
      <c r="W31" s="2"/>
      <c r="X31" s="2"/>
      <c r="Y31" s="2"/>
      <c r="Z31" s="2"/>
      <c r="AA31" s="2"/>
    </row>
    <row r="32">
      <c r="A32" s="11">
        <v>16.0</v>
      </c>
      <c r="B32" s="17" t="s">
        <v>9830</v>
      </c>
      <c r="C32" s="17" t="s">
        <v>9831</v>
      </c>
      <c r="D32" s="17" t="s">
        <v>9832</v>
      </c>
      <c r="E32" s="12">
        <v>10.0</v>
      </c>
      <c r="F32" s="7">
        <f t="shared" si="2"/>
        <v>90</v>
      </c>
      <c r="G32" s="17" t="s">
        <v>2804</v>
      </c>
      <c r="H32" s="2"/>
      <c r="I32" s="2"/>
      <c r="J32" s="2"/>
      <c r="K32" s="2"/>
      <c r="L32" s="2"/>
      <c r="M32" s="2"/>
      <c r="N32" s="2"/>
      <c r="O32" s="2"/>
      <c r="P32" s="2"/>
      <c r="Q32" s="2"/>
      <c r="R32" s="2"/>
      <c r="S32" s="2"/>
      <c r="T32" s="2"/>
      <c r="U32" s="2"/>
      <c r="V32" s="2"/>
      <c r="W32" s="2"/>
      <c r="X32" s="2"/>
      <c r="Y32" s="2"/>
      <c r="Z32" s="2"/>
      <c r="AA32" s="2"/>
    </row>
    <row r="33">
      <c r="A33" s="11">
        <v>17.0</v>
      </c>
      <c r="B33" s="17" t="s">
        <v>9833</v>
      </c>
      <c r="C33" s="17" t="s">
        <v>9834</v>
      </c>
      <c r="D33" s="17" t="s">
        <v>9835</v>
      </c>
      <c r="E33" s="12">
        <v>10.0</v>
      </c>
      <c r="F33" s="7">
        <f t="shared" si="2"/>
        <v>90</v>
      </c>
      <c r="G33" s="17" t="s">
        <v>2804</v>
      </c>
      <c r="H33" s="2"/>
      <c r="I33" s="2"/>
      <c r="J33" s="2"/>
      <c r="K33" s="2"/>
      <c r="L33" s="2"/>
      <c r="M33" s="2"/>
      <c r="N33" s="2"/>
      <c r="O33" s="2"/>
      <c r="P33" s="2"/>
      <c r="Q33" s="2"/>
      <c r="R33" s="2"/>
      <c r="S33" s="2"/>
      <c r="T33" s="2"/>
      <c r="U33" s="2"/>
      <c r="V33" s="2"/>
      <c r="W33" s="2"/>
      <c r="X33" s="2"/>
      <c r="Y33" s="2"/>
      <c r="Z33" s="2"/>
      <c r="AA33" s="2"/>
    </row>
    <row r="34">
      <c r="A34" s="11">
        <v>18.0</v>
      </c>
      <c r="B34" s="17" t="s">
        <v>9836</v>
      </c>
      <c r="C34" s="17" t="s">
        <v>9837</v>
      </c>
      <c r="D34" s="17" t="s">
        <v>9838</v>
      </c>
      <c r="E34" s="12">
        <v>10.0</v>
      </c>
      <c r="F34" s="7">
        <f t="shared" si="2"/>
        <v>90</v>
      </c>
      <c r="G34" s="17" t="s">
        <v>2804</v>
      </c>
      <c r="H34" s="2"/>
      <c r="I34" s="2"/>
      <c r="J34" s="2"/>
      <c r="K34" s="2"/>
      <c r="L34" s="2"/>
      <c r="M34" s="2"/>
      <c r="N34" s="2"/>
      <c r="O34" s="2"/>
      <c r="P34" s="2"/>
      <c r="Q34" s="2"/>
      <c r="R34" s="2"/>
      <c r="S34" s="2"/>
      <c r="T34" s="2"/>
      <c r="U34" s="2"/>
      <c r="V34" s="2"/>
      <c r="W34" s="2"/>
      <c r="X34" s="2"/>
      <c r="Y34" s="2"/>
      <c r="Z34" s="2"/>
      <c r="AA34" s="2"/>
    </row>
    <row r="35">
      <c r="A35" s="11">
        <v>19.0</v>
      </c>
      <c r="B35" s="17" t="s">
        <v>9839</v>
      </c>
      <c r="C35" s="17" t="s">
        <v>9840</v>
      </c>
      <c r="D35" s="17" t="s">
        <v>9841</v>
      </c>
      <c r="E35" s="12">
        <v>10.0</v>
      </c>
      <c r="F35" s="7">
        <f t="shared" si="2"/>
        <v>90</v>
      </c>
      <c r="G35" s="17" t="s">
        <v>2804</v>
      </c>
      <c r="H35" s="2"/>
      <c r="I35" s="2"/>
      <c r="J35" s="2"/>
      <c r="K35" s="2"/>
      <c r="L35" s="2"/>
      <c r="M35" s="2"/>
      <c r="N35" s="2"/>
      <c r="O35" s="2"/>
      <c r="P35" s="2"/>
      <c r="Q35" s="2"/>
      <c r="R35" s="2"/>
      <c r="S35" s="2"/>
      <c r="T35" s="2"/>
      <c r="U35" s="2"/>
      <c r="V35" s="2"/>
      <c r="W35" s="2"/>
      <c r="X35" s="2"/>
      <c r="Y35" s="2"/>
      <c r="Z35" s="2"/>
      <c r="AA35" s="2"/>
    </row>
    <row r="36">
      <c r="A36" s="11">
        <v>20.0</v>
      </c>
      <c r="B36" s="17" t="s">
        <v>9842</v>
      </c>
      <c r="C36" s="17" t="s">
        <v>9843</v>
      </c>
      <c r="D36" s="17" t="s">
        <v>9844</v>
      </c>
      <c r="E36" s="12">
        <v>10.0</v>
      </c>
      <c r="F36" s="7">
        <f t="shared" si="2"/>
        <v>90</v>
      </c>
      <c r="G36" s="17" t="s">
        <v>2804</v>
      </c>
      <c r="H36" s="2"/>
      <c r="I36" s="2"/>
      <c r="J36" s="2"/>
      <c r="K36" s="2"/>
      <c r="L36" s="2"/>
      <c r="M36" s="2"/>
      <c r="N36" s="2"/>
      <c r="O36" s="2"/>
      <c r="P36" s="2"/>
      <c r="Q36" s="2"/>
      <c r="R36" s="2"/>
      <c r="S36" s="2"/>
      <c r="T36" s="2"/>
      <c r="U36" s="2"/>
      <c r="V36" s="2"/>
      <c r="W36" s="2"/>
      <c r="X36" s="2"/>
      <c r="Y36" s="2"/>
      <c r="Z36" s="2"/>
      <c r="AA36" s="2"/>
    </row>
    <row r="37">
      <c r="A37" s="11">
        <v>21.0</v>
      </c>
      <c r="B37" s="17" t="s">
        <v>9845</v>
      </c>
      <c r="C37" s="17" t="s">
        <v>9846</v>
      </c>
      <c r="D37" s="17" t="s">
        <v>9847</v>
      </c>
      <c r="E37" s="12">
        <v>10.0</v>
      </c>
      <c r="F37" s="7">
        <f t="shared" si="2"/>
        <v>90</v>
      </c>
      <c r="G37" s="17" t="s">
        <v>2804</v>
      </c>
      <c r="H37" s="2"/>
      <c r="I37" s="2"/>
      <c r="J37" s="2"/>
      <c r="K37" s="2"/>
      <c r="L37" s="2"/>
      <c r="M37" s="2"/>
      <c r="N37" s="2"/>
      <c r="O37" s="2"/>
      <c r="P37" s="2"/>
      <c r="Q37" s="2"/>
      <c r="R37" s="2"/>
      <c r="S37" s="2"/>
      <c r="T37" s="2"/>
      <c r="U37" s="2"/>
      <c r="V37" s="2"/>
      <c r="W37" s="2"/>
      <c r="X37" s="2"/>
      <c r="Y37" s="2"/>
      <c r="Z37" s="2"/>
      <c r="AA37" s="2"/>
    </row>
    <row r="38">
      <c r="A38" s="11">
        <v>22.0</v>
      </c>
      <c r="B38" s="17" t="s">
        <v>9848</v>
      </c>
      <c r="C38" s="17" t="s">
        <v>9849</v>
      </c>
      <c r="D38" s="17" t="s">
        <v>9850</v>
      </c>
      <c r="E38" s="12">
        <v>10.0</v>
      </c>
      <c r="F38" s="7">
        <f t="shared" si="2"/>
        <v>90</v>
      </c>
      <c r="G38" s="17" t="s">
        <v>2804</v>
      </c>
      <c r="H38" s="2"/>
      <c r="I38" s="2"/>
      <c r="J38" s="2"/>
      <c r="K38" s="2"/>
      <c r="L38" s="2"/>
      <c r="M38" s="2"/>
      <c r="N38" s="2"/>
      <c r="O38" s="2"/>
      <c r="P38" s="2"/>
      <c r="Q38" s="2"/>
      <c r="R38" s="2"/>
      <c r="S38" s="2"/>
      <c r="T38" s="2"/>
      <c r="U38" s="2"/>
      <c r="V38" s="2"/>
      <c r="W38" s="2"/>
      <c r="X38" s="2"/>
      <c r="Y38" s="2"/>
      <c r="Z38" s="2"/>
      <c r="AA38" s="2"/>
    </row>
    <row r="39">
      <c r="A39" s="11">
        <v>23.0</v>
      </c>
      <c r="B39" s="17" t="s">
        <v>9851</v>
      </c>
      <c r="C39" s="17" t="s">
        <v>9852</v>
      </c>
      <c r="D39" s="17" t="s">
        <v>9853</v>
      </c>
      <c r="E39" s="12">
        <v>10.0</v>
      </c>
      <c r="F39" s="7">
        <f t="shared" si="2"/>
        <v>90</v>
      </c>
      <c r="G39" s="17" t="s">
        <v>2804</v>
      </c>
      <c r="H39" s="2"/>
      <c r="I39" s="2"/>
      <c r="J39" s="2"/>
      <c r="K39" s="2"/>
      <c r="L39" s="2"/>
      <c r="M39" s="2"/>
      <c r="N39" s="2"/>
      <c r="O39" s="2"/>
      <c r="P39" s="2"/>
      <c r="Q39" s="2"/>
      <c r="R39" s="2"/>
      <c r="S39" s="2"/>
      <c r="T39" s="2"/>
      <c r="U39" s="2"/>
      <c r="V39" s="2"/>
      <c r="W39" s="2"/>
      <c r="X39" s="2"/>
      <c r="Y39" s="2"/>
      <c r="Z39" s="2"/>
      <c r="AA39" s="2"/>
    </row>
    <row r="40">
      <c r="A40" s="11">
        <v>24.0</v>
      </c>
      <c r="B40" s="17" t="s">
        <v>9854</v>
      </c>
      <c r="C40" s="17" t="s">
        <v>9855</v>
      </c>
      <c r="D40" s="17" t="s">
        <v>9856</v>
      </c>
      <c r="E40" s="12">
        <v>10.0</v>
      </c>
      <c r="F40" s="7">
        <f t="shared" si="2"/>
        <v>90</v>
      </c>
      <c r="G40" s="17" t="s">
        <v>2804</v>
      </c>
      <c r="H40" s="2"/>
      <c r="I40" s="2"/>
      <c r="J40" s="2"/>
      <c r="K40" s="2"/>
      <c r="L40" s="2"/>
      <c r="M40" s="2"/>
      <c r="N40" s="2"/>
      <c r="O40" s="2"/>
      <c r="P40" s="2"/>
      <c r="Q40" s="2"/>
      <c r="R40" s="2"/>
      <c r="S40" s="2"/>
      <c r="T40" s="2"/>
      <c r="U40" s="2"/>
      <c r="V40" s="2"/>
      <c r="W40" s="2"/>
      <c r="X40" s="2"/>
      <c r="Y40" s="2"/>
      <c r="Z40" s="2"/>
      <c r="AA40" s="2"/>
    </row>
    <row r="41">
      <c r="A41" s="11">
        <v>25.0</v>
      </c>
      <c r="B41" s="17" t="s">
        <v>9857</v>
      </c>
      <c r="C41" s="17" t="s">
        <v>9858</v>
      </c>
      <c r="D41" s="17" t="s">
        <v>9859</v>
      </c>
      <c r="E41" s="12">
        <v>10.0</v>
      </c>
      <c r="F41" s="7">
        <f t="shared" si="2"/>
        <v>90</v>
      </c>
      <c r="G41" s="17" t="s">
        <v>2804</v>
      </c>
      <c r="H41" s="2"/>
      <c r="I41" s="2"/>
      <c r="J41" s="2"/>
      <c r="K41" s="2"/>
      <c r="L41" s="2"/>
      <c r="M41" s="2"/>
      <c r="N41" s="2"/>
      <c r="O41" s="2"/>
      <c r="P41" s="2"/>
      <c r="Q41" s="2"/>
      <c r="R41" s="2"/>
      <c r="S41" s="2"/>
      <c r="T41" s="2"/>
      <c r="U41" s="2"/>
      <c r="V41" s="2"/>
      <c r="W41" s="2"/>
      <c r="X41" s="2"/>
      <c r="Y41" s="2"/>
      <c r="Z41" s="2"/>
      <c r="AA41" s="2"/>
    </row>
    <row r="42">
      <c r="A42" s="11">
        <v>26.0</v>
      </c>
      <c r="B42" s="17" t="s">
        <v>9860</v>
      </c>
      <c r="C42" s="17" t="s">
        <v>9861</v>
      </c>
      <c r="D42" s="17" t="s">
        <v>9862</v>
      </c>
      <c r="E42" s="12">
        <v>10.0</v>
      </c>
      <c r="F42" s="7">
        <f t="shared" si="2"/>
        <v>90</v>
      </c>
      <c r="G42" s="17" t="s">
        <v>2804</v>
      </c>
      <c r="H42" s="2"/>
      <c r="I42" s="2"/>
      <c r="J42" s="2"/>
      <c r="K42" s="2"/>
      <c r="L42" s="2"/>
      <c r="M42" s="2"/>
      <c r="N42" s="2"/>
      <c r="O42" s="2"/>
      <c r="P42" s="2"/>
      <c r="Q42" s="2"/>
      <c r="R42" s="2"/>
      <c r="S42" s="2"/>
      <c r="T42" s="2"/>
      <c r="U42" s="2"/>
      <c r="V42" s="2"/>
      <c r="W42" s="2"/>
      <c r="X42" s="2"/>
      <c r="Y42" s="2"/>
      <c r="Z42" s="2"/>
      <c r="AA42" s="2"/>
    </row>
    <row r="43">
      <c r="A43" s="11">
        <v>27.0</v>
      </c>
      <c r="B43" s="17" t="s">
        <v>9863</v>
      </c>
      <c r="C43" s="17" t="s">
        <v>9864</v>
      </c>
      <c r="D43" s="17" t="s">
        <v>9865</v>
      </c>
      <c r="E43" s="12">
        <v>10.0</v>
      </c>
      <c r="F43" s="7">
        <f t="shared" si="2"/>
        <v>90</v>
      </c>
      <c r="G43" s="17" t="s">
        <v>3113</v>
      </c>
      <c r="H43" s="2"/>
      <c r="I43" s="2"/>
      <c r="J43" s="2"/>
      <c r="K43" s="2"/>
      <c r="L43" s="2"/>
      <c r="M43" s="2"/>
      <c r="N43" s="2"/>
      <c r="O43" s="2"/>
      <c r="P43" s="2"/>
      <c r="Q43" s="2"/>
      <c r="R43" s="2"/>
      <c r="S43" s="2"/>
      <c r="T43" s="2"/>
      <c r="U43" s="2"/>
      <c r="V43" s="2"/>
      <c r="W43" s="2"/>
      <c r="X43" s="2"/>
      <c r="Y43" s="2"/>
      <c r="Z43" s="2"/>
      <c r="AA43" s="2"/>
    </row>
    <row r="44">
      <c r="A44" s="11">
        <v>28.0</v>
      </c>
      <c r="B44" s="17" t="s">
        <v>9866</v>
      </c>
      <c r="C44" s="17" t="s">
        <v>9867</v>
      </c>
      <c r="D44" s="17" t="s">
        <v>9868</v>
      </c>
      <c r="E44" s="12">
        <v>10.0</v>
      </c>
      <c r="F44" s="7">
        <f t="shared" si="2"/>
        <v>90</v>
      </c>
      <c r="G44" s="17" t="s">
        <v>3113</v>
      </c>
      <c r="H44" s="2"/>
      <c r="I44" s="2"/>
      <c r="J44" s="2"/>
      <c r="K44" s="2"/>
      <c r="L44" s="2"/>
      <c r="M44" s="2"/>
      <c r="N44" s="2"/>
      <c r="O44" s="2"/>
      <c r="P44" s="2"/>
      <c r="Q44" s="2"/>
      <c r="R44" s="2"/>
      <c r="S44" s="2"/>
      <c r="T44" s="2"/>
      <c r="U44" s="2"/>
      <c r="V44" s="2"/>
      <c r="W44" s="2"/>
      <c r="X44" s="2"/>
      <c r="Y44" s="2"/>
      <c r="Z44" s="2"/>
      <c r="AA44" s="2"/>
    </row>
    <row r="45">
      <c r="A45" s="11">
        <v>29.0</v>
      </c>
      <c r="B45" s="17" t="s">
        <v>9869</v>
      </c>
      <c r="C45" s="17" t="s">
        <v>9870</v>
      </c>
      <c r="D45" s="17" t="s">
        <v>9871</v>
      </c>
      <c r="E45" s="12">
        <v>10.0</v>
      </c>
      <c r="F45" s="7">
        <f t="shared" si="2"/>
        <v>90</v>
      </c>
      <c r="G45" s="17" t="s">
        <v>3113</v>
      </c>
      <c r="H45" s="2"/>
      <c r="I45" s="2"/>
      <c r="J45" s="2"/>
      <c r="K45" s="2"/>
      <c r="L45" s="2"/>
      <c r="M45" s="2"/>
      <c r="N45" s="2"/>
      <c r="O45" s="2"/>
      <c r="P45" s="2"/>
      <c r="Q45" s="2"/>
      <c r="R45" s="2"/>
      <c r="S45" s="2"/>
      <c r="T45" s="2"/>
      <c r="U45" s="2"/>
      <c r="V45" s="2"/>
      <c r="W45" s="2"/>
      <c r="X45" s="2"/>
      <c r="Y45" s="2"/>
      <c r="Z45" s="2"/>
      <c r="AA45" s="2"/>
    </row>
    <row r="46">
      <c r="A46" s="11">
        <v>30.0</v>
      </c>
      <c r="B46" s="17" t="s">
        <v>9872</v>
      </c>
      <c r="C46" s="17" t="s">
        <v>9873</v>
      </c>
      <c r="D46" s="17" t="s">
        <v>9874</v>
      </c>
      <c r="E46" s="12">
        <v>10.0</v>
      </c>
      <c r="F46" s="7">
        <f t="shared" si="2"/>
        <v>90</v>
      </c>
      <c r="G46" s="17" t="s">
        <v>3113</v>
      </c>
      <c r="H46" s="2"/>
      <c r="I46" s="2"/>
      <c r="J46" s="2"/>
      <c r="K46" s="2"/>
      <c r="L46" s="2"/>
      <c r="M46" s="2"/>
      <c r="N46" s="2"/>
      <c r="O46" s="2"/>
      <c r="P46" s="2"/>
      <c r="Q46" s="2"/>
      <c r="R46" s="2"/>
      <c r="S46" s="2"/>
      <c r="T46" s="2"/>
      <c r="U46" s="2"/>
      <c r="V46" s="2"/>
      <c r="W46" s="2"/>
      <c r="X46" s="2"/>
      <c r="Y46" s="2"/>
      <c r="Z46" s="2"/>
      <c r="AA46" s="2"/>
    </row>
    <row r="47">
      <c r="A47" s="11">
        <v>31.0</v>
      </c>
      <c r="B47" s="17" t="s">
        <v>9875</v>
      </c>
      <c r="C47" s="17" t="s">
        <v>9876</v>
      </c>
      <c r="D47" s="17" t="s">
        <v>9877</v>
      </c>
      <c r="E47" s="12">
        <v>10.0</v>
      </c>
      <c r="F47" s="7">
        <f t="shared" si="2"/>
        <v>90</v>
      </c>
      <c r="G47" s="17" t="s">
        <v>3113</v>
      </c>
      <c r="H47" s="2"/>
      <c r="I47" s="2"/>
      <c r="J47" s="2"/>
      <c r="K47" s="2"/>
      <c r="L47" s="2"/>
      <c r="M47" s="2"/>
      <c r="N47" s="2"/>
      <c r="O47" s="2"/>
      <c r="P47" s="2"/>
      <c r="Q47" s="2"/>
      <c r="R47" s="2"/>
      <c r="S47" s="2"/>
      <c r="T47" s="2"/>
      <c r="U47" s="2"/>
      <c r="V47" s="2"/>
      <c r="W47" s="2"/>
      <c r="X47" s="2"/>
      <c r="Y47" s="2"/>
      <c r="Z47" s="2"/>
      <c r="AA47" s="2"/>
    </row>
    <row r="48">
      <c r="A48" s="11">
        <v>32.0</v>
      </c>
      <c r="B48" s="17" t="s">
        <v>9878</v>
      </c>
      <c r="C48" s="17" t="s">
        <v>9879</v>
      </c>
      <c r="D48" s="17" t="s">
        <v>9880</v>
      </c>
      <c r="E48" s="12">
        <v>10.0</v>
      </c>
      <c r="F48" s="7">
        <f t="shared" si="2"/>
        <v>90</v>
      </c>
      <c r="G48" s="17" t="s">
        <v>3113</v>
      </c>
      <c r="H48" s="2"/>
      <c r="I48" s="2"/>
      <c r="J48" s="2"/>
      <c r="K48" s="2"/>
      <c r="L48" s="2"/>
      <c r="M48" s="2"/>
      <c r="N48" s="2"/>
      <c r="O48" s="2"/>
      <c r="P48" s="2"/>
      <c r="Q48" s="2"/>
      <c r="R48" s="2"/>
      <c r="S48" s="2"/>
      <c r="T48" s="2"/>
      <c r="U48" s="2"/>
      <c r="V48" s="2"/>
      <c r="W48" s="2"/>
      <c r="X48" s="2"/>
      <c r="Y48" s="2"/>
      <c r="Z48" s="2"/>
      <c r="AA48" s="2"/>
    </row>
    <row r="49">
      <c r="A49" s="11">
        <v>33.0</v>
      </c>
      <c r="B49" s="17" t="s">
        <v>9881</v>
      </c>
      <c r="C49" s="17" t="s">
        <v>9882</v>
      </c>
      <c r="D49" s="17" t="s">
        <v>9883</v>
      </c>
      <c r="E49" s="12">
        <v>10.0</v>
      </c>
      <c r="F49" s="7">
        <f t="shared" si="2"/>
        <v>90</v>
      </c>
      <c r="G49" s="17" t="s">
        <v>3113</v>
      </c>
      <c r="H49" s="2"/>
      <c r="I49" s="2"/>
      <c r="J49" s="2"/>
      <c r="K49" s="2"/>
      <c r="L49" s="2"/>
      <c r="M49" s="2"/>
      <c r="N49" s="2"/>
      <c r="O49" s="2"/>
      <c r="P49" s="2"/>
      <c r="Q49" s="2"/>
      <c r="R49" s="2"/>
      <c r="S49" s="2"/>
      <c r="T49" s="2"/>
      <c r="U49" s="2"/>
      <c r="V49" s="2"/>
      <c r="W49" s="2"/>
      <c r="X49" s="2"/>
      <c r="Y49" s="2"/>
      <c r="Z49" s="2"/>
      <c r="AA49" s="2"/>
    </row>
    <row r="50">
      <c r="A50" s="11">
        <v>34.0</v>
      </c>
      <c r="B50" s="17" t="s">
        <v>9884</v>
      </c>
      <c r="C50" s="17" t="s">
        <v>9885</v>
      </c>
      <c r="D50" s="17" t="s">
        <v>9886</v>
      </c>
      <c r="E50" s="12">
        <v>10.0</v>
      </c>
      <c r="F50" s="7">
        <f t="shared" si="2"/>
        <v>90</v>
      </c>
      <c r="G50" s="17" t="s">
        <v>3113</v>
      </c>
      <c r="H50" s="2"/>
      <c r="I50" s="2"/>
      <c r="J50" s="2"/>
      <c r="K50" s="2"/>
      <c r="L50" s="2"/>
      <c r="M50" s="2"/>
      <c r="N50" s="2"/>
      <c r="O50" s="2"/>
      <c r="P50" s="2"/>
      <c r="Q50" s="2"/>
      <c r="R50" s="2"/>
      <c r="S50" s="2"/>
      <c r="T50" s="2"/>
      <c r="U50" s="2"/>
      <c r="V50" s="2"/>
      <c r="W50" s="2"/>
      <c r="X50" s="2"/>
      <c r="Y50" s="2"/>
      <c r="Z50" s="2"/>
      <c r="AA50" s="2"/>
    </row>
    <row r="51">
      <c r="A51" s="11">
        <v>35.0</v>
      </c>
      <c r="B51" s="17" t="s">
        <v>9887</v>
      </c>
      <c r="C51" s="17" t="s">
        <v>9888</v>
      </c>
      <c r="D51" s="17" t="s">
        <v>9889</v>
      </c>
      <c r="E51" s="12">
        <v>10.0</v>
      </c>
      <c r="F51" s="7">
        <f t="shared" si="2"/>
        <v>90</v>
      </c>
      <c r="G51" s="17" t="s">
        <v>3113</v>
      </c>
      <c r="H51" s="2"/>
      <c r="I51" s="2"/>
      <c r="J51" s="2"/>
      <c r="K51" s="2"/>
      <c r="L51" s="2"/>
      <c r="M51" s="2"/>
      <c r="N51" s="2"/>
      <c r="O51" s="2"/>
      <c r="P51" s="2"/>
      <c r="Q51" s="2"/>
      <c r="R51" s="2"/>
      <c r="S51" s="2"/>
      <c r="T51" s="2"/>
      <c r="U51" s="2"/>
      <c r="V51" s="2"/>
      <c r="W51" s="2"/>
      <c r="X51" s="2"/>
      <c r="Y51" s="2"/>
      <c r="Z51" s="2"/>
      <c r="AA51" s="2"/>
    </row>
    <row r="52">
      <c r="A52" s="11">
        <v>36.0</v>
      </c>
      <c r="B52" s="17" t="s">
        <v>9890</v>
      </c>
      <c r="C52" s="17" t="s">
        <v>9891</v>
      </c>
      <c r="D52" s="17" t="s">
        <v>9892</v>
      </c>
      <c r="E52" s="12">
        <v>10.0</v>
      </c>
      <c r="F52" s="7">
        <f t="shared" si="2"/>
        <v>90</v>
      </c>
      <c r="G52" s="17" t="s">
        <v>3113</v>
      </c>
      <c r="H52" s="2"/>
      <c r="I52" s="2"/>
      <c r="J52" s="2"/>
      <c r="K52" s="2"/>
      <c r="L52" s="2"/>
      <c r="M52" s="2"/>
      <c r="N52" s="2"/>
      <c r="O52" s="2"/>
      <c r="P52" s="2"/>
      <c r="Q52" s="2"/>
      <c r="R52" s="2"/>
      <c r="S52" s="2"/>
      <c r="T52" s="2"/>
      <c r="U52" s="2"/>
      <c r="V52" s="2"/>
      <c r="W52" s="2"/>
      <c r="X52" s="2"/>
      <c r="Y52" s="2"/>
      <c r="Z52" s="2"/>
      <c r="AA52" s="2"/>
    </row>
    <row r="53">
      <c r="A53" s="11">
        <v>37.0</v>
      </c>
      <c r="B53" s="17" t="s">
        <v>9893</v>
      </c>
      <c r="C53" s="17" t="s">
        <v>9894</v>
      </c>
      <c r="D53" s="17" t="s">
        <v>9895</v>
      </c>
      <c r="E53" s="12">
        <v>10.0</v>
      </c>
      <c r="F53" s="7">
        <f t="shared" si="2"/>
        <v>90</v>
      </c>
      <c r="G53" s="17" t="s">
        <v>3113</v>
      </c>
      <c r="H53" s="2"/>
      <c r="I53" s="2"/>
      <c r="J53" s="2"/>
      <c r="K53" s="2"/>
      <c r="L53" s="2"/>
      <c r="M53" s="2"/>
      <c r="N53" s="2"/>
      <c r="O53" s="2"/>
      <c r="P53" s="2"/>
      <c r="Q53" s="2"/>
      <c r="R53" s="2"/>
      <c r="S53" s="2"/>
      <c r="T53" s="2"/>
      <c r="U53" s="2"/>
      <c r="V53" s="2"/>
      <c r="W53" s="2"/>
      <c r="X53" s="2"/>
      <c r="Y53" s="2"/>
      <c r="Z53" s="2"/>
      <c r="AA53" s="2"/>
    </row>
    <row r="54">
      <c r="A54" s="11">
        <v>38.0</v>
      </c>
      <c r="B54" s="17" t="s">
        <v>9893</v>
      </c>
      <c r="C54" s="17" t="s">
        <v>9896</v>
      </c>
      <c r="D54" s="17" t="s">
        <v>9897</v>
      </c>
      <c r="E54" s="12">
        <v>10.0</v>
      </c>
      <c r="F54" s="7">
        <f t="shared" si="2"/>
        <v>90</v>
      </c>
      <c r="G54" s="17" t="s">
        <v>3113</v>
      </c>
      <c r="H54" s="2"/>
      <c r="I54" s="2"/>
      <c r="J54" s="2"/>
      <c r="K54" s="2"/>
      <c r="L54" s="2"/>
      <c r="M54" s="2"/>
      <c r="N54" s="2"/>
      <c r="O54" s="2"/>
      <c r="P54" s="2"/>
      <c r="Q54" s="2"/>
      <c r="R54" s="2"/>
      <c r="S54" s="2"/>
      <c r="T54" s="2"/>
      <c r="U54" s="2"/>
      <c r="V54" s="2"/>
      <c r="W54" s="2"/>
      <c r="X54" s="2"/>
      <c r="Y54" s="2"/>
      <c r="Z54" s="2"/>
      <c r="AA54" s="2"/>
    </row>
    <row r="55">
      <c r="A55" s="11">
        <v>39.0</v>
      </c>
      <c r="B55" s="17" t="s">
        <v>9898</v>
      </c>
      <c r="C55" s="17" t="s">
        <v>9899</v>
      </c>
      <c r="D55" s="17" t="s">
        <v>9900</v>
      </c>
      <c r="E55" s="12">
        <v>10.0</v>
      </c>
      <c r="F55" s="7">
        <f t="shared" si="2"/>
        <v>90</v>
      </c>
      <c r="G55" s="17" t="s">
        <v>3113</v>
      </c>
      <c r="H55" s="2"/>
      <c r="I55" s="2"/>
      <c r="J55" s="2"/>
      <c r="K55" s="2"/>
      <c r="L55" s="2"/>
      <c r="M55" s="2"/>
      <c r="N55" s="2"/>
      <c r="O55" s="2"/>
      <c r="P55" s="2"/>
      <c r="Q55" s="2"/>
      <c r="R55" s="2"/>
      <c r="S55" s="2"/>
      <c r="T55" s="2"/>
      <c r="U55" s="2"/>
      <c r="V55" s="2"/>
      <c r="W55" s="2"/>
      <c r="X55" s="2"/>
      <c r="Y55" s="2"/>
      <c r="Z55" s="2"/>
      <c r="AA55" s="2"/>
    </row>
    <row r="56">
      <c r="A56" s="11">
        <v>40.0</v>
      </c>
      <c r="B56" s="17" t="s">
        <v>9898</v>
      </c>
      <c r="C56" s="17" t="s">
        <v>9901</v>
      </c>
      <c r="D56" s="17" t="s">
        <v>9902</v>
      </c>
      <c r="E56" s="12">
        <v>10.0</v>
      </c>
      <c r="F56" s="7">
        <f t="shared" si="2"/>
        <v>90</v>
      </c>
      <c r="G56" s="17" t="s">
        <v>3113</v>
      </c>
      <c r="H56" s="2"/>
      <c r="I56" s="2"/>
      <c r="J56" s="2"/>
      <c r="K56" s="2"/>
      <c r="L56" s="2"/>
      <c r="M56" s="2"/>
      <c r="N56" s="2"/>
      <c r="O56" s="2"/>
      <c r="P56" s="2"/>
      <c r="Q56" s="2"/>
      <c r="R56" s="2"/>
      <c r="S56" s="2"/>
      <c r="T56" s="2"/>
      <c r="U56" s="2"/>
      <c r="V56" s="2"/>
      <c r="W56" s="2"/>
      <c r="X56" s="2"/>
      <c r="Y56" s="2"/>
      <c r="Z56" s="2"/>
      <c r="AA56" s="2"/>
    </row>
    <row r="57">
      <c r="A57" s="11">
        <v>41.0</v>
      </c>
      <c r="B57" s="17" t="s">
        <v>9903</v>
      </c>
      <c r="C57" s="17" t="s">
        <v>9904</v>
      </c>
      <c r="D57" s="17" t="s">
        <v>9905</v>
      </c>
      <c r="E57" s="12">
        <v>10.0</v>
      </c>
      <c r="F57" s="7">
        <f t="shared" si="2"/>
        <v>90</v>
      </c>
      <c r="G57" s="17" t="s">
        <v>3113</v>
      </c>
      <c r="H57" s="2"/>
      <c r="I57" s="2"/>
      <c r="J57" s="2"/>
      <c r="K57" s="2"/>
      <c r="L57" s="2"/>
      <c r="M57" s="2"/>
      <c r="N57" s="2"/>
      <c r="O57" s="2"/>
      <c r="P57" s="2"/>
      <c r="Q57" s="2"/>
      <c r="R57" s="2"/>
      <c r="S57" s="2"/>
      <c r="T57" s="2"/>
      <c r="U57" s="2"/>
      <c r="V57" s="2"/>
      <c r="W57" s="2"/>
      <c r="X57" s="2"/>
      <c r="Y57" s="2"/>
      <c r="Z57" s="2"/>
      <c r="AA57" s="2"/>
    </row>
    <row r="58">
      <c r="A58" s="11">
        <v>42.0</v>
      </c>
      <c r="B58" s="17" t="s">
        <v>9906</v>
      </c>
      <c r="C58" s="17" t="s">
        <v>9907</v>
      </c>
      <c r="D58" s="17" t="s">
        <v>9908</v>
      </c>
      <c r="E58" s="12">
        <v>10.0</v>
      </c>
      <c r="F58" s="7">
        <f t="shared" si="2"/>
        <v>90</v>
      </c>
      <c r="G58" s="17" t="s">
        <v>3113</v>
      </c>
      <c r="H58" s="2"/>
      <c r="I58" s="2"/>
      <c r="J58" s="2"/>
      <c r="K58" s="2"/>
      <c r="L58" s="2"/>
      <c r="M58" s="2"/>
      <c r="N58" s="2"/>
      <c r="O58" s="2"/>
      <c r="P58" s="2"/>
      <c r="Q58" s="2"/>
      <c r="R58" s="2"/>
      <c r="S58" s="2"/>
      <c r="T58" s="2"/>
      <c r="U58" s="2"/>
      <c r="V58" s="2"/>
      <c r="W58" s="2"/>
      <c r="X58" s="2"/>
      <c r="Y58" s="2"/>
      <c r="Z58" s="2"/>
      <c r="AA58" s="2"/>
    </row>
    <row r="59">
      <c r="A59" s="11">
        <v>43.0</v>
      </c>
      <c r="B59" s="17" t="s">
        <v>9906</v>
      </c>
      <c r="C59" s="17" t="s">
        <v>9909</v>
      </c>
      <c r="D59" s="17" t="s">
        <v>9910</v>
      </c>
      <c r="E59" s="12">
        <v>10.0</v>
      </c>
      <c r="F59" s="7">
        <f t="shared" si="2"/>
        <v>90</v>
      </c>
      <c r="G59" s="17" t="s">
        <v>3113</v>
      </c>
      <c r="H59" s="2"/>
      <c r="I59" s="2"/>
      <c r="J59" s="2"/>
      <c r="K59" s="2"/>
      <c r="L59" s="2"/>
      <c r="M59" s="2"/>
      <c r="N59" s="2"/>
      <c r="O59" s="2"/>
      <c r="P59" s="2"/>
      <c r="Q59" s="2"/>
      <c r="R59" s="2"/>
      <c r="S59" s="2"/>
      <c r="T59" s="2"/>
      <c r="U59" s="2"/>
      <c r="V59" s="2"/>
      <c r="W59" s="2"/>
      <c r="X59" s="2"/>
      <c r="Y59" s="2"/>
      <c r="Z59" s="2"/>
      <c r="AA59" s="2"/>
    </row>
    <row r="60">
      <c r="A60" s="11">
        <v>44.0</v>
      </c>
      <c r="B60" s="17" t="s">
        <v>9911</v>
      </c>
      <c r="C60" s="17" t="s">
        <v>9912</v>
      </c>
      <c r="D60" s="17" t="s">
        <v>9913</v>
      </c>
      <c r="E60" s="12">
        <v>10.0</v>
      </c>
      <c r="F60" s="7">
        <f t="shared" si="2"/>
        <v>90</v>
      </c>
      <c r="G60" s="17" t="s">
        <v>3113</v>
      </c>
      <c r="H60" s="2"/>
      <c r="I60" s="2"/>
      <c r="J60" s="2"/>
      <c r="K60" s="2"/>
      <c r="L60" s="2"/>
      <c r="M60" s="2"/>
      <c r="N60" s="2"/>
      <c r="O60" s="2"/>
      <c r="P60" s="2"/>
      <c r="Q60" s="2"/>
      <c r="R60" s="2"/>
      <c r="S60" s="2"/>
      <c r="T60" s="2"/>
      <c r="U60" s="2"/>
      <c r="V60" s="2"/>
      <c r="W60" s="2"/>
      <c r="X60" s="2"/>
      <c r="Y60" s="2"/>
      <c r="Z60" s="2"/>
      <c r="AA60" s="2"/>
    </row>
    <row r="61">
      <c r="A61" s="11">
        <v>45.0</v>
      </c>
      <c r="B61" s="17" t="s">
        <v>9914</v>
      </c>
      <c r="C61" s="17" t="s">
        <v>9915</v>
      </c>
      <c r="D61" s="17" t="s">
        <v>9916</v>
      </c>
      <c r="E61" s="12">
        <v>10.0</v>
      </c>
      <c r="F61" s="7">
        <f t="shared" si="2"/>
        <v>90</v>
      </c>
      <c r="G61" s="17" t="s">
        <v>3113</v>
      </c>
      <c r="H61" s="2"/>
      <c r="I61" s="2"/>
      <c r="J61" s="2"/>
      <c r="K61" s="2"/>
      <c r="L61" s="2"/>
      <c r="M61" s="2"/>
      <c r="N61" s="2"/>
      <c r="O61" s="2"/>
      <c r="P61" s="2"/>
      <c r="Q61" s="2"/>
      <c r="R61" s="2"/>
      <c r="S61" s="2"/>
      <c r="T61" s="2"/>
      <c r="U61" s="2"/>
      <c r="V61" s="2"/>
      <c r="W61" s="2"/>
      <c r="X61" s="2"/>
      <c r="Y61" s="2"/>
      <c r="Z61" s="2"/>
      <c r="AA61" s="2"/>
    </row>
    <row r="62">
      <c r="A62" s="11">
        <v>46.0</v>
      </c>
      <c r="B62" s="17" t="s">
        <v>9914</v>
      </c>
      <c r="C62" s="17" t="s">
        <v>9917</v>
      </c>
      <c r="D62" s="17" t="s">
        <v>9918</v>
      </c>
      <c r="E62" s="12">
        <v>10.0</v>
      </c>
      <c r="F62" s="7">
        <f t="shared" si="2"/>
        <v>90</v>
      </c>
      <c r="G62" s="17" t="s">
        <v>3113</v>
      </c>
      <c r="H62" s="2"/>
      <c r="I62" s="2"/>
      <c r="J62" s="2"/>
      <c r="K62" s="2"/>
      <c r="L62" s="2"/>
      <c r="M62" s="2"/>
      <c r="N62" s="2"/>
      <c r="O62" s="2"/>
      <c r="P62" s="2"/>
      <c r="Q62" s="2"/>
      <c r="R62" s="2"/>
      <c r="S62" s="2"/>
      <c r="T62" s="2"/>
      <c r="U62" s="2"/>
      <c r="V62" s="2"/>
      <c r="W62" s="2"/>
      <c r="X62" s="2"/>
      <c r="Y62" s="2"/>
      <c r="Z62" s="2"/>
      <c r="AA62" s="2"/>
    </row>
    <row r="63">
      <c r="A63" s="11">
        <v>47.0</v>
      </c>
      <c r="B63" s="17" t="s">
        <v>9919</v>
      </c>
      <c r="C63" s="17" t="s">
        <v>9920</v>
      </c>
      <c r="D63" s="17" t="s">
        <v>9921</v>
      </c>
      <c r="E63" s="12">
        <v>10.0</v>
      </c>
      <c r="F63" s="7">
        <f t="shared" si="2"/>
        <v>90</v>
      </c>
      <c r="G63" s="17" t="s">
        <v>3113</v>
      </c>
      <c r="H63" s="2"/>
      <c r="I63" s="2"/>
      <c r="J63" s="2"/>
      <c r="K63" s="2"/>
      <c r="L63" s="2"/>
      <c r="M63" s="2"/>
      <c r="N63" s="2"/>
      <c r="O63" s="2"/>
      <c r="P63" s="2"/>
      <c r="Q63" s="2"/>
      <c r="R63" s="2"/>
      <c r="S63" s="2"/>
      <c r="T63" s="2"/>
      <c r="U63" s="2"/>
      <c r="V63" s="2"/>
      <c r="W63" s="2"/>
      <c r="X63" s="2"/>
      <c r="Y63" s="2"/>
      <c r="Z63" s="2"/>
      <c r="AA63" s="2"/>
    </row>
    <row r="64">
      <c r="A64" s="11">
        <v>48.0</v>
      </c>
      <c r="B64" s="17" t="s">
        <v>9922</v>
      </c>
      <c r="C64" s="17" t="s">
        <v>9923</v>
      </c>
      <c r="D64" s="17" t="s">
        <v>9924</v>
      </c>
      <c r="E64" s="12">
        <v>10.0</v>
      </c>
      <c r="F64" s="7">
        <f t="shared" si="2"/>
        <v>90</v>
      </c>
      <c r="G64" s="17" t="s">
        <v>3113</v>
      </c>
      <c r="H64" s="2"/>
      <c r="I64" s="2"/>
      <c r="J64" s="2"/>
      <c r="K64" s="2"/>
      <c r="L64" s="2"/>
      <c r="M64" s="2"/>
      <c r="N64" s="2"/>
      <c r="O64" s="2"/>
      <c r="P64" s="2"/>
      <c r="Q64" s="2"/>
      <c r="R64" s="2"/>
      <c r="S64" s="2"/>
      <c r="T64" s="2"/>
      <c r="U64" s="2"/>
      <c r="V64" s="2"/>
      <c r="W64" s="2"/>
      <c r="X64" s="2"/>
      <c r="Y64" s="2"/>
      <c r="Z64" s="2"/>
      <c r="AA64" s="2"/>
    </row>
    <row r="65">
      <c r="A65" s="11">
        <v>49.0</v>
      </c>
      <c r="B65" s="17" t="s">
        <v>9925</v>
      </c>
      <c r="C65" s="17" t="s">
        <v>9926</v>
      </c>
      <c r="D65" s="17" t="s">
        <v>9927</v>
      </c>
      <c r="E65" s="12">
        <v>10.0</v>
      </c>
      <c r="F65" s="7">
        <f t="shared" si="2"/>
        <v>90</v>
      </c>
      <c r="G65" s="17" t="s">
        <v>3113</v>
      </c>
      <c r="H65" s="2"/>
      <c r="I65" s="2"/>
      <c r="J65" s="2"/>
      <c r="K65" s="2"/>
      <c r="L65" s="2"/>
      <c r="M65" s="2"/>
      <c r="N65" s="2"/>
      <c r="O65" s="2"/>
      <c r="P65" s="2"/>
      <c r="Q65" s="2"/>
      <c r="R65" s="2"/>
      <c r="S65" s="2"/>
      <c r="T65" s="2"/>
      <c r="U65" s="2"/>
      <c r="V65" s="2"/>
      <c r="W65" s="2"/>
      <c r="X65" s="2"/>
      <c r="Y65" s="2"/>
      <c r="Z65" s="2"/>
      <c r="AA65" s="2"/>
    </row>
    <row r="66">
      <c r="A66" s="11">
        <v>50.0</v>
      </c>
      <c r="B66" s="17" t="s">
        <v>9928</v>
      </c>
      <c r="C66" s="17" t="s">
        <v>9929</v>
      </c>
      <c r="D66" s="17" t="s">
        <v>9930</v>
      </c>
      <c r="E66" s="12">
        <v>10.0</v>
      </c>
      <c r="F66" s="7">
        <f t="shared" si="2"/>
        <v>90</v>
      </c>
      <c r="G66" s="17" t="s">
        <v>3113</v>
      </c>
      <c r="H66" s="2"/>
      <c r="I66" s="2"/>
      <c r="J66" s="2"/>
      <c r="K66" s="2"/>
      <c r="L66" s="2"/>
      <c r="M66" s="2"/>
      <c r="N66" s="2"/>
      <c r="O66" s="2"/>
      <c r="P66" s="2"/>
      <c r="Q66" s="2"/>
      <c r="R66" s="2"/>
      <c r="S66" s="2"/>
      <c r="T66" s="2"/>
      <c r="U66" s="2"/>
      <c r="V66" s="2"/>
      <c r="W66" s="2"/>
      <c r="X66" s="2"/>
      <c r="Y66" s="2"/>
      <c r="Z66" s="2"/>
      <c r="AA66" s="2"/>
    </row>
    <row r="67">
      <c r="A67" s="11">
        <v>51.0</v>
      </c>
      <c r="B67" s="17" t="s">
        <v>9931</v>
      </c>
      <c r="C67" s="17" t="s">
        <v>9932</v>
      </c>
      <c r="D67" s="17" t="s">
        <v>9933</v>
      </c>
      <c r="E67" s="12">
        <v>10.0</v>
      </c>
      <c r="F67" s="7">
        <f t="shared" si="2"/>
        <v>90</v>
      </c>
      <c r="G67" s="17" t="s">
        <v>3113</v>
      </c>
      <c r="H67" s="2"/>
      <c r="I67" s="2"/>
      <c r="J67" s="2"/>
      <c r="K67" s="2"/>
      <c r="L67" s="2"/>
      <c r="M67" s="2"/>
      <c r="N67" s="2"/>
      <c r="O67" s="2"/>
      <c r="P67" s="2"/>
      <c r="Q67" s="2"/>
      <c r="R67" s="2"/>
      <c r="S67" s="2"/>
      <c r="T67" s="2"/>
      <c r="U67" s="2"/>
      <c r="V67" s="2"/>
      <c r="W67" s="2"/>
      <c r="X67" s="2"/>
      <c r="Y67" s="2"/>
      <c r="Z67" s="2"/>
      <c r="AA67" s="2"/>
    </row>
    <row r="68">
      <c r="A68" s="11">
        <v>52.0</v>
      </c>
      <c r="B68" s="17" t="s">
        <v>9934</v>
      </c>
      <c r="C68" s="17" t="s">
        <v>9935</v>
      </c>
      <c r="D68" s="17" t="s">
        <v>9936</v>
      </c>
      <c r="E68" s="12">
        <v>10.0</v>
      </c>
      <c r="F68" s="7">
        <f t="shared" si="2"/>
        <v>90</v>
      </c>
      <c r="G68" s="17" t="s">
        <v>3113</v>
      </c>
      <c r="H68" s="2"/>
      <c r="I68" s="2"/>
      <c r="J68" s="2"/>
      <c r="K68" s="2"/>
      <c r="L68" s="2"/>
      <c r="M68" s="2"/>
      <c r="N68" s="2"/>
      <c r="O68" s="2"/>
      <c r="P68" s="2"/>
      <c r="Q68" s="2"/>
      <c r="R68" s="2"/>
      <c r="S68" s="2"/>
      <c r="T68" s="2"/>
      <c r="U68" s="2"/>
      <c r="V68" s="2"/>
      <c r="W68" s="2"/>
      <c r="X68" s="2"/>
      <c r="Y68" s="2"/>
      <c r="Z68" s="2"/>
      <c r="AA68" s="2"/>
    </row>
    <row r="69">
      <c r="A69" s="11">
        <v>53.0</v>
      </c>
      <c r="B69" s="17" t="s">
        <v>9937</v>
      </c>
      <c r="C69" s="17" t="s">
        <v>9938</v>
      </c>
      <c r="D69" s="17" t="s">
        <v>9939</v>
      </c>
      <c r="E69" s="12">
        <v>10.0</v>
      </c>
      <c r="F69" s="7">
        <f t="shared" si="2"/>
        <v>90</v>
      </c>
      <c r="G69" s="17" t="s">
        <v>3113</v>
      </c>
      <c r="H69" s="2"/>
      <c r="I69" s="2"/>
      <c r="J69" s="2"/>
      <c r="K69" s="2"/>
      <c r="L69" s="2"/>
      <c r="M69" s="2"/>
      <c r="N69" s="2"/>
      <c r="O69" s="2"/>
      <c r="P69" s="2"/>
      <c r="Q69" s="2"/>
      <c r="R69" s="2"/>
      <c r="S69" s="2"/>
      <c r="T69" s="2"/>
      <c r="U69" s="2"/>
      <c r="V69" s="2"/>
      <c r="W69" s="2"/>
      <c r="X69" s="2"/>
      <c r="Y69" s="2"/>
      <c r="Z69" s="2"/>
      <c r="AA69" s="2"/>
    </row>
    <row r="70">
      <c r="A70" s="11">
        <v>54.0</v>
      </c>
      <c r="B70" s="17" t="s">
        <v>9940</v>
      </c>
      <c r="C70" s="17" t="s">
        <v>9941</v>
      </c>
      <c r="D70" s="17" t="s">
        <v>9942</v>
      </c>
      <c r="E70" s="12">
        <v>10.0</v>
      </c>
      <c r="F70" s="7">
        <f t="shared" si="2"/>
        <v>90</v>
      </c>
      <c r="G70" s="17" t="s">
        <v>3113</v>
      </c>
      <c r="H70" s="2"/>
      <c r="I70" s="2"/>
      <c r="J70" s="2"/>
      <c r="K70" s="2"/>
      <c r="L70" s="2"/>
      <c r="M70" s="2"/>
      <c r="N70" s="2"/>
      <c r="O70" s="2"/>
      <c r="P70" s="2"/>
      <c r="Q70" s="2"/>
      <c r="R70" s="2"/>
      <c r="S70" s="2"/>
      <c r="T70" s="2"/>
      <c r="U70" s="2"/>
      <c r="V70" s="2"/>
      <c r="W70" s="2"/>
      <c r="X70" s="2"/>
      <c r="Y70" s="2"/>
      <c r="Z70" s="2"/>
      <c r="AA70" s="2"/>
    </row>
    <row r="71">
      <c r="A71" s="11">
        <v>55.0</v>
      </c>
      <c r="B71" s="17" t="s">
        <v>9943</v>
      </c>
      <c r="C71" s="17" t="s">
        <v>9944</v>
      </c>
      <c r="D71" s="17" t="s">
        <v>9945</v>
      </c>
      <c r="E71" s="12">
        <v>10.0</v>
      </c>
      <c r="F71" s="7">
        <f t="shared" si="2"/>
        <v>90</v>
      </c>
      <c r="G71" s="17" t="s">
        <v>3113</v>
      </c>
      <c r="H71" s="2"/>
      <c r="I71" s="2"/>
      <c r="J71" s="2"/>
      <c r="K71" s="2"/>
      <c r="L71" s="2"/>
      <c r="M71" s="2"/>
      <c r="N71" s="2"/>
      <c r="O71" s="2"/>
      <c r="P71" s="2"/>
      <c r="Q71" s="2"/>
      <c r="R71" s="2"/>
      <c r="S71" s="2"/>
      <c r="T71" s="2"/>
      <c r="U71" s="2"/>
      <c r="V71" s="2"/>
      <c r="W71" s="2"/>
      <c r="X71" s="2"/>
      <c r="Y71" s="2"/>
      <c r="Z71" s="2"/>
      <c r="AA71" s="2"/>
    </row>
    <row r="72">
      <c r="A72" s="11">
        <v>56.0</v>
      </c>
      <c r="B72" s="17" t="s">
        <v>9946</v>
      </c>
      <c r="C72" s="17" t="s">
        <v>9947</v>
      </c>
      <c r="D72" s="17" t="s">
        <v>9948</v>
      </c>
      <c r="E72" s="12">
        <v>10.0</v>
      </c>
      <c r="F72" s="7">
        <f t="shared" si="2"/>
        <v>90</v>
      </c>
      <c r="G72" s="17" t="s">
        <v>3113</v>
      </c>
      <c r="H72" s="2"/>
      <c r="I72" s="2"/>
      <c r="J72" s="2"/>
      <c r="K72" s="2"/>
      <c r="L72" s="2"/>
      <c r="M72" s="2"/>
      <c r="N72" s="2"/>
      <c r="O72" s="2"/>
      <c r="P72" s="2"/>
      <c r="Q72" s="2"/>
      <c r="R72" s="2"/>
      <c r="S72" s="2"/>
      <c r="T72" s="2"/>
      <c r="U72" s="2"/>
      <c r="V72" s="2"/>
      <c r="W72" s="2"/>
      <c r="X72" s="2"/>
      <c r="Y72" s="2"/>
      <c r="Z72" s="2"/>
      <c r="AA72" s="2"/>
    </row>
    <row r="73">
      <c r="A73" s="11">
        <v>57.0</v>
      </c>
      <c r="B73" s="17" t="s">
        <v>9949</v>
      </c>
      <c r="C73" s="17" t="s">
        <v>9950</v>
      </c>
      <c r="D73" s="17" t="s">
        <v>9951</v>
      </c>
      <c r="E73" s="12">
        <v>10.0</v>
      </c>
      <c r="F73" s="7">
        <f t="shared" si="2"/>
        <v>90</v>
      </c>
      <c r="G73" s="17" t="s">
        <v>3113</v>
      </c>
      <c r="H73" s="2"/>
      <c r="I73" s="2"/>
      <c r="J73" s="2"/>
      <c r="K73" s="2"/>
      <c r="L73" s="2"/>
      <c r="M73" s="2"/>
      <c r="N73" s="2"/>
      <c r="O73" s="2"/>
      <c r="P73" s="2"/>
      <c r="Q73" s="2"/>
      <c r="R73" s="2"/>
      <c r="S73" s="2"/>
      <c r="T73" s="2"/>
      <c r="U73" s="2"/>
      <c r="V73" s="2"/>
      <c r="W73" s="2"/>
      <c r="X73" s="2"/>
      <c r="Y73" s="2"/>
      <c r="Z73" s="2"/>
      <c r="AA73" s="2"/>
    </row>
    <row r="74">
      <c r="A74" s="11">
        <v>58.0</v>
      </c>
      <c r="B74" s="17" t="s">
        <v>9952</v>
      </c>
      <c r="C74" s="17" t="s">
        <v>9953</v>
      </c>
      <c r="D74" s="17" t="s">
        <v>9954</v>
      </c>
      <c r="E74" s="12">
        <v>10.0</v>
      </c>
      <c r="F74" s="7">
        <f t="shared" si="2"/>
        <v>90</v>
      </c>
      <c r="G74" s="17" t="s">
        <v>3113</v>
      </c>
      <c r="H74" s="2"/>
      <c r="I74" s="2"/>
      <c r="J74" s="2"/>
      <c r="K74" s="2"/>
      <c r="L74" s="2"/>
      <c r="M74" s="2"/>
      <c r="N74" s="2"/>
      <c r="O74" s="2"/>
      <c r="P74" s="2"/>
      <c r="Q74" s="2"/>
      <c r="R74" s="2"/>
      <c r="S74" s="2"/>
      <c r="T74" s="2"/>
      <c r="U74" s="2"/>
      <c r="V74" s="2"/>
      <c r="W74" s="2"/>
      <c r="X74" s="2"/>
      <c r="Y74" s="2"/>
      <c r="Z74" s="2"/>
      <c r="AA74" s="2"/>
    </row>
    <row r="75">
      <c r="A75" s="11">
        <v>59.0</v>
      </c>
      <c r="B75" s="17" t="s">
        <v>9955</v>
      </c>
      <c r="C75" s="17" t="s">
        <v>9956</v>
      </c>
      <c r="D75" s="17" t="s">
        <v>9957</v>
      </c>
      <c r="E75" s="12">
        <v>10.0</v>
      </c>
      <c r="F75" s="7">
        <f t="shared" si="2"/>
        <v>90</v>
      </c>
      <c r="G75" s="17" t="s">
        <v>3113</v>
      </c>
      <c r="H75" s="2"/>
      <c r="I75" s="2"/>
      <c r="J75" s="2"/>
      <c r="K75" s="2"/>
      <c r="L75" s="2"/>
      <c r="M75" s="2"/>
      <c r="N75" s="2"/>
      <c r="O75" s="2"/>
      <c r="P75" s="2"/>
      <c r="Q75" s="2"/>
      <c r="R75" s="2"/>
      <c r="S75" s="2"/>
      <c r="T75" s="2"/>
      <c r="U75" s="2"/>
      <c r="V75" s="2"/>
      <c r="W75" s="2"/>
      <c r="X75" s="2"/>
      <c r="Y75" s="2"/>
      <c r="Z75" s="2"/>
      <c r="AA75" s="2"/>
    </row>
    <row r="76">
      <c r="A76" s="11">
        <v>60.0</v>
      </c>
      <c r="B76" s="17" t="s">
        <v>9958</v>
      </c>
      <c r="C76" s="17" t="s">
        <v>9959</v>
      </c>
      <c r="D76" s="17" t="s">
        <v>9960</v>
      </c>
      <c r="E76" s="12">
        <v>10.0</v>
      </c>
      <c r="F76" s="7">
        <f t="shared" si="2"/>
        <v>90</v>
      </c>
      <c r="G76" s="17" t="s">
        <v>3113</v>
      </c>
      <c r="H76" s="2"/>
      <c r="I76" s="2"/>
      <c r="J76" s="2"/>
      <c r="K76" s="2"/>
      <c r="L76" s="2"/>
      <c r="M76" s="2"/>
      <c r="N76" s="2"/>
      <c r="O76" s="2"/>
      <c r="P76" s="2"/>
      <c r="Q76" s="2"/>
      <c r="R76" s="2"/>
      <c r="S76" s="2"/>
      <c r="T76" s="2"/>
      <c r="U76" s="2"/>
      <c r="V76" s="2"/>
      <c r="W76" s="2"/>
      <c r="X76" s="2"/>
      <c r="Y76" s="2"/>
      <c r="Z76" s="2"/>
      <c r="AA76" s="2"/>
    </row>
    <row r="77">
      <c r="A77" s="11">
        <v>61.0</v>
      </c>
      <c r="B77" s="17" t="s">
        <v>9961</v>
      </c>
      <c r="C77" s="17" t="s">
        <v>9962</v>
      </c>
      <c r="D77" s="17" t="s">
        <v>9963</v>
      </c>
      <c r="E77" s="12">
        <v>10.0</v>
      </c>
      <c r="F77" s="7">
        <f t="shared" si="2"/>
        <v>90</v>
      </c>
      <c r="G77" s="17" t="s">
        <v>3113</v>
      </c>
      <c r="H77" s="2"/>
      <c r="I77" s="2"/>
      <c r="J77" s="2"/>
      <c r="K77" s="2"/>
      <c r="L77" s="2"/>
      <c r="M77" s="2"/>
      <c r="N77" s="2"/>
      <c r="O77" s="2"/>
      <c r="P77" s="2"/>
      <c r="Q77" s="2"/>
      <c r="R77" s="2"/>
      <c r="S77" s="2"/>
      <c r="T77" s="2"/>
      <c r="U77" s="2"/>
      <c r="V77" s="2"/>
      <c r="W77" s="2"/>
      <c r="X77" s="2"/>
      <c r="Y77" s="2"/>
      <c r="Z77" s="2"/>
      <c r="AA77" s="2"/>
    </row>
    <row r="78">
      <c r="A78" s="11">
        <v>62.0</v>
      </c>
      <c r="B78" s="17" t="s">
        <v>9964</v>
      </c>
      <c r="C78" s="17" t="s">
        <v>9965</v>
      </c>
      <c r="D78" s="17" t="s">
        <v>9966</v>
      </c>
      <c r="E78" s="12">
        <v>10.0</v>
      </c>
      <c r="F78" s="7">
        <f t="shared" si="2"/>
        <v>90</v>
      </c>
      <c r="G78" s="17" t="s">
        <v>3113</v>
      </c>
      <c r="H78" s="2"/>
      <c r="I78" s="2"/>
      <c r="J78" s="2"/>
      <c r="K78" s="2"/>
      <c r="L78" s="2"/>
      <c r="M78" s="2"/>
      <c r="N78" s="2"/>
      <c r="O78" s="2"/>
      <c r="P78" s="2"/>
      <c r="Q78" s="2"/>
      <c r="R78" s="2"/>
      <c r="S78" s="2"/>
      <c r="T78" s="2"/>
      <c r="U78" s="2"/>
      <c r="V78" s="2"/>
      <c r="W78" s="2"/>
      <c r="X78" s="2"/>
      <c r="Y78" s="2"/>
      <c r="Z78" s="2"/>
      <c r="AA78" s="2"/>
    </row>
    <row r="79">
      <c r="A79" s="11">
        <v>63.0</v>
      </c>
      <c r="B79" s="17" t="s">
        <v>9967</v>
      </c>
      <c r="C79" s="17" t="s">
        <v>9968</v>
      </c>
      <c r="D79" s="17" t="s">
        <v>9969</v>
      </c>
      <c r="E79" s="12">
        <v>10.0</v>
      </c>
      <c r="F79" s="7">
        <f t="shared" si="2"/>
        <v>90</v>
      </c>
      <c r="G79" s="17" t="s">
        <v>3113</v>
      </c>
      <c r="H79" s="2"/>
      <c r="I79" s="2"/>
      <c r="J79" s="2"/>
      <c r="K79" s="2"/>
      <c r="L79" s="2"/>
      <c r="M79" s="2"/>
      <c r="N79" s="2"/>
      <c r="O79" s="2"/>
      <c r="P79" s="2"/>
      <c r="Q79" s="2"/>
      <c r="R79" s="2"/>
      <c r="S79" s="2"/>
      <c r="T79" s="2"/>
      <c r="U79" s="2"/>
      <c r="V79" s="2"/>
      <c r="W79" s="2"/>
      <c r="X79" s="2"/>
      <c r="Y79" s="2"/>
      <c r="Z79" s="2"/>
      <c r="AA79" s="2"/>
    </row>
    <row r="80">
      <c r="A80" s="11">
        <v>64.0</v>
      </c>
      <c r="B80" s="17" t="s">
        <v>9970</v>
      </c>
      <c r="C80" s="17" t="s">
        <v>9971</v>
      </c>
      <c r="D80" s="17" t="s">
        <v>9972</v>
      </c>
      <c r="E80" s="12">
        <v>10.0</v>
      </c>
      <c r="F80" s="7">
        <f t="shared" si="2"/>
        <v>90</v>
      </c>
      <c r="G80" s="17" t="s">
        <v>3113</v>
      </c>
      <c r="H80" s="2"/>
      <c r="I80" s="2"/>
      <c r="J80" s="2"/>
      <c r="K80" s="2"/>
      <c r="L80" s="2"/>
      <c r="M80" s="2"/>
      <c r="N80" s="2"/>
      <c r="O80" s="2"/>
      <c r="P80" s="2"/>
      <c r="Q80" s="2"/>
      <c r="R80" s="2"/>
      <c r="S80" s="2"/>
      <c r="T80" s="2"/>
      <c r="U80" s="2"/>
      <c r="V80" s="2"/>
      <c r="W80" s="2"/>
      <c r="X80" s="2"/>
      <c r="Y80" s="2"/>
      <c r="Z80" s="2"/>
      <c r="AA80" s="2"/>
    </row>
    <row r="81">
      <c r="A81" s="11">
        <v>65.0</v>
      </c>
      <c r="B81" s="17" t="s">
        <v>9973</v>
      </c>
      <c r="C81" s="17" t="s">
        <v>9974</v>
      </c>
      <c r="D81" s="17" t="s">
        <v>9975</v>
      </c>
      <c r="E81" s="12">
        <v>10.0</v>
      </c>
      <c r="F81" s="7">
        <f t="shared" si="2"/>
        <v>90</v>
      </c>
      <c r="G81" s="17" t="s">
        <v>3113</v>
      </c>
      <c r="H81" s="2"/>
      <c r="I81" s="2"/>
      <c r="J81" s="2"/>
      <c r="K81" s="2"/>
      <c r="L81" s="2"/>
      <c r="M81" s="2"/>
      <c r="N81" s="2"/>
      <c r="O81" s="2"/>
      <c r="P81" s="2"/>
      <c r="Q81" s="2"/>
      <c r="R81" s="2"/>
      <c r="S81" s="2"/>
      <c r="T81" s="2"/>
      <c r="U81" s="2"/>
      <c r="V81" s="2"/>
      <c r="W81" s="2"/>
      <c r="X81" s="2"/>
      <c r="Y81" s="2"/>
      <c r="Z81" s="2"/>
      <c r="AA81" s="2"/>
    </row>
    <row r="82">
      <c r="A82" s="11">
        <v>66.0</v>
      </c>
      <c r="B82" s="17" t="s">
        <v>9976</v>
      </c>
      <c r="C82" s="17" t="s">
        <v>9977</v>
      </c>
      <c r="D82" s="17" t="s">
        <v>9978</v>
      </c>
      <c r="E82" s="12">
        <v>10.0</v>
      </c>
      <c r="F82" s="7">
        <f t="shared" si="2"/>
        <v>90</v>
      </c>
      <c r="G82" s="17" t="s">
        <v>3113</v>
      </c>
      <c r="H82" s="2"/>
      <c r="I82" s="2"/>
      <c r="J82" s="2"/>
      <c r="K82" s="2"/>
      <c r="L82" s="2"/>
      <c r="M82" s="2"/>
      <c r="N82" s="2"/>
      <c r="O82" s="2"/>
      <c r="P82" s="2"/>
      <c r="Q82" s="2"/>
      <c r="R82" s="2"/>
      <c r="S82" s="2"/>
      <c r="T82" s="2"/>
      <c r="U82" s="2"/>
      <c r="V82" s="2"/>
      <c r="W82" s="2"/>
      <c r="X82" s="2"/>
      <c r="Y82" s="2"/>
      <c r="Z82" s="2"/>
      <c r="AA82" s="2"/>
    </row>
    <row r="83">
      <c r="A83" s="11">
        <v>67.0</v>
      </c>
      <c r="B83" s="17" t="s">
        <v>9979</v>
      </c>
      <c r="C83" s="17" t="s">
        <v>9980</v>
      </c>
      <c r="D83" s="17" t="s">
        <v>9981</v>
      </c>
      <c r="E83" s="12">
        <v>10.0</v>
      </c>
      <c r="F83" s="7">
        <f t="shared" si="2"/>
        <v>90</v>
      </c>
      <c r="G83" s="17" t="s">
        <v>3113</v>
      </c>
      <c r="H83" s="2"/>
      <c r="I83" s="2"/>
      <c r="J83" s="2"/>
      <c r="K83" s="2"/>
      <c r="L83" s="2"/>
      <c r="M83" s="2"/>
      <c r="N83" s="2"/>
      <c r="O83" s="2"/>
      <c r="P83" s="2"/>
      <c r="Q83" s="2"/>
      <c r="R83" s="2"/>
      <c r="S83" s="2"/>
      <c r="T83" s="2"/>
      <c r="U83" s="2"/>
      <c r="V83" s="2"/>
      <c r="W83" s="2"/>
      <c r="X83" s="2"/>
      <c r="Y83" s="2"/>
      <c r="Z83" s="2"/>
      <c r="AA83" s="2"/>
    </row>
    <row r="84">
      <c r="A84" s="11">
        <v>68.0</v>
      </c>
      <c r="B84" s="17" t="s">
        <v>9982</v>
      </c>
      <c r="C84" s="17" t="s">
        <v>9983</v>
      </c>
      <c r="D84" s="17" t="s">
        <v>9984</v>
      </c>
      <c r="E84" s="12">
        <v>10.0</v>
      </c>
      <c r="F84" s="7">
        <f t="shared" si="2"/>
        <v>90</v>
      </c>
      <c r="G84" s="17" t="s">
        <v>3113</v>
      </c>
      <c r="H84" s="2"/>
      <c r="I84" s="2"/>
      <c r="J84" s="2"/>
      <c r="K84" s="2"/>
      <c r="L84" s="2"/>
      <c r="M84" s="2"/>
      <c r="N84" s="2"/>
      <c r="O84" s="2"/>
      <c r="P84" s="2"/>
      <c r="Q84" s="2"/>
      <c r="R84" s="2"/>
      <c r="S84" s="2"/>
      <c r="T84" s="2"/>
      <c r="U84" s="2"/>
      <c r="V84" s="2"/>
      <c r="W84" s="2"/>
      <c r="X84" s="2"/>
      <c r="Y84" s="2"/>
      <c r="Z84" s="2"/>
      <c r="AA84" s="2"/>
    </row>
    <row r="85">
      <c r="A85" s="11">
        <v>69.0</v>
      </c>
      <c r="B85" s="17" t="s">
        <v>9985</v>
      </c>
      <c r="C85" s="17" t="s">
        <v>9986</v>
      </c>
      <c r="D85" s="17" t="s">
        <v>9987</v>
      </c>
      <c r="E85" s="12">
        <v>10.0</v>
      </c>
      <c r="F85" s="7">
        <f t="shared" si="2"/>
        <v>90</v>
      </c>
      <c r="G85" s="17" t="s">
        <v>3113</v>
      </c>
      <c r="H85" s="2"/>
      <c r="I85" s="2"/>
      <c r="J85" s="2"/>
      <c r="K85" s="2"/>
      <c r="L85" s="2"/>
      <c r="M85" s="2"/>
      <c r="N85" s="2"/>
      <c r="O85" s="2"/>
      <c r="P85" s="2"/>
      <c r="Q85" s="2"/>
      <c r="R85" s="2"/>
      <c r="S85" s="2"/>
      <c r="T85" s="2"/>
      <c r="U85" s="2"/>
      <c r="V85" s="2"/>
      <c r="W85" s="2"/>
      <c r="X85" s="2"/>
      <c r="Y85" s="2"/>
      <c r="Z85" s="2"/>
      <c r="AA85" s="2"/>
    </row>
    <row r="86">
      <c r="A86" s="11">
        <v>70.0</v>
      </c>
      <c r="B86" s="17" t="s">
        <v>9988</v>
      </c>
      <c r="C86" s="17" t="s">
        <v>9989</v>
      </c>
      <c r="D86" s="17" t="s">
        <v>9990</v>
      </c>
      <c r="E86" s="12">
        <v>10.0</v>
      </c>
      <c r="F86" s="7">
        <f t="shared" si="2"/>
        <v>90</v>
      </c>
      <c r="G86" s="17" t="s">
        <v>3113</v>
      </c>
      <c r="H86" s="2"/>
      <c r="I86" s="2"/>
      <c r="J86" s="2"/>
      <c r="K86" s="2"/>
      <c r="L86" s="2"/>
      <c r="M86" s="2"/>
      <c r="N86" s="2"/>
      <c r="O86" s="2"/>
      <c r="P86" s="2"/>
      <c r="Q86" s="2"/>
      <c r="R86" s="2"/>
      <c r="S86" s="2"/>
      <c r="T86" s="2"/>
      <c r="U86" s="2"/>
      <c r="V86" s="2"/>
      <c r="W86" s="2"/>
      <c r="X86" s="2"/>
      <c r="Y86" s="2"/>
      <c r="Z86" s="2"/>
      <c r="AA86" s="2"/>
    </row>
    <row r="87">
      <c r="A87" s="11">
        <v>71.0</v>
      </c>
      <c r="B87" s="17" t="s">
        <v>9988</v>
      </c>
      <c r="C87" s="17" t="s">
        <v>9991</v>
      </c>
      <c r="D87" s="17" t="s">
        <v>9992</v>
      </c>
      <c r="E87" s="12">
        <v>10.0</v>
      </c>
      <c r="F87" s="7">
        <f t="shared" si="2"/>
        <v>90</v>
      </c>
      <c r="G87" s="17" t="s">
        <v>3113</v>
      </c>
      <c r="H87" s="2"/>
      <c r="I87" s="2"/>
      <c r="J87" s="2"/>
      <c r="K87" s="2"/>
      <c r="L87" s="2"/>
      <c r="M87" s="2"/>
      <c r="N87" s="2"/>
      <c r="O87" s="2"/>
      <c r="P87" s="2"/>
      <c r="Q87" s="2"/>
      <c r="R87" s="2"/>
      <c r="S87" s="2"/>
      <c r="T87" s="2"/>
      <c r="U87" s="2"/>
      <c r="V87" s="2"/>
      <c r="W87" s="2"/>
      <c r="X87" s="2"/>
      <c r="Y87" s="2"/>
      <c r="Z87" s="2"/>
      <c r="AA87" s="2"/>
    </row>
    <row r="88">
      <c r="A88" s="11">
        <v>72.0</v>
      </c>
      <c r="B88" s="17" t="s">
        <v>9993</v>
      </c>
      <c r="C88" s="17" t="s">
        <v>9994</v>
      </c>
      <c r="D88" s="17" t="s">
        <v>9995</v>
      </c>
      <c r="E88" s="12">
        <v>10.0</v>
      </c>
      <c r="F88" s="7">
        <f t="shared" si="2"/>
        <v>90</v>
      </c>
      <c r="G88" s="17" t="s">
        <v>3113</v>
      </c>
      <c r="H88" s="2"/>
      <c r="I88" s="2"/>
      <c r="J88" s="2"/>
      <c r="K88" s="2"/>
      <c r="L88" s="2"/>
      <c r="M88" s="2"/>
      <c r="N88" s="2"/>
      <c r="O88" s="2"/>
      <c r="P88" s="2"/>
      <c r="Q88" s="2"/>
      <c r="R88" s="2"/>
      <c r="S88" s="2"/>
      <c r="T88" s="2"/>
      <c r="U88" s="2"/>
      <c r="V88" s="2"/>
      <c r="W88" s="2"/>
      <c r="X88" s="2"/>
      <c r="Y88" s="2"/>
      <c r="Z88" s="2"/>
      <c r="AA88" s="2"/>
    </row>
    <row r="89">
      <c r="A89" s="11">
        <v>73.0</v>
      </c>
      <c r="B89" s="17" t="s">
        <v>9996</v>
      </c>
      <c r="C89" s="17" t="s">
        <v>9997</v>
      </c>
      <c r="D89" s="17" t="s">
        <v>9998</v>
      </c>
      <c r="E89" s="12">
        <v>10.0</v>
      </c>
      <c r="F89" s="7">
        <f t="shared" si="2"/>
        <v>90</v>
      </c>
      <c r="G89" s="17" t="s">
        <v>3113</v>
      </c>
      <c r="H89" s="2"/>
      <c r="I89" s="2"/>
      <c r="J89" s="2"/>
      <c r="K89" s="2"/>
      <c r="L89" s="2"/>
      <c r="M89" s="2"/>
      <c r="N89" s="2"/>
      <c r="O89" s="2"/>
      <c r="P89" s="2"/>
      <c r="Q89" s="2"/>
      <c r="R89" s="2"/>
      <c r="S89" s="2"/>
      <c r="T89" s="2"/>
      <c r="U89" s="2"/>
      <c r="V89" s="2"/>
      <c r="W89" s="2"/>
      <c r="X89" s="2"/>
      <c r="Y89" s="2"/>
      <c r="Z89" s="2"/>
      <c r="AA89" s="2"/>
    </row>
    <row r="90">
      <c r="A90" s="11">
        <v>74.0</v>
      </c>
      <c r="B90" s="17" t="s">
        <v>9999</v>
      </c>
      <c r="C90" s="17" t="s">
        <v>10000</v>
      </c>
      <c r="D90" s="17" t="s">
        <v>10001</v>
      </c>
      <c r="E90" s="12">
        <v>10.0</v>
      </c>
      <c r="F90" s="7">
        <f t="shared" si="2"/>
        <v>90</v>
      </c>
      <c r="G90" s="17" t="s">
        <v>3113</v>
      </c>
      <c r="H90" s="2"/>
      <c r="I90" s="2"/>
      <c r="J90" s="2"/>
      <c r="K90" s="2"/>
      <c r="L90" s="2"/>
      <c r="M90" s="2"/>
      <c r="N90" s="2"/>
      <c r="O90" s="2"/>
      <c r="P90" s="2"/>
      <c r="Q90" s="2"/>
      <c r="R90" s="2"/>
      <c r="S90" s="2"/>
      <c r="T90" s="2"/>
      <c r="U90" s="2"/>
      <c r="V90" s="2"/>
      <c r="W90" s="2"/>
      <c r="X90" s="2"/>
      <c r="Y90" s="2"/>
      <c r="Z90" s="2"/>
      <c r="AA90" s="2"/>
    </row>
    <row r="91">
      <c r="A91" s="11">
        <v>75.0</v>
      </c>
      <c r="B91" s="17" t="s">
        <v>10002</v>
      </c>
      <c r="C91" s="17" t="s">
        <v>10003</v>
      </c>
      <c r="D91" s="17" t="s">
        <v>10004</v>
      </c>
      <c r="E91" s="12">
        <v>10.0</v>
      </c>
      <c r="F91" s="7">
        <f t="shared" si="2"/>
        <v>90</v>
      </c>
      <c r="G91" s="17" t="s">
        <v>3113</v>
      </c>
      <c r="H91" s="2"/>
      <c r="I91" s="2"/>
      <c r="J91" s="2"/>
      <c r="K91" s="2"/>
      <c r="L91" s="2"/>
      <c r="M91" s="2"/>
      <c r="N91" s="2"/>
      <c r="O91" s="2"/>
      <c r="P91" s="2"/>
      <c r="Q91" s="2"/>
      <c r="R91" s="2"/>
      <c r="S91" s="2"/>
      <c r="T91" s="2"/>
      <c r="U91" s="2"/>
      <c r="V91" s="2"/>
      <c r="W91" s="2"/>
      <c r="X91" s="2"/>
      <c r="Y91" s="2"/>
      <c r="Z91" s="2"/>
      <c r="AA91" s="2"/>
    </row>
    <row r="92">
      <c r="A92" s="11">
        <v>76.0</v>
      </c>
      <c r="B92" s="17" t="s">
        <v>10005</v>
      </c>
      <c r="C92" s="17" t="s">
        <v>10006</v>
      </c>
      <c r="D92" s="17" t="s">
        <v>10007</v>
      </c>
      <c r="E92" s="12">
        <v>10.0</v>
      </c>
      <c r="F92" s="7">
        <f t="shared" si="2"/>
        <v>90</v>
      </c>
      <c r="G92" s="17" t="s">
        <v>3113</v>
      </c>
      <c r="H92" s="2"/>
      <c r="I92" s="2"/>
      <c r="J92" s="2"/>
      <c r="K92" s="2"/>
      <c r="L92" s="2"/>
      <c r="M92" s="2"/>
      <c r="N92" s="2"/>
      <c r="O92" s="2"/>
      <c r="P92" s="2"/>
      <c r="Q92" s="2"/>
      <c r="R92" s="2"/>
      <c r="S92" s="2"/>
      <c r="T92" s="2"/>
      <c r="U92" s="2"/>
      <c r="V92" s="2"/>
      <c r="W92" s="2"/>
      <c r="X92" s="2"/>
      <c r="Y92" s="2"/>
      <c r="Z92" s="2"/>
      <c r="AA92" s="2"/>
    </row>
    <row r="93">
      <c r="A93" s="11">
        <v>77.0</v>
      </c>
      <c r="B93" s="17" t="s">
        <v>10008</v>
      </c>
      <c r="C93" s="17" t="s">
        <v>10009</v>
      </c>
      <c r="D93" s="17" t="s">
        <v>10010</v>
      </c>
      <c r="E93" s="12">
        <v>10.0</v>
      </c>
      <c r="F93" s="7">
        <f t="shared" si="2"/>
        <v>90</v>
      </c>
      <c r="G93" s="17" t="s">
        <v>3113</v>
      </c>
      <c r="H93" s="2"/>
      <c r="I93" s="2"/>
      <c r="J93" s="2"/>
      <c r="K93" s="2"/>
      <c r="L93" s="2"/>
      <c r="M93" s="2"/>
      <c r="N93" s="2"/>
      <c r="O93" s="2"/>
      <c r="P93" s="2"/>
      <c r="Q93" s="2"/>
      <c r="R93" s="2"/>
      <c r="S93" s="2"/>
      <c r="T93" s="2"/>
      <c r="U93" s="2"/>
      <c r="V93" s="2"/>
      <c r="W93" s="2"/>
      <c r="X93" s="2"/>
      <c r="Y93" s="2"/>
      <c r="Z93" s="2"/>
      <c r="AA93" s="2"/>
    </row>
    <row r="94">
      <c r="A94" s="11">
        <v>78.0</v>
      </c>
      <c r="B94" s="17" t="s">
        <v>10011</v>
      </c>
      <c r="C94" s="17" t="s">
        <v>10012</v>
      </c>
      <c r="D94" s="17" t="s">
        <v>10013</v>
      </c>
      <c r="E94" s="12">
        <v>10.0</v>
      </c>
      <c r="F94" s="7">
        <f t="shared" si="2"/>
        <v>90</v>
      </c>
      <c r="G94" s="17" t="s">
        <v>3113</v>
      </c>
      <c r="H94" s="2"/>
      <c r="I94" s="2"/>
      <c r="J94" s="2"/>
      <c r="K94" s="2"/>
      <c r="L94" s="2"/>
      <c r="M94" s="2"/>
      <c r="N94" s="2"/>
      <c r="O94" s="2"/>
      <c r="P94" s="2"/>
      <c r="Q94" s="2"/>
      <c r="R94" s="2"/>
      <c r="S94" s="2"/>
      <c r="T94" s="2"/>
      <c r="U94" s="2"/>
      <c r="V94" s="2"/>
      <c r="W94" s="2"/>
      <c r="X94" s="2"/>
      <c r="Y94" s="2"/>
      <c r="Z94" s="2"/>
      <c r="AA94" s="2"/>
    </row>
    <row r="95">
      <c r="A95" s="11">
        <v>79.0</v>
      </c>
      <c r="B95" s="17" t="s">
        <v>10014</v>
      </c>
      <c r="C95" s="17" t="s">
        <v>10015</v>
      </c>
      <c r="D95" s="17" t="s">
        <v>10016</v>
      </c>
      <c r="E95" s="12">
        <v>10.0</v>
      </c>
      <c r="F95" s="7">
        <f t="shared" si="2"/>
        <v>90</v>
      </c>
      <c r="G95" s="17" t="s">
        <v>3113</v>
      </c>
      <c r="H95" s="2"/>
      <c r="I95" s="2"/>
      <c r="J95" s="2"/>
      <c r="K95" s="2"/>
      <c r="L95" s="2"/>
      <c r="M95" s="2"/>
      <c r="N95" s="2"/>
      <c r="O95" s="2"/>
      <c r="P95" s="2"/>
      <c r="Q95" s="2"/>
      <c r="R95" s="2"/>
      <c r="S95" s="2"/>
      <c r="T95" s="2"/>
      <c r="U95" s="2"/>
      <c r="V95" s="2"/>
      <c r="W95" s="2"/>
      <c r="X95" s="2"/>
      <c r="Y95" s="2"/>
      <c r="Z95" s="2"/>
      <c r="AA95" s="2"/>
    </row>
    <row r="96">
      <c r="A96" s="11">
        <v>80.0</v>
      </c>
      <c r="B96" s="17" t="s">
        <v>10017</v>
      </c>
      <c r="C96" s="17" t="s">
        <v>10018</v>
      </c>
      <c r="D96" s="17" t="s">
        <v>10019</v>
      </c>
      <c r="E96" s="12">
        <v>10.0</v>
      </c>
      <c r="F96" s="7">
        <f t="shared" si="2"/>
        <v>90</v>
      </c>
      <c r="G96" s="17" t="s">
        <v>3113</v>
      </c>
      <c r="H96" s="2"/>
      <c r="I96" s="2"/>
      <c r="J96" s="2"/>
      <c r="K96" s="2"/>
      <c r="L96" s="2"/>
      <c r="M96" s="2"/>
      <c r="N96" s="2"/>
      <c r="O96" s="2"/>
      <c r="P96" s="2"/>
      <c r="Q96" s="2"/>
      <c r="R96" s="2"/>
      <c r="S96" s="2"/>
      <c r="T96" s="2"/>
      <c r="U96" s="2"/>
      <c r="V96" s="2"/>
      <c r="W96" s="2"/>
      <c r="X96" s="2"/>
      <c r="Y96" s="2"/>
      <c r="Z96" s="2"/>
      <c r="AA96" s="2"/>
    </row>
    <row r="97">
      <c r="A97" s="11">
        <v>81.0</v>
      </c>
      <c r="B97" s="17" t="s">
        <v>10020</v>
      </c>
      <c r="C97" s="17" t="s">
        <v>10021</v>
      </c>
      <c r="D97" s="17" t="s">
        <v>10022</v>
      </c>
      <c r="E97" s="12">
        <v>10.0</v>
      </c>
      <c r="F97" s="7">
        <f t="shared" si="2"/>
        <v>90</v>
      </c>
      <c r="G97" s="17" t="s">
        <v>3113</v>
      </c>
      <c r="H97" s="2"/>
      <c r="I97" s="2"/>
      <c r="J97" s="2"/>
      <c r="K97" s="2"/>
      <c r="L97" s="2"/>
      <c r="M97" s="2"/>
      <c r="N97" s="2"/>
      <c r="O97" s="2"/>
      <c r="P97" s="2"/>
      <c r="Q97" s="2"/>
      <c r="R97" s="2"/>
      <c r="S97" s="2"/>
      <c r="T97" s="2"/>
      <c r="U97" s="2"/>
      <c r="V97" s="2"/>
      <c r="W97" s="2"/>
      <c r="X97" s="2"/>
      <c r="Y97" s="2"/>
      <c r="Z97" s="2"/>
      <c r="AA97" s="2"/>
    </row>
    <row r="98">
      <c r="A98" s="11">
        <v>82.0</v>
      </c>
      <c r="B98" s="17" t="s">
        <v>10023</v>
      </c>
      <c r="C98" s="17" t="s">
        <v>10024</v>
      </c>
      <c r="D98" s="17" t="s">
        <v>10025</v>
      </c>
      <c r="E98" s="12">
        <v>10.0</v>
      </c>
      <c r="F98" s="7">
        <f t="shared" si="2"/>
        <v>90</v>
      </c>
      <c r="G98" s="17" t="s">
        <v>3113</v>
      </c>
      <c r="H98" s="2"/>
      <c r="I98" s="2"/>
      <c r="J98" s="2"/>
      <c r="K98" s="2"/>
      <c r="L98" s="2"/>
      <c r="M98" s="2"/>
      <c r="N98" s="2"/>
      <c r="O98" s="2"/>
      <c r="P98" s="2"/>
      <c r="Q98" s="2"/>
      <c r="R98" s="2"/>
      <c r="S98" s="2"/>
      <c r="T98" s="2"/>
      <c r="U98" s="2"/>
      <c r="V98" s="2"/>
      <c r="W98" s="2"/>
      <c r="X98" s="2"/>
      <c r="Y98" s="2"/>
      <c r="Z98" s="2"/>
      <c r="AA98" s="2"/>
    </row>
    <row r="99">
      <c r="A99" s="11">
        <v>83.0</v>
      </c>
      <c r="B99" s="17" t="s">
        <v>10026</v>
      </c>
      <c r="C99" s="17" t="s">
        <v>10027</v>
      </c>
      <c r="D99" s="17" t="s">
        <v>10028</v>
      </c>
      <c r="E99" s="12">
        <v>10.0</v>
      </c>
      <c r="F99" s="7">
        <f t="shared" si="2"/>
        <v>90</v>
      </c>
      <c r="G99" s="17" t="s">
        <v>3113</v>
      </c>
      <c r="H99" s="2"/>
      <c r="I99" s="2"/>
      <c r="J99" s="2"/>
      <c r="K99" s="2"/>
      <c r="L99" s="2"/>
      <c r="M99" s="2"/>
      <c r="N99" s="2"/>
      <c r="O99" s="2"/>
      <c r="P99" s="2"/>
      <c r="Q99" s="2"/>
      <c r="R99" s="2"/>
      <c r="S99" s="2"/>
      <c r="T99" s="2"/>
      <c r="U99" s="2"/>
      <c r="V99" s="2"/>
      <c r="W99" s="2"/>
      <c r="X99" s="2"/>
      <c r="Y99" s="2"/>
      <c r="Z99" s="2"/>
      <c r="AA99" s="2"/>
    </row>
    <row r="100">
      <c r="A100" s="11">
        <v>84.0</v>
      </c>
      <c r="B100" s="17" t="s">
        <v>10029</v>
      </c>
      <c r="C100" s="17" t="s">
        <v>10030</v>
      </c>
      <c r="D100" s="17" t="s">
        <v>10031</v>
      </c>
      <c r="E100" s="12">
        <v>10.0</v>
      </c>
      <c r="F100" s="7">
        <f t="shared" si="2"/>
        <v>90</v>
      </c>
      <c r="G100" s="17" t="s">
        <v>3113</v>
      </c>
      <c r="H100" s="2"/>
      <c r="I100" s="2"/>
      <c r="J100" s="2"/>
      <c r="K100" s="2"/>
      <c r="L100" s="2"/>
      <c r="M100" s="2"/>
      <c r="N100" s="2"/>
      <c r="O100" s="2"/>
      <c r="P100" s="2"/>
      <c r="Q100" s="2"/>
      <c r="R100" s="2"/>
      <c r="S100" s="2"/>
      <c r="T100" s="2"/>
      <c r="U100" s="2"/>
      <c r="V100" s="2"/>
      <c r="W100" s="2"/>
      <c r="X100" s="2"/>
      <c r="Y100" s="2"/>
      <c r="Z100" s="2"/>
      <c r="AA100" s="2"/>
    </row>
    <row r="101">
      <c r="A101" s="11">
        <v>85.0</v>
      </c>
      <c r="B101" s="17" t="s">
        <v>10032</v>
      </c>
      <c r="C101" s="17" t="s">
        <v>10033</v>
      </c>
      <c r="D101" s="17" t="s">
        <v>10034</v>
      </c>
      <c r="E101" s="12">
        <v>10.0</v>
      </c>
      <c r="F101" s="7">
        <f t="shared" si="2"/>
        <v>90</v>
      </c>
      <c r="G101" s="17" t="s">
        <v>3113</v>
      </c>
      <c r="H101" s="2"/>
      <c r="I101" s="2"/>
      <c r="J101" s="2"/>
      <c r="K101" s="2"/>
      <c r="L101" s="2"/>
      <c r="M101" s="2"/>
      <c r="N101" s="2"/>
      <c r="O101" s="2"/>
      <c r="P101" s="2"/>
      <c r="Q101" s="2"/>
      <c r="R101" s="2"/>
      <c r="S101" s="2"/>
      <c r="T101" s="2"/>
      <c r="U101" s="2"/>
      <c r="V101" s="2"/>
      <c r="W101" s="2"/>
      <c r="X101" s="2"/>
      <c r="Y101" s="2"/>
      <c r="Z101" s="2"/>
      <c r="AA101" s="2"/>
    </row>
    <row r="102">
      <c r="A102" s="11">
        <v>86.0</v>
      </c>
      <c r="B102" s="17" t="s">
        <v>10035</v>
      </c>
      <c r="C102" s="17" t="s">
        <v>10036</v>
      </c>
      <c r="D102" s="17" t="s">
        <v>10037</v>
      </c>
      <c r="E102" s="12">
        <v>10.0</v>
      </c>
      <c r="F102" s="7">
        <f t="shared" si="2"/>
        <v>90</v>
      </c>
      <c r="G102" s="17" t="s">
        <v>3113</v>
      </c>
      <c r="H102" s="2"/>
      <c r="I102" s="2"/>
      <c r="J102" s="2"/>
      <c r="K102" s="2"/>
      <c r="L102" s="2"/>
      <c r="M102" s="2"/>
      <c r="N102" s="2"/>
      <c r="O102" s="2"/>
      <c r="P102" s="2"/>
      <c r="Q102" s="2"/>
      <c r="R102" s="2"/>
      <c r="S102" s="2"/>
      <c r="T102" s="2"/>
      <c r="U102" s="2"/>
      <c r="V102" s="2"/>
      <c r="W102" s="2"/>
      <c r="X102" s="2"/>
      <c r="Y102" s="2"/>
      <c r="Z102" s="2"/>
      <c r="AA102" s="2"/>
    </row>
    <row r="103">
      <c r="A103" s="11">
        <v>87.0</v>
      </c>
      <c r="B103" s="17" t="s">
        <v>10038</v>
      </c>
      <c r="C103" s="17" t="s">
        <v>10039</v>
      </c>
      <c r="D103" s="17" t="s">
        <v>10040</v>
      </c>
      <c r="E103" s="12">
        <v>10.0</v>
      </c>
      <c r="F103" s="7">
        <f t="shared" si="2"/>
        <v>90</v>
      </c>
      <c r="G103" s="17" t="s">
        <v>3113</v>
      </c>
      <c r="H103" s="2"/>
      <c r="I103" s="2"/>
      <c r="J103" s="2"/>
      <c r="K103" s="2"/>
      <c r="L103" s="2"/>
      <c r="M103" s="2"/>
      <c r="N103" s="2"/>
      <c r="O103" s="2"/>
      <c r="P103" s="2"/>
      <c r="Q103" s="2"/>
      <c r="R103" s="2"/>
      <c r="S103" s="2"/>
      <c r="T103" s="2"/>
      <c r="U103" s="2"/>
      <c r="V103" s="2"/>
      <c r="W103" s="2"/>
      <c r="X103" s="2"/>
      <c r="Y103" s="2"/>
      <c r="Z103" s="2"/>
      <c r="AA103" s="2"/>
    </row>
    <row r="104">
      <c r="A104" s="11">
        <v>88.0</v>
      </c>
      <c r="B104" s="17" t="s">
        <v>10041</v>
      </c>
      <c r="C104" s="17" t="s">
        <v>10042</v>
      </c>
      <c r="D104" s="17" t="s">
        <v>10043</v>
      </c>
      <c r="E104" s="12">
        <v>10.0</v>
      </c>
      <c r="F104" s="7">
        <f t="shared" si="2"/>
        <v>90</v>
      </c>
      <c r="G104" s="17" t="s">
        <v>3113</v>
      </c>
      <c r="H104" s="2"/>
      <c r="I104" s="2"/>
      <c r="J104" s="2"/>
      <c r="K104" s="2"/>
      <c r="L104" s="2"/>
      <c r="M104" s="2"/>
      <c r="N104" s="2"/>
      <c r="O104" s="2"/>
      <c r="P104" s="2"/>
      <c r="Q104" s="2"/>
      <c r="R104" s="2"/>
      <c r="S104" s="2"/>
      <c r="T104" s="2"/>
      <c r="U104" s="2"/>
      <c r="V104" s="2"/>
      <c r="W104" s="2"/>
      <c r="X104" s="2"/>
      <c r="Y104" s="2"/>
      <c r="Z104" s="2"/>
      <c r="AA104" s="2"/>
    </row>
    <row r="105">
      <c r="A105" s="11">
        <v>89.0</v>
      </c>
      <c r="B105" s="17" t="s">
        <v>10044</v>
      </c>
      <c r="C105" s="17" t="s">
        <v>10045</v>
      </c>
      <c r="D105" s="17" t="s">
        <v>10046</v>
      </c>
      <c r="E105" s="12">
        <v>10.0</v>
      </c>
      <c r="F105" s="7">
        <f t="shared" si="2"/>
        <v>90</v>
      </c>
      <c r="G105" s="17" t="s">
        <v>3113</v>
      </c>
      <c r="H105" s="2"/>
      <c r="I105" s="2"/>
      <c r="J105" s="2"/>
      <c r="K105" s="2"/>
      <c r="L105" s="2"/>
      <c r="M105" s="2"/>
      <c r="N105" s="2"/>
      <c r="O105" s="2"/>
      <c r="P105" s="2"/>
      <c r="Q105" s="2"/>
      <c r="R105" s="2"/>
      <c r="S105" s="2"/>
      <c r="T105" s="2"/>
      <c r="U105" s="2"/>
      <c r="V105" s="2"/>
      <c r="W105" s="2"/>
      <c r="X105" s="2"/>
      <c r="Y105" s="2"/>
      <c r="Z105" s="2"/>
      <c r="AA105" s="2"/>
    </row>
    <row r="106">
      <c r="A106" s="11">
        <v>90.0</v>
      </c>
      <c r="B106" s="17" t="s">
        <v>10047</v>
      </c>
      <c r="C106" s="17" t="s">
        <v>10048</v>
      </c>
      <c r="D106" s="17" t="s">
        <v>10049</v>
      </c>
      <c r="E106" s="12">
        <v>10.0</v>
      </c>
      <c r="F106" s="7">
        <f t="shared" si="2"/>
        <v>90</v>
      </c>
      <c r="G106" s="17" t="s">
        <v>3113</v>
      </c>
      <c r="H106" s="2"/>
      <c r="I106" s="2"/>
      <c r="J106" s="2"/>
      <c r="K106" s="2"/>
      <c r="L106" s="2"/>
      <c r="M106" s="2"/>
      <c r="N106" s="2"/>
      <c r="O106" s="2"/>
      <c r="P106" s="2"/>
      <c r="Q106" s="2"/>
      <c r="R106" s="2"/>
      <c r="S106" s="2"/>
      <c r="T106" s="2"/>
      <c r="U106" s="2"/>
      <c r="V106" s="2"/>
      <c r="W106" s="2"/>
      <c r="X106" s="2"/>
      <c r="Y106" s="2"/>
      <c r="Z106" s="2"/>
      <c r="AA106" s="2"/>
    </row>
    <row r="107">
      <c r="A107" s="11">
        <v>91.0</v>
      </c>
      <c r="B107" s="17" t="s">
        <v>10050</v>
      </c>
      <c r="C107" s="17" t="s">
        <v>10051</v>
      </c>
      <c r="D107" s="17" t="s">
        <v>10052</v>
      </c>
      <c r="E107" s="12">
        <v>10.0</v>
      </c>
      <c r="F107" s="7">
        <f t="shared" si="2"/>
        <v>90</v>
      </c>
      <c r="G107" s="17" t="s">
        <v>3113</v>
      </c>
      <c r="H107" s="2"/>
      <c r="I107" s="2"/>
      <c r="J107" s="2"/>
      <c r="K107" s="2"/>
      <c r="L107" s="2"/>
      <c r="M107" s="2"/>
      <c r="N107" s="2"/>
      <c r="O107" s="2"/>
      <c r="P107" s="2"/>
      <c r="Q107" s="2"/>
      <c r="R107" s="2"/>
      <c r="S107" s="2"/>
      <c r="T107" s="2"/>
      <c r="U107" s="2"/>
      <c r="V107" s="2"/>
      <c r="W107" s="2"/>
      <c r="X107" s="2"/>
      <c r="Y107" s="2"/>
      <c r="Z107" s="2"/>
      <c r="AA107" s="2"/>
    </row>
    <row r="108">
      <c r="A108" s="11">
        <v>92.0</v>
      </c>
      <c r="B108" s="17" t="s">
        <v>10053</v>
      </c>
      <c r="C108" s="17" t="s">
        <v>10054</v>
      </c>
      <c r="D108" s="17" t="s">
        <v>10055</v>
      </c>
      <c r="E108" s="12">
        <v>10.0</v>
      </c>
      <c r="F108" s="7">
        <f t="shared" si="2"/>
        <v>90</v>
      </c>
      <c r="G108" s="17" t="s">
        <v>3113</v>
      </c>
      <c r="H108" s="2"/>
      <c r="I108" s="2"/>
      <c r="J108" s="2"/>
      <c r="K108" s="2"/>
      <c r="L108" s="2"/>
      <c r="M108" s="2"/>
      <c r="N108" s="2"/>
      <c r="O108" s="2"/>
      <c r="P108" s="2"/>
      <c r="Q108" s="2"/>
      <c r="R108" s="2"/>
      <c r="S108" s="2"/>
      <c r="T108" s="2"/>
      <c r="U108" s="2"/>
      <c r="V108" s="2"/>
      <c r="W108" s="2"/>
      <c r="X108" s="2"/>
      <c r="Y108" s="2"/>
      <c r="Z108" s="2"/>
      <c r="AA108" s="2"/>
    </row>
    <row r="109">
      <c r="A109" s="11">
        <v>93.0</v>
      </c>
      <c r="B109" s="17" t="s">
        <v>10056</v>
      </c>
      <c r="C109" s="17" t="s">
        <v>10057</v>
      </c>
      <c r="D109" s="17" t="s">
        <v>10058</v>
      </c>
      <c r="E109" s="12">
        <v>10.0</v>
      </c>
      <c r="F109" s="7">
        <f t="shared" si="2"/>
        <v>90</v>
      </c>
      <c r="G109" s="17" t="s">
        <v>3113</v>
      </c>
      <c r="H109" s="2"/>
      <c r="I109" s="2"/>
      <c r="J109" s="2"/>
      <c r="K109" s="2"/>
      <c r="L109" s="2"/>
      <c r="M109" s="2"/>
      <c r="N109" s="2"/>
      <c r="O109" s="2"/>
      <c r="P109" s="2"/>
      <c r="Q109" s="2"/>
      <c r="R109" s="2"/>
      <c r="S109" s="2"/>
      <c r="T109" s="2"/>
      <c r="U109" s="2"/>
      <c r="V109" s="2"/>
      <c r="W109" s="2"/>
      <c r="X109" s="2"/>
      <c r="Y109" s="2"/>
      <c r="Z109" s="2"/>
      <c r="AA109" s="2"/>
    </row>
    <row r="110">
      <c r="A110" s="11">
        <v>94.0</v>
      </c>
      <c r="B110" s="17" t="s">
        <v>10059</v>
      </c>
      <c r="C110" s="17" t="s">
        <v>10060</v>
      </c>
      <c r="D110" s="17" t="s">
        <v>10061</v>
      </c>
      <c r="E110" s="12">
        <v>10.0</v>
      </c>
      <c r="F110" s="7">
        <f t="shared" si="2"/>
        <v>90</v>
      </c>
      <c r="G110" s="17" t="s">
        <v>3113</v>
      </c>
      <c r="H110" s="2"/>
      <c r="I110" s="2"/>
      <c r="J110" s="2"/>
      <c r="K110" s="2"/>
      <c r="L110" s="2"/>
      <c r="M110" s="2"/>
      <c r="N110" s="2"/>
      <c r="O110" s="2"/>
      <c r="P110" s="2"/>
      <c r="Q110" s="2"/>
      <c r="R110" s="2"/>
      <c r="S110" s="2"/>
      <c r="T110" s="2"/>
      <c r="U110" s="2"/>
      <c r="V110" s="2"/>
      <c r="W110" s="2"/>
      <c r="X110" s="2"/>
      <c r="Y110" s="2"/>
      <c r="Z110" s="2"/>
      <c r="AA110" s="2"/>
    </row>
    <row r="111">
      <c r="A111" s="11">
        <v>95.0</v>
      </c>
      <c r="B111" s="17" t="s">
        <v>10062</v>
      </c>
      <c r="C111" s="17" t="s">
        <v>10063</v>
      </c>
      <c r="D111" s="17" t="s">
        <v>10064</v>
      </c>
      <c r="E111" s="12">
        <v>10.0</v>
      </c>
      <c r="F111" s="7">
        <f t="shared" si="2"/>
        <v>90</v>
      </c>
      <c r="G111" s="17" t="s">
        <v>3113</v>
      </c>
      <c r="H111" s="2"/>
      <c r="I111" s="2"/>
      <c r="J111" s="2"/>
      <c r="K111" s="2"/>
      <c r="L111" s="2"/>
      <c r="M111" s="2"/>
      <c r="N111" s="2"/>
      <c r="O111" s="2"/>
      <c r="P111" s="2"/>
      <c r="Q111" s="2"/>
      <c r="R111" s="2"/>
      <c r="S111" s="2"/>
      <c r="T111" s="2"/>
      <c r="U111" s="2"/>
      <c r="V111" s="2"/>
      <c r="W111" s="2"/>
      <c r="X111" s="2"/>
      <c r="Y111" s="2"/>
      <c r="Z111" s="2"/>
      <c r="AA111" s="2"/>
    </row>
    <row r="112">
      <c r="A112" s="11">
        <v>96.0</v>
      </c>
      <c r="B112" s="17" t="s">
        <v>10065</v>
      </c>
      <c r="C112" s="17" t="s">
        <v>10066</v>
      </c>
      <c r="D112" s="17" t="s">
        <v>10067</v>
      </c>
      <c r="E112" s="12">
        <v>10.0</v>
      </c>
      <c r="F112" s="7">
        <f t="shared" si="2"/>
        <v>90</v>
      </c>
      <c r="G112" s="17" t="s">
        <v>3113</v>
      </c>
      <c r="H112" s="2"/>
      <c r="I112" s="2"/>
      <c r="J112" s="2"/>
      <c r="K112" s="2"/>
      <c r="L112" s="2"/>
      <c r="M112" s="2"/>
      <c r="N112" s="2"/>
      <c r="O112" s="2"/>
      <c r="P112" s="2"/>
      <c r="Q112" s="2"/>
      <c r="R112" s="2"/>
      <c r="S112" s="2"/>
      <c r="T112" s="2"/>
      <c r="U112" s="2"/>
      <c r="V112" s="2"/>
      <c r="W112" s="2"/>
      <c r="X112" s="2"/>
      <c r="Y112" s="2"/>
      <c r="Z112" s="2"/>
      <c r="AA112" s="2"/>
    </row>
    <row r="113">
      <c r="A113" s="11">
        <v>97.0</v>
      </c>
      <c r="B113" s="17" t="s">
        <v>10068</v>
      </c>
      <c r="C113" s="17" t="s">
        <v>10069</v>
      </c>
      <c r="D113" s="17" t="s">
        <v>10070</v>
      </c>
      <c r="E113" s="12">
        <v>10.0</v>
      </c>
      <c r="F113" s="7">
        <f t="shared" si="2"/>
        <v>90</v>
      </c>
      <c r="G113" s="17" t="s">
        <v>3113</v>
      </c>
      <c r="H113" s="2"/>
      <c r="I113" s="2"/>
      <c r="J113" s="2"/>
      <c r="K113" s="2"/>
      <c r="L113" s="2"/>
      <c r="M113" s="2"/>
      <c r="N113" s="2"/>
      <c r="O113" s="2"/>
      <c r="P113" s="2"/>
      <c r="Q113" s="2"/>
      <c r="R113" s="2"/>
      <c r="S113" s="2"/>
      <c r="T113" s="2"/>
      <c r="U113" s="2"/>
      <c r="V113" s="2"/>
      <c r="W113" s="2"/>
      <c r="X113" s="2"/>
      <c r="Y113" s="2"/>
      <c r="Z113" s="2"/>
      <c r="AA113" s="2"/>
    </row>
    <row r="114">
      <c r="A114" s="11">
        <v>98.0</v>
      </c>
      <c r="B114" s="17" t="s">
        <v>10071</v>
      </c>
      <c r="C114" s="17" t="s">
        <v>10072</v>
      </c>
      <c r="D114" s="17" t="s">
        <v>10073</v>
      </c>
      <c r="E114" s="12">
        <v>10.0</v>
      </c>
      <c r="F114" s="7">
        <f t="shared" si="2"/>
        <v>90</v>
      </c>
      <c r="G114" s="17" t="s">
        <v>3113</v>
      </c>
      <c r="H114" s="2"/>
      <c r="I114" s="2"/>
      <c r="J114" s="2"/>
      <c r="K114" s="2"/>
      <c r="L114" s="2"/>
      <c r="M114" s="2"/>
      <c r="N114" s="2"/>
      <c r="O114" s="2"/>
      <c r="P114" s="2"/>
      <c r="Q114" s="2"/>
      <c r="R114" s="2"/>
      <c r="S114" s="2"/>
      <c r="T114" s="2"/>
      <c r="U114" s="2"/>
      <c r="V114" s="2"/>
      <c r="W114" s="2"/>
      <c r="X114" s="2"/>
      <c r="Y114" s="2"/>
      <c r="Z114" s="2"/>
      <c r="AA114" s="2"/>
    </row>
    <row r="115">
      <c r="A115" s="11">
        <v>99.0</v>
      </c>
      <c r="B115" s="17" t="s">
        <v>10071</v>
      </c>
      <c r="C115" s="17" t="s">
        <v>10074</v>
      </c>
      <c r="D115" s="17" t="s">
        <v>10073</v>
      </c>
      <c r="E115" s="12">
        <v>10.0</v>
      </c>
      <c r="F115" s="7">
        <f t="shared" si="2"/>
        <v>90</v>
      </c>
      <c r="G115" s="17" t="s">
        <v>3113</v>
      </c>
      <c r="H115" s="2"/>
      <c r="I115" s="2"/>
      <c r="J115" s="2"/>
      <c r="K115" s="2"/>
      <c r="L115" s="2"/>
      <c r="M115" s="2"/>
      <c r="N115" s="2"/>
      <c r="O115" s="2"/>
      <c r="P115" s="2"/>
      <c r="Q115" s="2"/>
      <c r="R115" s="2"/>
      <c r="S115" s="2"/>
      <c r="T115" s="2"/>
      <c r="U115" s="2"/>
      <c r="V115" s="2"/>
      <c r="W115" s="2"/>
      <c r="X115" s="2"/>
      <c r="Y115" s="2"/>
      <c r="Z115" s="2"/>
      <c r="AA115" s="2"/>
    </row>
    <row r="116">
      <c r="A116" s="11">
        <v>100.0</v>
      </c>
      <c r="B116" s="17" t="s">
        <v>10075</v>
      </c>
      <c r="C116" s="17" t="s">
        <v>10076</v>
      </c>
      <c r="D116" s="17" t="s">
        <v>10077</v>
      </c>
      <c r="E116" s="12">
        <v>10.0</v>
      </c>
      <c r="F116" s="7">
        <f t="shared" si="2"/>
        <v>90</v>
      </c>
      <c r="G116" s="17" t="s">
        <v>3113</v>
      </c>
      <c r="H116" s="2"/>
      <c r="I116" s="2"/>
      <c r="J116" s="2"/>
      <c r="K116" s="2"/>
      <c r="L116" s="2"/>
      <c r="M116" s="2"/>
      <c r="N116" s="2"/>
      <c r="O116" s="2"/>
      <c r="P116" s="2"/>
      <c r="Q116" s="2"/>
      <c r="R116" s="2"/>
      <c r="S116" s="2"/>
      <c r="T116" s="2"/>
      <c r="U116" s="2"/>
      <c r="V116" s="2"/>
      <c r="W116" s="2"/>
      <c r="X116" s="2"/>
      <c r="Y116" s="2"/>
      <c r="Z116" s="2"/>
      <c r="AA116" s="2"/>
    </row>
    <row r="117">
      <c r="A117" s="11">
        <v>101.0</v>
      </c>
      <c r="B117" s="17" t="s">
        <v>10078</v>
      </c>
      <c r="C117" s="17" t="s">
        <v>10079</v>
      </c>
      <c r="D117" s="17" t="s">
        <v>10080</v>
      </c>
      <c r="E117" s="12">
        <v>10.0</v>
      </c>
      <c r="F117" s="7">
        <f t="shared" si="2"/>
        <v>90</v>
      </c>
      <c r="G117" s="17" t="s">
        <v>3113</v>
      </c>
      <c r="H117" s="2"/>
      <c r="I117" s="2"/>
      <c r="J117" s="2"/>
      <c r="K117" s="2"/>
      <c r="L117" s="2"/>
      <c r="M117" s="2"/>
      <c r="N117" s="2"/>
      <c r="O117" s="2"/>
      <c r="P117" s="2"/>
      <c r="Q117" s="2"/>
      <c r="R117" s="2"/>
      <c r="S117" s="2"/>
      <c r="T117" s="2"/>
      <c r="U117" s="2"/>
      <c r="V117" s="2"/>
      <c r="W117" s="2"/>
      <c r="X117" s="2"/>
      <c r="Y117" s="2"/>
      <c r="Z117" s="2"/>
      <c r="AA117" s="2"/>
    </row>
    <row r="118">
      <c r="A118" s="11">
        <v>102.0</v>
      </c>
      <c r="B118" s="17" t="s">
        <v>10081</v>
      </c>
      <c r="C118" s="17" t="s">
        <v>10082</v>
      </c>
      <c r="D118" s="17" t="s">
        <v>10083</v>
      </c>
      <c r="E118" s="12">
        <v>10.0</v>
      </c>
      <c r="F118" s="7">
        <f t="shared" si="2"/>
        <v>90</v>
      </c>
      <c r="G118" s="17" t="s">
        <v>3113</v>
      </c>
      <c r="H118" s="2"/>
      <c r="I118" s="2"/>
      <c r="J118" s="2"/>
      <c r="K118" s="2"/>
      <c r="L118" s="2"/>
      <c r="M118" s="2"/>
      <c r="N118" s="2"/>
      <c r="O118" s="2"/>
      <c r="P118" s="2"/>
      <c r="Q118" s="2"/>
      <c r="R118" s="2"/>
      <c r="S118" s="2"/>
      <c r="T118" s="2"/>
      <c r="U118" s="2"/>
      <c r="V118" s="2"/>
      <c r="W118" s="2"/>
      <c r="X118" s="2"/>
      <c r="Y118" s="2"/>
      <c r="Z118" s="2"/>
      <c r="AA118" s="2"/>
    </row>
    <row r="119">
      <c r="A119" s="11">
        <v>103.0</v>
      </c>
      <c r="B119" s="17" t="s">
        <v>10084</v>
      </c>
      <c r="C119" s="17" t="s">
        <v>10085</v>
      </c>
      <c r="D119" s="17" t="s">
        <v>10086</v>
      </c>
      <c r="E119" s="12">
        <v>10.0</v>
      </c>
      <c r="F119" s="7">
        <f t="shared" si="2"/>
        <v>90</v>
      </c>
      <c r="G119" s="17" t="s">
        <v>3113</v>
      </c>
      <c r="H119" s="2"/>
      <c r="I119" s="2"/>
      <c r="J119" s="2"/>
      <c r="K119" s="2"/>
      <c r="L119" s="2"/>
      <c r="M119" s="2"/>
      <c r="N119" s="2"/>
      <c r="O119" s="2"/>
      <c r="P119" s="2"/>
      <c r="Q119" s="2"/>
      <c r="R119" s="2"/>
      <c r="S119" s="2"/>
      <c r="T119" s="2"/>
      <c r="U119" s="2"/>
      <c r="V119" s="2"/>
      <c r="W119" s="2"/>
      <c r="X119" s="2"/>
      <c r="Y119" s="2"/>
      <c r="Z119" s="2"/>
      <c r="AA119" s="2"/>
    </row>
    <row r="120">
      <c r="A120" s="11">
        <v>104.0</v>
      </c>
      <c r="B120" s="17" t="s">
        <v>10087</v>
      </c>
      <c r="C120" s="17" t="s">
        <v>10088</v>
      </c>
      <c r="D120" s="17" t="s">
        <v>10089</v>
      </c>
      <c r="E120" s="12">
        <v>10.0</v>
      </c>
      <c r="F120" s="7">
        <f t="shared" si="2"/>
        <v>90</v>
      </c>
      <c r="G120" s="17" t="s">
        <v>3113</v>
      </c>
      <c r="H120" s="2"/>
      <c r="I120" s="2"/>
      <c r="J120" s="2"/>
      <c r="K120" s="2"/>
      <c r="L120" s="2"/>
      <c r="M120" s="2"/>
      <c r="N120" s="2"/>
      <c r="O120" s="2"/>
      <c r="P120" s="2"/>
      <c r="Q120" s="2"/>
      <c r="R120" s="2"/>
      <c r="S120" s="2"/>
      <c r="T120" s="2"/>
      <c r="U120" s="2"/>
      <c r="V120" s="2"/>
      <c r="W120" s="2"/>
      <c r="X120" s="2"/>
      <c r="Y120" s="2"/>
      <c r="Z120" s="2"/>
      <c r="AA120" s="2"/>
    </row>
    <row r="121">
      <c r="A121" s="11">
        <v>105.0</v>
      </c>
      <c r="B121" s="17" t="s">
        <v>10087</v>
      </c>
      <c r="C121" s="17" t="s">
        <v>10090</v>
      </c>
      <c r="D121" s="17" t="s">
        <v>10091</v>
      </c>
      <c r="E121" s="12">
        <v>10.0</v>
      </c>
      <c r="F121" s="7">
        <f t="shared" si="2"/>
        <v>90</v>
      </c>
      <c r="G121" s="17" t="s">
        <v>3113</v>
      </c>
      <c r="H121" s="2"/>
      <c r="I121" s="2"/>
      <c r="J121" s="2"/>
      <c r="K121" s="2"/>
      <c r="L121" s="2"/>
      <c r="M121" s="2"/>
      <c r="N121" s="2"/>
      <c r="O121" s="2"/>
      <c r="P121" s="2"/>
      <c r="Q121" s="2"/>
      <c r="R121" s="2"/>
      <c r="S121" s="2"/>
      <c r="T121" s="2"/>
      <c r="U121" s="2"/>
      <c r="V121" s="2"/>
      <c r="W121" s="2"/>
      <c r="X121" s="2"/>
      <c r="Y121" s="2"/>
      <c r="Z121" s="2"/>
      <c r="AA121" s="2"/>
    </row>
    <row r="122">
      <c r="A122" s="11">
        <v>106.0</v>
      </c>
      <c r="B122" s="17" t="s">
        <v>10092</v>
      </c>
      <c r="C122" s="17" t="s">
        <v>10093</v>
      </c>
      <c r="D122" s="17" t="s">
        <v>10094</v>
      </c>
      <c r="E122" s="12">
        <v>10.0</v>
      </c>
      <c r="F122" s="7">
        <f t="shared" si="2"/>
        <v>90</v>
      </c>
      <c r="G122" s="17" t="s">
        <v>3113</v>
      </c>
      <c r="H122" s="2"/>
      <c r="I122" s="2"/>
      <c r="J122" s="2"/>
      <c r="K122" s="2"/>
      <c r="L122" s="2"/>
      <c r="M122" s="2"/>
      <c r="N122" s="2"/>
      <c r="O122" s="2"/>
      <c r="P122" s="2"/>
      <c r="Q122" s="2"/>
      <c r="R122" s="2"/>
      <c r="S122" s="2"/>
      <c r="T122" s="2"/>
      <c r="U122" s="2"/>
      <c r="V122" s="2"/>
      <c r="W122" s="2"/>
      <c r="X122" s="2"/>
      <c r="Y122" s="2"/>
      <c r="Z122" s="2"/>
      <c r="AA122" s="2"/>
    </row>
    <row r="123">
      <c r="A123" s="11">
        <v>107.0</v>
      </c>
      <c r="B123" s="17" t="s">
        <v>10095</v>
      </c>
      <c r="C123" s="17" t="s">
        <v>10096</v>
      </c>
      <c r="D123" s="17" t="s">
        <v>10097</v>
      </c>
      <c r="E123" s="12">
        <v>10.0</v>
      </c>
      <c r="F123" s="7">
        <f t="shared" si="2"/>
        <v>90</v>
      </c>
      <c r="G123" s="17" t="s">
        <v>3113</v>
      </c>
      <c r="H123" s="2"/>
      <c r="I123" s="2"/>
      <c r="J123" s="2"/>
      <c r="K123" s="2"/>
      <c r="L123" s="2"/>
      <c r="M123" s="2"/>
      <c r="N123" s="2"/>
      <c r="O123" s="2"/>
      <c r="P123" s="2"/>
      <c r="Q123" s="2"/>
      <c r="R123" s="2"/>
      <c r="S123" s="2"/>
      <c r="T123" s="2"/>
      <c r="U123" s="2"/>
      <c r="V123" s="2"/>
      <c r="W123" s="2"/>
      <c r="X123" s="2"/>
      <c r="Y123" s="2"/>
      <c r="Z123" s="2"/>
      <c r="AA123" s="2"/>
    </row>
    <row r="124">
      <c r="A124" s="11">
        <v>108.0</v>
      </c>
      <c r="B124" s="17" t="s">
        <v>10098</v>
      </c>
      <c r="C124" s="17" t="s">
        <v>10099</v>
      </c>
      <c r="D124" s="17" t="s">
        <v>10100</v>
      </c>
      <c r="E124" s="12">
        <v>10.0</v>
      </c>
      <c r="F124" s="7">
        <f t="shared" si="2"/>
        <v>90</v>
      </c>
      <c r="G124" s="17" t="s">
        <v>3113</v>
      </c>
      <c r="H124" s="2"/>
      <c r="I124" s="2"/>
      <c r="J124" s="2"/>
      <c r="K124" s="2"/>
      <c r="L124" s="2"/>
      <c r="M124" s="2"/>
      <c r="N124" s="2"/>
      <c r="O124" s="2"/>
      <c r="P124" s="2"/>
      <c r="Q124" s="2"/>
      <c r="R124" s="2"/>
      <c r="S124" s="2"/>
      <c r="T124" s="2"/>
      <c r="U124" s="2"/>
      <c r="V124" s="2"/>
      <c r="W124" s="2"/>
      <c r="X124" s="2"/>
      <c r="Y124" s="2"/>
      <c r="Z124" s="2"/>
      <c r="AA124" s="2"/>
    </row>
    <row r="125">
      <c r="A125" s="11">
        <v>109.0</v>
      </c>
      <c r="B125" s="17" t="s">
        <v>10101</v>
      </c>
      <c r="C125" s="17" t="s">
        <v>10102</v>
      </c>
      <c r="D125" s="17" t="s">
        <v>10100</v>
      </c>
      <c r="E125" s="12">
        <v>10.0</v>
      </c>
      <c r="F125" s="7">
        <f t="shared" si="2"/>
        <v>90</v>
      </c>
      <c r="G125" s="17" t="s">
        <v>3113</v>
      </c>
      <c r="H125" s="2"/>
      <c r="I125" s="2"/>
      <c r="J125" s="2"/>
      <c r="K125" s="2"/>
      <c r="L125" s="2"/>
      <c r="M125" s="2"/>
      <c r="N125" s="2"/>
      <c r="O125" s="2"/>
      <c r="P125" s="2"/>
      <c r="Q125" s="2"/>
      <c r="R125" s="2"/>
      <c r="S125" s="2"/>
      <c r="T125" s="2"/>
      <c r="U125" s="2"/>
      <c r="V125" s="2"/>
      <c r="W125" s="2"/>
      <c r="X125" s="2"/>
      <c r="Y125" s="2"/>
      <c r="Z125" s="2"/>
      <c r="AA125" s="2"/>
    </row>
    <row r="126">
      <c r="A126" s="11">
        <v>110.0</v>
      </c>
      <c r="B126" s="17" t="s">
        <v>10103</v>
      </c>
      <c r="C126" s="17" t="s">
        <v>10104</v>
      </c>
      <c r="D126" s="17" t="s">
        <v>10105</v>
      </c>
      <c r="E126" s="12">
        <v>10.0</v>
      </c>
      <c r="F126" s="7">
        <f t="shared" si="2"/>
        <v>90</v>
      </c>
      <c r="G126" s="17" t="s">
        <v>3113</v>
      </c>
      <c r="H126" s="2"/>
      <c r="I126" s="2"/>
      <c r="J126" s="2"/>
      <c r="K126" s="2"/>
      <c r="L126" s="2"/>
      <c r="M126" s="2"/>
      <c r="N126" s="2"/>
      <c r="O126" s="2"/>
      <c r="P126" s="2"/>
      <c r="Q126" s="2"/>
      <c r="R126" s="2"/>
      <c r="S126" s="2"/>
      <c r="T126" s="2"/>
      <c r="U126" s="2"/>
      <c r="V126" s="2"/>
      <c r="W126" s="2"/>
      <c r="X126" s="2"/>
      <c r="Y126" s="2"/>
      <c r="Z126" s="2"/>
      <c r="AA126" s="2"/>
    </row>
    <row r="127">
      <c r="A127" s="11">
        <v>111.0</v>
      </c>
      <c r="B127" s="17" t="s">
        <v>10106</v>
      </c>
      <c r="C127" s="17" t="s">
        <v>10107</v>
      </c>
      <c r="D127" s="17" t="s">
        <v>10108</v>
      </c>
      <c r="E127" s="12">
        <v>10.0</v>
      </c>
      <c r="F127" s="7">
        <f t="shared" si="2"/>
        <v>90</v>
      </c>
      <c r="G127" s="17" t="s">
        <v>3113</v>
      </c>
      <c r="H127" s="2"/>
      <c r="I127" s="2"/>
      <c r="J127" s="2"/>
      <c r="K127" s="2"/>
      <c r="L127" s="2"/>
      <c r="M127" s="2"/>
      <c r="N127" s="2"/>
      <c r="O127" s="2"/>
      <c r="P127" s="2"/>
      <c r="Q127" s="2"/>
      <c r="R127" s="2"/>
      <c r="S127" s="2"/>
      <c r="T127" s="2"/>
      <c r="U127" s="2"/>
      <c r="V127" s="2"/>
      <c r="W127" s="2"/>
      <c r="X127" s="2"/>
      <c r="Y127" s="2"/>
      <c r="Z127" s="2"/>
      <c r="AA127" s="2"/>
    </row>
    <row r="128">
      <c r="A128" s="11">
        <v>112.0</v>
      </c>
      <c r="B128" s="17" t="s">
        <v>10109</v>
      </c>
      <c r="C128" s="17" t="s">
        <v>10110</v>
      </c>
      <c r="D128" s="17" t="s">
        <v>10108</v>
      </c>
      <c r="E128" s="12">
        <v>10.0</v>
      </c>
      <c r="F128" s="7">
        <f t="shared" si="2"/>
        <v>90</v>
      </c>
      <c r="G128" s="17" t="s">
        <v>3113</v>
      </c>
      <c r="H128" s="2"/>
      <c r="I128" s="2"/>
      <c r="J128" s="2"/>
      <c r="K128" s="2"/>
      <c r="L128" s="2"/>
      <c r="M128" s="2"/>
      <c r="N128" s="2"/>
      <c r="O128" s="2"/>
      <c r="P128" s="2"/>
      <c r="Q128" s="2"/>
      <c r="R128" s="2"/>
      <c r="S128" s="2"/>
      <c r="T128" s="2"/>
      <c r="U128" s="2"/>
      <c r="V128" s="2"/>
      <c r="W128" s="2"/>
      <c r="X128" s="2"/>
      <c r="Y128" s="2"/>
      <c r="Z128" s="2"/>
      <c r="AA128" s="2"/>
    </row>
    <row r="129">
      <c r="A129" s="11">
        <v>113.0</v>
      </c>
      <c r="B129" s="17" t="s">
        <v>10111</v>
      </c>
      <c r="C129" s="17" t="s">
        <v>10112</v>
      </c>
      <c r="D129" s="17" t="s">
        <v>10113</v>
      </c>
      <c r="E129" s="12">
        <v>10.0</v>
      </c>
      <c r="F129" s="7">
        <f t="shared" si="2"/>
        <v>90</v>
      </c>
      <c r="G129" s="17" t="s">
        <v>3113</v>
      </c>
      <c r="H129" s="2"/>
      <c r="I129" s="2"/>
      <c r="J129" s="2"/>
      <c r="K129" s="2"/>
      <c r="L129" s="2"/>
      <c r="M129" s="2"/>
      <c r="N129" s="2"/>
      <c r="O129" s="2"/>
      <c r="P129" s="2"/>
      <c r="Q129" s="2"/>
      <c r="R129" s="2"/>
      <c r="S129" s="2"/>
      <c r="T129" s="2"/>
      <c r="U129" s="2"/>
      <c r="V129" s="2"/>
      <c r="W129" s="2"/>
      <c r="X129" s="2"/>
      <c r="Y129" s="2"/>
      <c r="Z129" s="2"/>
      <c r="AA129" s="2"/>
    </row>
    <row r="130">
      <c r="A130" s="11">
        <v>114.0</v>
      </c>
      <c r="B130" s="17" t="s">
        <v>10114</v>
      </c>
      <c r="C130" s="17" t="s">
        <v>10115</v>
      </c>
      <c r="D130" s="17" t="s">
        <v>10116</v>
      </c>
      <c r="E130" s="12">
        <v>10.0</v>
      </c>
      <c r="F130" s="7">
        <f t="shared" si="2"/>
        <v>90</v>
      </c>
      <c r="G130" s="17" t="s">
        <v>3113</v>
      </c>
      <c r="H130" s="2"/>
      <c r="I130" s="2"/>
      <c r="J130" s="2"/>
      <c r="K130" s="2"/>
      <c r="L130" s="2"/>
      <c r="M130" s="2"/>
      <c r="N130" s="2"/>
      <c r="O130" s="2"/>
      <c r="P130" s="2"/>
      <c r="Q130" s="2"/>
      <c r="R130" s="2"/>
      <c r="S130" s="2"/>
      <c r="T130" s="2"/>
      <c r="U130" s="2"/>
      <c r="V130" s="2"/>
      <c r="W130" s="2"/>
      <c r="X130" s="2"/>
      <c r="Y130" s="2"/>
      <c r="Z130" s="2"/>
      <c r="AA130" s="2"/>
    </row>
    <row r="131">
      <c r="A131" s="11">
        <v>115.0</v>
      </c>
      <c r="B131" s="17" t="s">
        <v>10117</v>
      </c>
      <c r="C131" s="17" t="s">
        <v>10118</v>
      </c>
      <c r="D131" s="17" t="s">
        <v>10119</v>
      </c>
      <c r="E131" s="12">
        <v>10.0</v>
      </c>
      <c r="F131" s="7">
        <f t="shared" si="2"/>
        <v>90</v>
      </c>
      <c r="G131" s="17" t="s">
        <v>3113</v>
      </c>
      <c r="H131" s="2"/>
      <c r="I131" s="2"/>
      <c r="J131" s="2"/>
      <c r="K131" s="2"/>
      <c r="L131" s="2"/>
      <c r="M131" s="2"/>
      <c r="N131" s="2"/>
      <c r="O131" s="2"/>
      <c r="P131" s="2"/>
      <c r="Q131" s="2"/>
      <c r="R131" s="2"/>
      <c r="S131" s="2"/>
      <c r="T131" s="2"/>
      <c r="U131" s="2"/>
      <c r="V131" s="2"/>
      <c r="W131" s="2"/>
      <c r="X131" s="2"/>
      <c r="Y131" s="2"/>
      <c r="Z131" s="2"/>
      <c r="AA131" s="2"/>
    </row>
    <row r="132">
      <c r="A132" s="11">
        <v>116.0</v>
      </c>
      <c r="B132" s="17" t="s">
        <v>10120</v>
      </c>
      <c r="C132" s="17" t="s">
        <v>10121</v>
      </c>
      <c r="D132" s="17" t="s">
        <v>10122</v>
      </c>
      <c r="E132" s="12">
        <v>10.0</v>
      </c>
      <c r="F132" s="7">
        <f t="shared" si="2"/>
        <v>90</v>
      </c>
      <c r="G132" s="17" t="s">
        <v>3113</v>
      </c>
      <c r="H132" s="2"/>
      <c r="I132" s="2"/>
      <c r="J132" s="2"/>
      <c r="K132" s="2"/>
      <c r="L132" s="2"/>
      <c r="M132" s="2"/>
      <c r="N132" s="2"/>
      <c r="O132" s="2"/>
      <c r="P132" s="2"/>
      <c r="Q132" s="2"/>
      <c r="R132" s="2"/>
      <c r="S132" s="2"/>
      <c r="T132" s="2"/>
      <c r="U132" s="2"/>
      <c r="V132" s="2"/>
      <c r="W132" s="2"/>
      <c r="X132" s="2"/>
      <c r="Y132" s="2"/>
      <c r="Z132" s="2"/>
      <c r="AA132" s="2"/>
    </row>
    <row r="133">
      <c r="A133" s="11">
        <v>117.0</v>
      </c>
      <c r="B133" s="17" t="s">
        <v>10123</v>
      </c>
      <c r="C133" s="17" t="s">
        <v>10124</v>
      </c>
      <c r="D133" s="17" t="s">
        <v>10125</v>
      </c>
      <c r="E133" s="12">
        <v>10.0</v>
      </c>
      <c r="F133" s="7">
        <f t="shared" si="2"/>
        <v>90</v>
      </c>
      <c r="G133" s="17" t="s">
        <v>3113</v>
      </c>
      <c r="H133" s="2"/>
      <c r="I133" s="2"/>
      <c r="J133" s="2"/>
      <c r="K133" s="2"/>
      <c r="L133" s="2"/>
      <c r="M133" s="2"/>
      <c r="N133" s="2"/>
      <c r="O133" s="2"/>
      <c r="P133" s="2"/>
      <c r="Q133" s="2"/>
      <c r="R133" s="2"/>
      <c r="S133" s="2"/>
      <c r="T133" s="2"/>
      <c r="U133" s="2"/>
      <c r="V133" s="2"/>
      <c r="W133" s="2"/>
      <c r="X133" s="2"/>
      <c r="Y133" s="2"/>
      <c r="Z133" s="2"/>
      <c r="AA133" s="2"/>
    </row>
    <row r="134">
      <c r="A134" s="11">
        <v>118.0</v>
      </c>
      <c r="B134" s="17" t="s">
        <v>10126</v>
      </c>
      <c r="C134" s="17" t="s">
        <v>10127</v>
      </c>
      <c r="D134" s="17" t="s">
        <v>10128</v>
      </c>
      <c r="E134" s="12">
        <v>10.0</v>
      </c>
      <c r="F134" s="7">
        <f t="shared" si="2"/>
        <v>90</v>
      </c>
      <c r="G134" s="17" t="s">
        <v>3113</v>
      </c>
      <c r="H134" s="2"/>
      <c r="I134" s="2"/>
      <c r="J134" s="2"/>
      <c r="K134" s="2"/>
      <c r="L134" s="2"/>
      <c r="M134" s="2"/>
      <c r="N134" s="2"/>
      <c r="O134" s="2"/>
      <c r="P134" s="2"/>
      <c r="Q134" s="2"/>
      <c r="R134" s="2"/>
      <c r="S134" s="2"/>
      <c r="T134" s="2"/>
      <c r="U134" s="2"/>
      <c r="V134" s="2"/>
      <c r="W134" s="2"/>
      <c r="X134" s="2"/>
      <c r="Y134" s="2"/>
      <c r="Z134" s="2"/>
      <c r="AA134" s="2"/>
    </row>
    <row r="135">
      <c r="A135" s="11">
        <v>119.0</v>
      </c>
      <c r="B135" s="17" t="s">
        <v>10129</v>
      </c>
      <c r="C135" s="17" t="s">
        <v>10130</v>
      </c>
      <c r="D135" s="17" t="s">
        <v>10131</v>
      </c>
      <c r="E135" s="12">
        <v>10.0</v>
      </c>
      <c r="F135" s="7">
        <f t="shared" si="2"/>
        <v>90</v>
      </c>
      <c r="G135" s="17" t="s">
        <v>3113</v>
      </c>
      <c r="H135" s="2"/>
      <c r="I135" s="2"/>
      <c r="J135" s="2"/>
      <c r="K135" s="2"/>
      <c r="L135" s="2"/>
      <c r="M135" s="2"/>
      <c r="N135" s="2"/>
      <c r="O135" s="2"/>
      <c r="P135" s="2"/>
      <c r="Q135" s="2"/>
      <c r="R135" s="2"/>
      <c r="S135" s="2"/>
      <c r="T135" s="2"/>
      <c r="U135" s="2"/>
      <c r="V135" s="2"/>
      <c r="W135" s="2"/>
      <c r="X135" s="2"/>
      <c r="Y135" s="2"/>
      <c r="Z135" s="2"/>
      <c r="AA135" s="2"/>
    </row>
    <row r="136">
      <c r="A136" s="11">
        <v>120.0</v>
      </c>
      <c r="B136" s="17" t="s">
        <v>10132</v>
      </c>
      <c r="C136" s="17" t="s">
        <v>10133</v>
      </c>
      <c r="D136" s="17" t="s">
        <v>10134</v>
      </c>
      <c r="E136" s="12">
        <v>10.0</v>
      </c>
      <c r="F136" s="7">
        <f t="shared" si="2"/>
        <v>90</v>
      </c>
      <c r="G136" s="17" t="s">
        <v>3113</v>
      </c>
      <c r="H136" s="2"/>
      <c r="I136" s="2"/>
      <c r="J136" s="2"/>
      <c r="K136" s="2"/>
      <c r="L136" s="2"/>
      <c r="M136" s="2"/>
      <c r="N136" s="2"/>
      <c r="O136" s="2"/>
      <c r="P136" s="2"/>
      <c r="Q136" s="2"/>
      <c r="R136" s="2"/>
      <c r="S136" s="2"/>
      <c r="T136" s="2"/>
      <c r="U136" s="2"/>
      <c r="V136" s="2"/>
      <c r="W136" s="2"/>
      <c r="X136" s="2"/>
      <c r="Y136" s="2"/>
      <c r="Z136" s="2"/>
      <c r="AA136" s="2"/>
    </row>
    <row r="137">
      <c r="A137" s="11">
        <v>121.0</v>
      </c>
      <c r="B137" s="17" t="s">
        <v>10135</v>
      </c>
      <c r="C137" s="17" t="s">
        <v>10136</v>
      </c>
      <c r="D137" s="17" t="s">
        <v>10137</v>
      </c>
      <c r="E137" s="12">
        <v>10.0</v>
      </c>
      <c r="F137" s="7">
        <f t="shared" si="2"/>
        <v>90</v>
      </c>
      <c r="G137" s="17" t="s">
        <v>3113</v>
      </c>
      <c r="H137" s="2"/>
      <c r="I137" s="2"/>
      <c r="J137" s="2"/>
      <c r="K137" s="2"/>
      <c r="L137" s="2"/>
      <c r="M137" s="2"/>
      <c r="N137" s="2"/>
      <c r="O137" s="2"/>
      <c r="P137" s="2"/>
      <c r="Q137" s="2"/>
      <c r="R137" s="2"/>
      <c r="S137" s="2"/>
      <c r="T137" s="2"/>
      <c r="U137" s="2"/>
      <c r="V137" s="2"/>
      <c r="W137" s="2"/>
      <c r="X137" s="2"/>
      <c r="Y137" s="2"/>
      <c r="Z137" s="2"/>
      <c r="AA137" s="2"/>
    </row>
    <row r="138">
      <c r="A138" s="11">
        <v>122.0</v>
      </c>
      <c r="B138" s="17" t="s">
        <v>10138</v>
      </c>
      <c r="C138" s="17" t="s">
        <v>10139</v>
      </c>
      <c r="D138" s="17" t="s">
        <v>10140</v>
      </c>
      <c r="E138" s="12">
        <v>10.0</v>
      </c>
      <c r="F138" s="7">
        <f t="shared" si="2"/>
        <v>90</v>
      </c>
      <c r="G138" s="17" t="s">
        <v>3113</v>
      </c>
      <c r="H138" s="2"/>
      <c r="I138" s="2"/>
      <c r="J138" s="2"/>
      <c r="K138" s="2"/>
      <c r="L138" s="2"/>
      <c r="M138" s="2"/>
      <c r="N138" s="2"/>
      <c r="O138" s="2"/>
      <c r="P138" s="2"/>
      <c r="Q138" s="2"/>
      <c r="R138" s="2"/>
      <c r="S138" s="2"/>
      <c r="T138" s="2"/>
      <c r="U138" s="2"/>
      <c r="V138" s="2"/>
      <c r="W138" s="2"/>
      <c r="X138" s="2"/>
      <c r="Y138" s="2"/>
      <c r="Z138" s="2"/>
      <c r="AA138" s="2"/>
    </row>
    <row r="139">
      <c r="A139" s="11">
        <v>123.0</v>
      </c>
      <c r="B139" s="17" t="s">
        <v>10141</v>
      </c>
      <c r="C139" s="17" t="s">
        <v>10142</v>
      </c>
      <c r="D139" s="17" t="s">
        <v>10143</v>
      </c>
      <c r="E139" s="12">
        <v>10.0</v>
      </c>
      <c r="F139" s="7">
        <f t="shared" si="2"/>
        <v>90</v>
      </c>
      <c r="G139" s="17" t="s">
        <v>3113</v>
      </c>
      <c r="H139" s="2"/>
      <c r="I139" s="2"/>
      <c r="J139" s="2"/>
      <c r="K139" s="2"/>
      <c r="L139" s="2"/>
      <c r="M139" s="2"/>
      <c r="N139" s="2"/>
      <c r="O139" s="2"/>
      <c r="P139" s="2"/>
      <c r="Q139" s="2"/>
      <c r="R139" s="2"/>
      <c r="S139" s="2"/>
      <c r="T139" s="2"/>
      <c r="U139" s="2"/>
      <c r="V139" s="2"/>
      <c r="W139" s="2"/>
      <c r="X139" s="2"/>
      <c r="Y139" s="2"/>
      <c r="Z139" s="2"/>
      <c r="AA139" s="2"/>
    </row>
    <row r="140">
      <c r="A140" s="11">
        <v>124.0</v>
      </c>
      <c r="B140" s="17" t="s">
        <v>10144</v>
      </c>
      <c r="C140" s="17" t="s">
        <v>10145</v>
      </c>
      <c r="D140" s="17" t="s">
        <v>10146</v>
      </c>
      <c r="E140" s="12">
        <v>10.0</v>
      </c>
      <c r="F140" s="7">
        <f t="shared" si="2"/>
        <v>90</v>
      </c>
      <c r="G140" s="17" t="s">
        <v>3113</v>
      </c>
      <c r="H140" s="2"/>
      <c r="I140" s="2"/>
      <c r="J140" s="2"/>
      <c r="K140" s="2"/>
      <c r="L140" s="2"/>
      <c r="M140" s="2"/>
      <c r="N140" s="2"/>
      <c r="O140" s="2"/>
      <c r="P140" s="2"/>
      <c r="Q140" s="2"/>
      <c r="R140" s="2"/>
      <c r="S140" s="2"/>
      <c r="T140" s="2"/>
      <c r="U140" s="2"/>
      <c r="V140" s="2"/>
      <c r="W140" s="2"/>
      <c r="X140" s="2"/>
      <c r="Y140" s="2"/>
      <c r="Z140" s="2"/>
      <c r="AA140" s="2"/>
    </row>
    <row r="141">
      <c r="A141" s="11">
        <v>125.0</v>
      </c>
      <c r="B141" s="17" t="s">
        <v>10147</v>
      </c>
      <c r="C141" s="17" t="s">
        <v>10148</v>
      </c>
      <c r="D141" s="17" t="s">
        <v>10149</v>
      </c>
      <c r="E141" s="12">
        <v>10.0</v>
      </c>
      <c r="F141" s="7">
        <f t="shared" si="2"/>
        <v>90</v>
      </c>
      <c r="G141" s="17" t="s">
        <v>3113</v>
      </c>
      <c r="H141" s="2"/>
      <c r="I141" s="2"/>
      <c r="J141" s="2"/>
      <c r="K141" s="2"/>
      <c r="L141" s="2"/>
      <c r="M141" s="2"/>
      <c r="N141" s="2"/>
      <c r="O141" s="2"/>
      <c r="P141" s="2"/>
      <c r="Q141" s="2"/>
      <c r="R141" s="2"/>
      <c r="S141" s="2"/>
      <c r="T141" s="2"/>
      <c r="U141" s="2"/>
      <c r="V141" s="2"/>
      <c r="W141" s="2"/>
      <c r="X141" s="2"/>
      <c r="Y141" s="2"/>
      <c r="Z141" s="2"/>
      <c r="AA141" s="2"/>
    </row>
    <row r="142">
      <c r="A142" s="11">
        <v>126.0</v>
      </c>
      <c r="B142" s="17" t="s">
        <v>10150</v>
      </c>
      <c r="C142" s="17" t="s">
        <v>10151</v>
      </c>
      <c r="D142" s="17" t="s">
        <v>10152</v>
      </c>
      <c r="E142" s="12">
        <v>10.0</v>
      </c>
      <c r="F142" s="7">
        <f t="shared" si="2"/>
        <v>90</v>
      </c>
      <c r="G142" s="17" t="s">
        <v>3113</v>
      </c>
      <c r="H142" s="2"/>
      <c r="I142" s="2"/>
      <c r="J142" s="2"/>
      <c r="K142" s="2"/>
      <c r="L142" s="2"/>
      <c r="M142" s="2"/>
      <c r="N142" s="2"/>
      <c r="O142" s="2"/>
      <c r="P142" s="2"/>
      <c r="Q142" s="2"/>
      <c r="R142" s="2"/>
      <c r="S142" s="2"/>
      <c r="T142" s="2"/>
      <c r="U142" s="2"/>
      <c r="V142" s="2"/>
      <c r="W142" s="2"/>
      <c r="X142" s="2"/>
      <c r="Y142" s="2"/>
      <c r="Z142" s="2"/>
      <c r="AA142" s="2"/>
    </row>
    <row r="143">
      <c r="A143" s="11">
        <v>127.0</v>
      </c>
      <c r="B143" s="17" t="s">
        <v>10153</v>
      </c>
      <c r="C143" s="17" t="s">
        <v>10154</v>
      </c>
      <c r="D143" s="17" t="s">
        <v>10155</v>
      </c>
      <c r="E143" s="12">
        <v>10.0</v>
      </c>
      <c r="F143" s="7">
        <f t="shared" si="2"/>
        <v>90</v>
      </c>
      <c r="G143" s="17" t="s">
        <v>3113</v>
      </c>
      <c r="H143" s="2"/>
      <c r="I143" s="2"/>
      <c r="J143" s="2"/>
      <c r="K143" s="2"/>
      <c r="L143" s="2"/>
      <c r="M143" s="2"/>
      <c r="N143" s="2"/>
      <c r="O143" s="2"/>
      <c r="P143" s="2"/>
      <c r="Q143" s="2"/>
      <c r="R143" s="2"/>
      <c r="S143" s="2"/>
      <c r="T143" s="2"/>
      <c r="U143" s="2"/>
      <c r="V143" s="2"/>
      <c r="W143" s="2"/>
      <c r="X143" s="2"/>
      <c r="Y143" s="2"/>
      <c r="Z143" s="2"/>
      <c r="AA143" s="2"/>
    </row>
    <row r="144">
      <c r="A144" s="11">
        <v>128.0</v>
      </c>
      <c r="B144" s="17" t="s">
        <v>10156</v>
      </c>
      <c r="C144" s="17" t="s">
        <v>10157</v>
      </c>
      <c r="D144" s="17" t="s">
        <v>10158</v>
      </c>
      <c r="E144" s="12">
        <v>10.0</v>
      </c>
      <c r="F144" s="7">
        <f t="shared" si="2"/>
        <v>90</v>
      </c>
      <c r="G144" s="17" t="s">
        <v>3113</v>
      </c>
      <c r="H144" s="2"/>
      <c r="I144" s="2"/>
      <c r="J144" s="2"/>
      <c r="K144" s="2"/>
      <c r="L144" s="2"/>
      <c r="M144" s="2"/>
      <c r="N144" s="2"/>
      <c r="O144" s="2"/>
      <c r="P144" s="2"/>
      <c r="Q144" s="2"/>
      <c r="R144" s="2"/>
      <c r="S144" s="2"/>
      <c r="T144" s="2"/>
      <c r="U144" s="2"/>
      <c r="V144" s="2"/>
      <c r="W144" s="2"/>
      <c r="X144" s="2"/>
      <c r="Y144" s="2"/>
      <c r="Z144" s="2"/>
      <c r="AA144" s="2"/>
    </row>
    <row r="145">
      <c r="A145" s="11">
        <v>129.0</v>
      </c>
      <c r="B145" s="17" t="s">
        <v>10159</v>
      </c>
      <c r="C145" s="17" t="s">
        <v>10160</v>
      </c>
      <c r="D145" s="17" t="s">
        <v>10161</v>
      </c>
      <c r="E145" s="12">
        <v>10.0</v>
      </c>
      <c r="F145" s="7">
        <f t="shared" si="2"/>
        <v>90</v>
      </c>
      <c r="G145" s="17" t="s">
        <v>3113</v>
      </c>
      <c r="H145" s="2"/>
      <c r="I145" s="2"/>
      <c r="J145" s="2"/>
      <c r="K145" s="2"/>
      <c r="L145" s="2"/>
      <c r="M145" s="2"/>
      <c r="N145" s="2"/>
      <c r="O145" s="2"/>
      <c r="P145" s="2"/>
      <c r="Q145" s="2"/>
      <c r="R145" s="2"/>
      <c r="S145" s="2"/>
      <c r="T145" s="2"/>
      <c r="U145" s="2"/>
      <c r="V145" s="2"/>
      <c r="W145" s="2"/>
      <c r="X145" s="2"/>
      <c r="Y145" s="2"/>
      <c r="Z145" s="2"/>
      <c r="AA145" s="2"/>
    </row>
    <row r="146">
      <c r="A146" s="11">
        <v>130.0</v>
      </c>
      <c r="B146" s="17" t="s">
        <v>10162</v>
      </c>
      <c r="C146" s="17" t="s">
        <v>10163</v>
      </c>
      <c r="D146" s="17" t="s">
        <v>10164</v>
      </c>
      <c r="E146" s="12">
        <v>10.0</v>
      </c>
      <c r="F146" s="7">
        <f t="shared" si="2"/>
        <v>90</v>
      </c>
      <c r="G146" s="17" t="s">
        <v>3113</v>
      </c>
      <c r="H146" s="2"/>
      <c r="I146" s="2"/>
      <c r="J146" s="2"/>
      <c r="K146" s="2"/>
      <c r="L146" s="2"/>
      <c r="M146" s="2"/>
      <c r="N146" s="2"/>
      <c r="O146" s="2"/>
      <c r="P146" s="2"/>
      <c r="Q146" s="2"/>
      <c r="R146" s="2"/>
      <c r="S146" s="2"/>
      <c r="T146" s="2"/>
      <c r="U146" s="2"/>
      <c r="V146" s="2"/>
      <c r="W146" s="2"/>
      <c r="X146" s="2"/>
      <c r="Y146" s="2"/>
      <c r="Z146" s="2"/>
      <c r="AA146" s="2"/>
    </row>
    <row r="147">
      <c r="A147" s="11">
        <v>131.0</v>
      </c>
      <c r="B147" s="17" t="s">
        <v>10165</v>
      </c>
      <c r="C147" s="17" t="s">
        <v>10166</v>
      </c>
      <c r="D147" s="17" t="s">
        <v>10167</v>
      </c>
      <c r="E147" s="12">
        <v>10.0</v>
      </c>
      <c r="F147" s="7">
        <f t="shared" si="2"/>
        <v>90</v>
      </c>
      <c r="G147" s="17" t="s">
        <v>3113</v>
      </c>
      <c r="H147" s="2"/>
      <c r="I147" s="2"/>
      <c r="J147" s="2"/>
      <c r="K147" s="2"/>
      <c r="L147" s="2"/>
      <c r="M147" s="2"/>
      <c r="N147" s="2"/>
      <c r="O147" s="2"/>
      <c r="P147" s="2"/>
      <c r="Q147" s="2"/>
      <c r="R147" s="2"/>
      <c r="S147" s="2"/>
      <c r="T147" s="2"/>
      <c r="U147" s="2"/>
      <c r="V147" s="2"/>
      <c r="W147" s="2"/>
      <c r="X147" s="2"/>
      <c r="Y147" s="2"/>
      <c r="Z147" s="2"/>
      <c r="AA147" s="2"/>
    </row>
    <row r="148">
      <c r="A148" s="11">
        <v>132.0</v>
      </c>
      <c r="B148" s="17" t="s">
        <v>10168</v>
      </c>
      <c r="C148" s="17" t="s">
        <v>10169</v>
      </c>
      <c r="D148" s="17" t="s">
        <v>10170</v>
      </c>
      <c r="E148" s="12">
        <v>10.0</v>
      </c>
      <c r="F148" s="7">
        <f t="shared" si="2"/>
        <v>90</v>
      </c>
      <c r="G148" s="17" t="s">
        <v>3113</v>
      </c>
      <c r="H148" s="2"/>
      <c r="I148" s="2"/>
      <c r="J148" s="2"/>
      <c r="K148" s="2"/>
      <c r="L148" s="2"/>
      <c r="M148" s="2"/>
      <c r="N148" s="2"/>
      <c r="O148" s="2"/>
      <c r="P148" s="2"/>
      <c r="Q148" s="2"/>
      <c r="R148" s="2"/>
      <c r="S148" s="2"/>
      <c r="T148" s="2"/>
      <c r="U148" s="2"/>
      <c r="V148" s="2"/>
      <c r="W148" s="2"/>
      <c r="X148" s="2"/>
      <c r="Y148" s="2"/>
      <c r="Z148" s="2"/>
      <c r="AA148" s="2"/>
    </row>
    <row r="149">
      <c r="A149" s="11">
        <v>133.0</v>
      </c>
      <c r="B149" s="17" t="s">
        <v>10171</v>
      </c>
      <c r="C149" s="17" t="s">
        <v>10172</v>
      </c>
      <c r="D149" s="17" t="s">
        <v>10173</v>
      </c>
      <c r="E149" s="12">
        <v>10.0</v>
      </c>
      <c r="F149" s="7">
        <f t="shared" si="2"/>
        <v>90</v>
      </c>
      <c r="G149" s="17" t="s">
        <v>3113</v>
      </c>
      <c r="H149" s="2"/>
      <c r="I149" s="2"/>
      <c r="J149" s="2"/>
      <c r="K149" s="2"/>
      <c r="L149" s="2"/>
      <c r="M149" s="2"/>
      <c r="N149" s="2"/>
      <c r="O149" s="2"/>
      <c r="P149" s="2"/>
      <c r="Q149" s="2"/>
      <c r="R149" s="2"/>
      <c r="S149" s="2"/>
      <c r="T149" s="2"/>
      <c r="U149" s="2"/>
      <c r="V149" s="2"/>
      <c r="W149" s="2"/>
      <c r="X149" s="2"/>
      <c r="Y149" s="2"/>
      <c r="Z149" s="2"/>
      <c r="AA149" s="2"/>
    </row>
    <row r="150">
      <c r="A150" s="11">
        <v>134.0</v>
      </c>
      <c r="B150" s="17" t="s">
        <v>10174</v>
      </c>
      <c r="C150" s="17" t="s">
        <v>10175</v>
      </c>
      <c r="D150" s="17" t="s">
        <v>10176</v>
      </c>
      <c r="E150" s="10">
        <v>10.0</v>
      </c>
      <c r="F150" s="7">
        <f t="shared" si="2"/>
        <v>90</v>
      </c>
      <c r="G150" s="17" t="s">
        <v>3113</v>
      </c>
      <c r="H150" s="2"/>
      <c r="I150" s="2"/>
      <c r="J150" s="2"/>
      <c r="K150" s="2"/>
      <c r="L150" s="2"/>
      <c r="M150" s="2"/>
      <c r="N150" s="2"/>
      <c r="O150" s="2"/>
      <c r="P150" s="2"/>
      <c r="Q150" s="2"/>
      <c r="R150" s="2"/>
      <c r="S150" s="2"/>
      <c r="T150" s="2"/>
      <c r="U150" s="2"/>
      <c r="V150" s="2"/>
      <c r="W150" s="2"/>
      <c r="X150" s="2"/>
      <c r="Y150" s="2"/>
      <c r="Z150" s="2"/>
      <c r="AA150" s="2"/>
    </row>
    <row r="151">
      <c r="A151" s="11">
        <v>135.0</v>
      </c>
      <c r="B151" s="17" t="s">
        <v>10177</v>
      </c>
      <c r="C151" s="17" t="s">
        <v>10178</v>
      </c>
      <c r="D151" s="17" t="s">
        <v>10179</v>
      </c>
      <c r="E151" s="10">
        <v>10.0</v>
      </c>
      <c r="F151" s="7">
        <f t="shared" si="2"/>
        <v>90</v>
      </c>
      <c r="G151" s="17" t="s">
        <v>3113</v>
      </c>
      <c r="H151" s="2"/>
      <c r="I151" s="2"/>
      <c r="J151" s="2"/>
      <c r="K151" s="2"/>
      <c r="L151" s="2"/>
      <c r="M151" s="2"/>
      <c r="N151" s="2"/>
      <c r="O151" s="2"/>
      <c r="P151" s="2"/>
      <c r="Q151" s="2"/>
      <c r="R151" s="2"/>
      <c r="S151" s="2"/>
      <c r="T151" s="2"/>
      <c r="U151" s="2"/>
      <c r="V151" s="2"/>
      <c r="W151" s="2"/>
      <c r="X151" s="2"/>
      <c r="Y151" s="2"/>
      <c r="Z151" s="2"/>
      <c r="AA151" s="2"/>
    </row>
    <row r="152">
      <c r="A152" s="11">
        <v>136.0</v>
      </c>
      <c r="B152" s="17" t="s">
        <v>10180</v>
      </c>
      <c r="C152" s="17" t="s">
        <v>10181</v>
      </c>
      <c r="D152" s="17" t="s">
        <v>10179</v>
      </c>
      <c r="E152" s="10">
        <v>10.0</v>
      </c>
      <c r="F152" s="7">
        <f t="shared" si="2"/>
        <v>90</v>
      </c>
      <c r="G152" s="17" t="s">
        <v>3113</v>
      </c>
      <c r="H152" s="2"/>
      <c r="I152" s="2"/>
      <c r="J152" s="2"/>
      <c r="K152" s="2"/>
      <c r="L152" s="2"/>
      <c r="M152" s="2"/>
      <c r="N152" s="2"/>
      <c r="O152" s="2"/>
      <c r="P152" s="2"/>
      <c r="Q152" s="2"/>
      <c r="R152" s="2"/>
      <c r="S152" s="2"/>
      <c r="T152" s="2"/>
      <c r="U152" s="2"/>
      <c r="V152" s="2"/>
      <c r="W152" s="2"/>
      <c r="X152" s="2"/>
      <c r="Y152" s="2"/>
      <c r="Z152" s="2"/>
      <c r="AA152" s="2"/>
    </row>
    <row r="153">
      <c r="A153" s="11">
        <v>137.0</v>
      </c>
      <c r="B153" s="17" t="s">
        <v>10182</v>
      </c>
      <c r="C153" s="17" t="s">
        <v>10183</v>
      </c>
      <c r="D153" s="17" t="s">
        <v>10184</v>
      </c>
      <c r="E153" s="10">
        <v>10.0</v>
      </c>
      <c r="F153" s="7">
        <f t="shared" si="2"/>
        <v>90</v>
      </c>
      <c r="G153" s="17" t="s">
        <v>3113</v>
      </c>
      <c r="H153" s="2"/>
      <c r="I153" s="2"/>
      <c r="J153" s="2"/>
      <c r="K153" s="2"/>
      <c r="L153" s="2"/>
      <c r="M153" s="2"/>
      <c r="N153" s="2"/>
      <c r="O153" s="2"/>
      <c r="P153" s="2"/>
      <c r="Q153" s="2"/>
      <c r="R153" s="2"/>
      <c r="S153" s="2"/>
      <c r="T153" s="2"/>
      <c r="U153" s="2"/>
      <c r="V153" s="2"/>
      <c r="W153" s="2"/>
      <c r="X153" s="2"/>
      <c r="Y153" s="2"/>
      <c r="Z153" s="2"/>
      <c r="AA153" s="2"/>
    </row>
    <row r="154">
      <c r="A154" s="11">
        <v>138.0</v>
      </c>
      <c r="B154" s="17" t="s">
        <v>10185</v>
      </c>
      <c r="C154" s="17" t="s">
        <v>10186</v>
      </c>
      <c r="D154" s="17" t="s">
        <v>10187</v>
      </c>
      <c r="E154" s="10">
        <v>10.0</v>
      </c>
      <c r="F154" s="7">
        <f t="shared" si="2"/>
        <v>90</v>
      </c>
      <c r="G154" s="17" t="s">
        <v>3113</v>
      </c>
      <c r="H154" s="2"/>
      <c r="I154" s="2"/>
      <c r="J154" s="2"/>
      <c r="K154" s="2"/>
      <c r="L154" s="2"/>
      <c r="M154" s="2"/>
      <c r="N154" s="2"/>
      <c r="O154" s="2"/>
      <c r="P154" s="2"/>
      <c r="Q154" s="2"/>
      <c r="R154" s="2"/>
      <c r="S154" s="2"/>
      <c r="T154" s="2"/>
      <c r="U154" s="2"/>
      <c r="V154" s="2"/>
      <c r="W154" s="2"/>
      <c r="X154" s="2"/>
      <c r="Y154" s="2"/>
      <c r="Z154" s="2"/>
      <c r="AA154" s="2"/>
    </row>
    <row r="155">
      <c r="A155" s="11">
        <v>139.0</v>
      </c>
      <c r="B155" s="17" t="s">
        <v>10188</v>
      </c>
      <c r="C155" s="17" t="s">
        <v>10189</v>
      </c>
      <c r="D155" s="17" t="s">
        <v>10190</v>
      </c>
      <c r="E155" s="10">
        <v>10.0</v>
      </c>
      <c r="F155" s="7">
        <f t="shared" si="2"/>
        <v>90</v>
      </c>
      <c r="G155" s="17" t="s">
        <v>3113</v>
      </c>
      <c r="H155" s="2"/>
      <c r="I155" s="2"/>
      <c r="J155" s="2"/>
      <c r="K155" s="2"/>
      <c r="L155" s="2"/>
      <c r="M155" s="2"/>
      <c r="N155" s="2"/>
      <c r="O155" s="2"/>
      <c r="P155" s="2"/>
      <c r="Q155" s="2"/>
      <c r="R155" s="2"/>
      <c r="S155" s="2"/>
      <c r="T155" s="2"/>
      <c r="U155" s="2"/>
      <c r="V155" s="2"/>
      <c r="W155" s="2"/>
      <c r="X155" s="2"/>
      <c r="Y155" s="2"/>
      <c r="Z155" s="2"/>
      <c r="AA155" s="2"/>
    </row>
    <row r="156">
      <c r="A156" s="11">
        <v>140.0</v>
      </c>
      <c r="B156" s="17" t="s">
        <v>10191</v>
      </c>
      <c r="C156" s="17" t="s">
        <v>10192</v>
      </c>
      <c r="D156" s="17" t="s">
        <v>10193</v>
      </c>
      <c r="E156" s="10">
        <v>10.0</v>
      </c>
      <c r="F156" s="7">
        <f t="shared" si="2"/>
        <v>90</v>
      </c>
      <c r="G156" s="17" t="s">
        <v>3113</v>
      </c>
      <c r="H156" s="2"/>
      <c r="I156" s="2"/>
      <c r="J156" s="2"/>
      <c r="K156" s="2"/>
      <c r="L156" s="2"/>
      <c r="M156" s="2"/>
      <c r="N156" s="2"/>
      <c r="O156" s="2"/>
      <c r="P156" s="2"/>
      <c r="Q156" s="2"/>
      <c r="R156" s="2"/>
      <c r="S156" s="2"/>
      <c r="T156" s="2"/>
      <c r="U156" s="2"/>
      <c r="V156" s="2"/>
      <c r="W156" s="2"/>
      <c r="X156" s="2"/>
      <c r="Y156" s="2"/>
      <c r="Z156" s="2"/>
      <c r="AA156" s="2"/>
    </row>
    <row r="157">
      <c r="A157" s="11">
        <v>141.0</v>
      </c>
      <c r="B157" s="17" t="s">
        <v>10194</v>
      </c>
      <c r="C157" s="17" t="s">
        <v>10195</v>
      </c>
      <c r="D157" s="17" t="s">
        <v>10196</v>
      </c>
      <c r="E157" s="10">
        <v>10.0</v>
      </c>
      <c r="F157" s="7">
        <f t="shared" si="2"/>
        <v>90</v>
      </c>
      <c r="G157" s="17" t="s">
        <v>3113</v>
      </c>
      <c r="H157" s="2"/>
      <c r="I157" s="2"/>
      <c r="J157" s="2"/>
      <c r="K157" s="2"/>
      <c r="L157" s="2"/>
      <c r="M157" s="2"/>
      <c r="N157" s="2"/>
      <c r="O157" s="2"/>
      <c r="P157" s="2"/>
      <c r="Q157" s="2"/>
      <c r="R157" s="2"/>
      <c r="S157" s="2"/>
      <c r="T157" s="2"/>
      <c r="U157" s="2"/>
      <c r="V157" s="2"/>
      <c r="W157" s="2"/>
      <c r="X157" s="2"/>
      <c r="Y157" s="2"/>
      <c r="Z157" s="2"/>
      <c r="AA157" s="2"/>
    </row>
    <row r="158">
      <c r="A158" s="11">
        <v>142.0</v>
      </c>
      <c r="B158" s="17" t="s">
        <v>10197</v>
      </c>
      <c r="C158" s="17" t="s">
        <v>10198</v>
      </c>
      <c r="D158" s="17" t="s">
        <v>10199</v>
      </c>
      <c r="E158" s="10">
        <v>10.0</v>
      </c>
      <c r="F158" s="7">
        <f t="shared" si="2"/>
        <v>90</v>
      </c>
      <c r="G158" s="17" t="s">
        <v>3113</v>
      </c>
      <c r="H158" s="2"/>
      <c r="I158" s="2"/>
      <c r="J158" s="2"/>
      <c r="K158" s="2"/>
      <c r="L158" s="2"/>
      <c r="M158" s="2"/>
      <c r="N158" s="2"/>
      <c r="O158" s="2"/>
      <c r="P158" s="2"/>
      <c r="Q158" s="2"/>
      <c r="R158" s="2"/>
      <c r="S158" s="2"/>
      <c r="T158" s="2"/>
      <c r="U158" s="2"/>
      <c r="V158" s="2"/>
      <c r="W158" s="2"/>
      <c r="X158" s="2"/>
      <c r="Y158" s="2"/>
      <c r="Z158" s="2"/>
      <c r="AA158" s="2"/>
    </row>
    <row r="159">
      <c r="A159" s="11">
        <v>143.0</v>
      </c>
      <c r="B159" s="17" t="s">
        <v>10200</v>
      </c>
      <c r="C159" s="17" t="s">
        <v>10201</v>
      </c>
      <c r="D159" s="17" t="s">
        <v>10202</v>
      </c>
      <c r="E159" s="10">
        <v>10.0</v>
      </c>
      <c r="F159" s="7">
        <f t="shared" si="2"/>
        <v>90</v>
      </c>
      <c r="G159" s="17" t="s">
        <v>3113</v>
      </c>
      <c r="H159" s="2"/>
      <c r="I159" s="2"/>
      <c r="J159" s="2"/>
      <c r="K159" s="2"/>
      <c r="L159" s="2"/>
      <c r="M159" s="2"/>
      <c r="N159" s="2"/>
      <c r="O159" s="2"/>
      <c r="P159" s="2"/>
      <c r="Q159" s="2"/>
      <c r="R159" s="2"/>
      <c r="S159" s="2"/>
      <c r="T159" s="2"/>
      <c r="U159" s="2"/>
      <c r="V159" s="2"/>
      <c r="W159" s="2"/>
      <c r="X159" s="2"/>
      <c r="Y159" s="2"/>
      <c r="Z159" s="2"/>
      <c r="AA159" s="2"/>
    </row>
    <row r="160">
      <c r="A160" s="11">
        <v>144.0</v>
      </c>
      <c r="B160" s="17" t="s">
        <v>10203</v>
      </c>
      <c r="C160" s="17" t="s">
        <v>10204</v>
      </c>
      <c r="D160" s="17" t="s">
        <v>10202</v>
      </c>
      <c r="E160" s="10">
        <v>10.0</v>
      </c>
      <c r="F160" s="7">
        <f t="shared" si="2"/>
        <v>90</v>
      </c>
      <c r="G160" s="17" t="s">
        <v>3113</v>
      </c>
      <c r="H160" s="2"/>
      <c r="I160" s="2"/>
      <c r="J160" s="2"/>
      <c r="K160" s="2"/>
      <c r="L160" s="2"/>
      <c r="M160" s="2"/>
      <c r="N160" s="2"/>
      <c r="O160" s="2"/>
      <c r="P160" s="2"/>
      <c r="Q160" s="2"/>
      <c r="R160" s="2"/>
      <c r="S160" s="2"/>
      <c r="T160" s="2"/>
      <c r="U160" s="2"/>
      <c r="V160" s="2"/>
      <c r="W160" s="2"/>
      <c r="X160" s="2"/>
      <c r="Y160" s="2"/>
      <c r="Z160" s="2"/>
      <c r="AA160" s="2"/>
    </row>
    <row r="161">
      <c r="A161" s="11">
        <v>145.0</v>
      </c>
      <c r="B161" s="17" t="s">
        <v>10205</v>
      </c>
      <c r="C161" s="17" t="s">
        <v>10206</v>
      </c>
      <c r="D161" s="17" t="s">
        <v>10207</v>
      </c>
      <c r="E161" s="10">
        <v>10.0</v>
      </c>
      <c r="F161" s="7">
        <f t="shared" si="2"/>
        <v>90</v>
      </c>
      <c r="G161" s="17" t="s">
        <v>3113</v>
      </c>
      <c r="H161" s="2"/>
      <c r="I161" s="2"/>
      <c r="J161" s="2"/>
      <c r="K161" s="2"/>
      <c r="L161" s="2"/>
      <c r="M161" s="2"/>
      <c r="N161" s="2"/>
      <c r="O161" s="2"/>
      <c r="P161" s="2"/>
      <c r="Q161" s="2"/>
      <c r="R161" s="2"/>
      <c r="S161" s="2"/>
      <c r="T161" s="2"/>
      <c r="U161" s="2"/>
      <c r="V161" s="2"/>
      <c r="W161" s="2"/>
      <c r="X161" s="2"/>
      <c r="Y161" s="2"/>
      <c r="Z161" s="2"/>
      <c r="AA161" s="2"/>
    </row>
    <row r="162">
      <c r="A162" s="11">
        <v>146.0</v>
      </c>
      <c r="B162" s="17" t="s">
        <v>10208</v>
      </c>
      <c r="C162" s="17" t="s">
        <v>10209</v>
      </c>
      <c r="D162" s="17" t="s">
        <v>10210</v>
      </c>
      <c r="E162" s="10">
        <v>10.0</v>
      </c>
      <c r="F162" s="7">
        <f t="shared" si="2"/>
        <v>90</v>
      </c>
      <c r="G162" s="17" t="s">
        <v>3113</v>
      </c>
      <c r="H162" s="2"/>
      <c r="I162" s="2"/>
      <c r="J162" s="2"/>
      <c r="K162" s="2"/>
      <c r="L162" s="2"/>
      <c r="M162" s="2"/>
      <c r="N162" s="2"/>
      <c r="O162" s="2"/>
      <c r="P162" s="2"/>
      <c r="Q162" s="2"/>
      <c r="R162" s="2"/>
      <c r="S162" s="2"/>
      <c r="T162" s="2"/>
      <c r="U162" s="2"/>
      <c r="V162" s="2"/>
      <c r="W162" s="2"/>
      <c r="X162" s="2"/>
      <c r="Y162" s="2"/>
      <c r="Z162" s="2"/>
      <c r="AA162" s="2"/>
    </row>
    <row r="163">
      <c r="A163" s="11">
        <v>147.0</v>
      </c>
      <c r="B163" s="17" t="s">
        <v>10211</v>
      </c>
      <c r="C163" s="17" t="s">
        <v>10212</v>
      </c>
      <c r="D163" s="17" t="s">
        <v>10213</v>
      </c>
      <c r="E163" s="10">
        <v>10.0</v>
      </c>
      <c r="F163" s="7">
        <f t="shared" si="2"/>
        <v>90</v>
      </c>
      <c r="G163" s="17" t="s">
        <v>3113</v>
      </c>
      <c r="H163" s="2"/>
      <c r="I163" s="2"/>
      <c r="J163" s="2"/>
      <c r="K163" s="2"/>
      <c r="L163" s="2"/>
      <c r="M163" s="2"/>
      <c r="N163" s="2"/>
      <c r="O163" s="2"/>
      <c r="P163" s="2"/>
      <c r="Q163" s="2"/>
      <c r="R163" s="2"/>
      <c r="S163" s="2"/>
      <c r="T163" s="2"/>
      <c r="U163" s="2"/>
      <c r="V163" s="2"/>
      <c r="W163" s="2"/>
      <c r="X163" s="2"/>
      <c r="Y163" s="2"/>
      <c r="Z163" s="2"/>
      <c r="AA163" s="2"/>
    </row>
    <row r="164">
      <c r="A164" s="11">
        <v>148.0</v>
      </c>
      <c r="B164" s="17" t="s">
        <v>10214</v>
      </c>
      <c r="C164" s="17" t="s">
        <v>10215</v>
      </c>
      <c r="D164" s="17" t="s">
        <v>10216</v>
      </c>
      <c r="E164" s="10">
        <v>10.0</v>
      </c>
      <c r="F164" s="7">
        <f t="shared" si="2"/>
        <v>90</v>
      </c>
      <c r="G164" s="17" t="s">
        <v>3113</v>
      </c>
      <c r="H164" s="2"/>
      <c r="I164" s="2"/>
      <c r="J164" s="2"/>
      <c r="K164" s="2"/>
      <c r="L164" s="2"/>
      <c r="M164" s="2"/>
      <c r="N164" s="2"/>
      <c r="O164" s="2"/>
      <c r="P164" s="2"/>
      <c r="Q164" s="2"/>
      <c r="R164" s="2"/>
      <c r="S164" s="2"/>
      <c r="T164" s="2"/>
      <c r="U164" s="2"/>
      <c r="V164" s="2"/>
      <c r="W164" s="2"/>
      <c r="X164" s="2"/>
      <c r="Y164" s="2"/>
      <c r="Z164" s="2"/>
      <c r="AA164" s="2"/>
    </row>
    <row r="165">
      <c r="A165" s="11">
        <v>149.0</v>
      </c>
      <c r="B165" s="17" t="s">
        <v>10217</v>
      </c>
      <c r="C165" s="17" t="s">
        <v>10218</v>
      </c>
      <c r="D165" s="17" t="s">
        <v>10219</v>
      </c>
      <c r="E165" s="10">
        <v>10.0</v>
      </c>
      <c r="F165" s="7">
        <f t="shared" si="2"/>
        <v>90</v>
      </c>
      <c r="G165" s="17" t="s">
        <v>3113</v>
      </c>
      <c r="H165" s="2"/>
      <c r="I165" s="2"/>
      <c r="J165" s="2"/>
      <c r="K165" s="2"/>
      <c r="L165" s="2"/>
      <c r="M165" s="2"/>
      <c r="N165" s="2"/>
      <c r="O165" s="2"/>
      <c r="P165" s="2"/>
      <c r="Q165" s="2"/>
      <c r="R165" s="2"/>
      <c r="S165" s="2"/>
      <c r="T165" s="2"/>
      <c r="U165" s="2"/>
      <c r="V165" s="2"/>
      <c r="W165" s="2"/>
      <c r="X165" s="2"/>
      <c r="Y165" s="2"/>
      <c r="Z165" s="2"/>
      <c r="AA165" s="2"/>
    </row>
    <row r="166">
      <c r="A166" s="11">
        <v>150.0</v>
      </c>
      <c r="B166" s="17" t="s">
        <v>10220</v>
      </c>
      <c r="C166" s="17" t="s">
        <v>10221</v>
      </c>
      <c r="D166" s="17" t="s">
        <v>10222</v>
      </c>
      <c r="E166" s="10">
        <v>10.0</v>
      </c>
      <c r="F166" s="7">
        <f t="shared" si="2"/>
        <v>90</v>
      </c>
      <c r="G166" s="17" t="s">
        <v>3113</v>
      </c>
      <c r="H166" s="2"/>
      <c r="I166" s="2"/>
      <c r="J166" s="2"/>
      <c r="K166" s="2"/>
      <c r="L166" s="2"/>
      <c r="M166" s="2"/>
      <c r="N166" s="2"/>
      <c r="O166" s="2"/>
      <c r="P166" s="2"/>
      <c r="Q166" s="2"/>
      <c r="R166" s="2"/>
      <c r="S166" s="2"/>
      <c r="T166" s="2"/>
      <c r="U166" s="2"/>
      <c r="V166" s="2"/>
      <c r="W166" s="2"/>
      <c r="X166" s="2"/>
      <c r="Y166" s="2"/>
      <c r="Z166" s="2"/>
      <c r="AA166" s="2"/>
    </row>
    <row r="167">
      <c r="A167" s="11">
        <v>151.0</v>
      </c>
      <c r="B167" s="17" t="s">
        <v>10223</v>
      </c>
      <c r="C167" s="17" t="s">
        <v>10224</v>
      </c>
      <c r="D167" s="17" t="s">
        <v>10225</v>
      </c>
      <c r="E167" s="10">
        <v>10.0</v>
      </c>
      <c r="F167" s="7">
        <f t="shared" si="2"/>
        <v>90</v>
      </c>
      <c r="G167" s="17" t="s">
        <v>3113</v>
      </c>
      <c r="H167" s="2"/>
      <c r="I167" s="2"/>
      <c r="J167" s="2"/>
      <c r="K167" s="2"/>
      <c r="L167" s="2"/>
      <c r="M167" s="2"/>
      <c r="N167" s="2"/>
      <c r="O167" s="2"/>
      <c r="P167" s="2"/>
      <c r="Q167" s="2"/>
      <c r="R167" s="2"/>
      <c r="S167" s="2"/>
      <c r="T167" s="2"/>
      <c r="U167" s="2"/>
      <c r="V167" s="2"/>
      <c r="W167" s="2"/>
      <c r="X167" s="2"/>
      <c r="Y167" s="2"/>
      <c r="Z167" s="2"/>
      <c r="AA167" s="2"/>
    </row>
    <row r="168">
      <c r="A168" s="11">
        <v>152.0</v>
      </c>
      <c r="B168" s="17" t="s">
        <v>10226</v>
      </c>
      <c r="C168" s="17" t="s">
        <v>10227</v>
      </c>
      <c r="D168" s="17" t="s">
        <v>10228</v>
      </c>
      <c r="E168" s="10">
        <v>10.0</v>
      </c>
      <c r="F168" s="7">
        <f t="shared" si="2"/>
        <v>90</v>
      </c>
      <c r="G168" s="17" t="s">
        <v>3113</v>
      </c>
      <c r="H168" s="2"/>
      <c r="I168" s="2"/>
      <c r="J168" s="2"/>
      <c r="K168" s="2"/>
      <c r="L168" s="2"/>
      <c r="M168" s="2"/>
      <c r="N168" s="2"/>
      <c r="O168" s="2"/>
      <c r="P168" s="2"/>
      <c r="Q168" s="2"/>
      <c r="R168" s="2"/>
      <c r="S168" s="2"/>
      <c r="T168" s="2"/>
      <c r="U168" s="2"/>
      <c r="V168" s="2"/>
      <c r="W168" s="2"/>
      <c r="X168" s="2"/>
      <c r="Y168" s="2"/>
      <c r="Z168" s="2"/>
      <c r="AA168" s="2"/>
    </row>
    <row r="169">
      <c r="A169" s="11">
        <v>153.0</v>
      </c>
      <c r="B169" s="17" t="s">
        <v>10229</v>
      </c>
      <c r="C169" s="17" t="s">
        <v>10230</v>
      </c>
      <c r="D169" s="17" t="s">
        <v>10231</v>
      </c>
      <c r="E169" s="10">
        <v>10.0</v>
      </c>
      <c r="F169" s="7">
        <f t="shared" si="2"/>
        <v>90</v>
      </c>
      <c r="G169" s="17" t="s">
        <v>3113</v>
      </c>
      <c r="H169" s="2"/>
      <c r="I169" s="2"/>
      <c r="J169" s="2"/>
      <c r="K169" s="2"/>
      <c r="L169" s="2"/>
      <c r="M169" s="2"/>
      <c r="N169" s="2"/>
      <c r="O169" s="2"/>
      <c r="P169" s="2"/>
      <c r="Q169" s="2"/>
      <c r="R169" s="2"/>
      <c r="S169" s="2"/>
      <c r="T169" s="2"/>
      <c r="U169" s="2"/>
      <c r="V169" s="2"/>
      <c r="W169" s="2"/>
      <c r="X169" s="2"/>
      <c r="Y169" s="2"/>
      <c r="Z169" s="2"/>
      <c r="AA169" s="2"/>
    </row>
    <row r="170">
      <c r="A170" s="11">
        <v>154.0</v>
      </c>
      <c r="B170" s="17" t="s">
        <v>10232</v>
      </c>
      <c r="C170" s="17" t="s">
        <v>10233</v>
      </c>
      <c r="D170" s="17" t="s">
        <v>10234</v>
      </c>
      <c r="E170" s="10">
        <v>10.0</v>
      </c>
      <c r="F170" s="7">
        <f t="shared" si="2"/>
        <v>90</v>
      </c>
      <c r="G170" s="17" t="s">
        <v>3113</v>
      </c>
      <c r="H170" s="2"/>
      <c r="I170" s="2"/>
      <c r="J170" s="2"/>
      <c r="K170" s="2"/>
      <c r="L170" s="2"/>
      <c r="M170" s="2"/>
      <c r="N170" s="2"/>
      <c r="O170" s="2"/>
      <c r="P170" s="2"/>
      <c r="Q170" s="2"/>
      <c r="R170" s="2"/>
      <c r="S170" s="2"/>
      <c r="T170" s="2"/>
      <c r="U170" s="2"/>
      <c r="V170" s="2"/>
      <c r="W170" s="2"/>
      <c r="X170" s="2"/>
      <c r="Y170" s="2"/>
      <c r="Z170" s="2"/>
      <c r="AA170" s="2"/>
    </row>
    <row r="171">
      <c r="A171" s="11">
        <v>155.0</v>
      </c>
      <c r="B171" s="17" t="s">
        <v>10235</v>
      </c>
      <c r="C171" s="17" t="s">
        <v>10236</v>
      </c>
      <c r="D171" s="17" t="s">
        <v>10237</v>
      </c>
      <c r="E171" s="10">
        <v>10.0</v>
      </c>
      <c r="F171" s="7">
        <f t="shared" si="2"/>
        <v>90</v>
      </c>
      <c r="G171" s="17" t="s">
        <v>3113</v>
      </c>
      <c r="H171" s="2"/>
      <c r="I171" s="2"/>
      <c r="J171" s="2"/>
      <c r="K171" s="2"/>
      <c r="L171" s="2"/>
      <c r="M171" s="2"/>
      <c r="N171" s="2"/>
      <c r="O171" s="2"/>
      <c r="P171" s="2"/>
      <c r="Q171" s="2"/>
      <c r="R171" s="2"/>
      <c r="S171" s="2"/>
      <c r="T171" s="2"/>
      <c r="U171" s="2"/>
      <c r="V171" s="2"/>
      <c r="W171" s="2"/>
      <c r="X171" s="2"/>
      <c r="Y171" s="2"/>
      <c r="Z171" s="2"/>
      <c r="AA171" s="2"/>
    </row>
    <row r="172">
      <c r="A172" s="11">
        <v>156.0</v>
      </c>
      <c r="B172" s="17" t="s">
        <v>10238</v>
      </c>
      <c r="C172" s="17" t="s">
        <v>10239</v>
      </c>
      <c r="D172" s="17" t="s">
        <v>10240</v>
      </c>
      <c r="E172" s="10">
        <v>10.0</v>
      </c>
      <c r="F172" s="7">
        <f t="shared" si="2"/>
        <v>90</v>
      </c>
      <c r="G172" s="17" t="s">
        <v>3113</v>
      </c>
      <c r="H172" s="2"/>
      <c r="I172" s="2"/>
      <c r="J172" s="2"/>
      <c r="K172" s="2"/>
      <c r="L172" s="2"/>
      <c r="M172" s="2"/>
      <c r="N172" s="2"/>
      <c r="O172" s="2"/>
      <c r="P172" s="2"/>
      <c r="Q172" s="2"/>
      <c r="R172" s="2"/>
      <c r="S172" s="2"/>
      <c r="T172" s="2"/>
      <c r="U172" s="2"/>
      <c r="V172" s="2"/>
      <c r="W172" s="2"/>
      <c r="X172" s="2"/>
      <c r="Y172" s="2"/>
      <c r="Z172" s="2"/>
      <c r="AA172" s="2"/>
    </row>
    <row r="173">
      <c r="A173" s="11">
        <v>157.0</v>
      </c>
      <c r="B173" s="17" t="s">
        <v>10241</v>
      </c>
      <c r="C173" s="17" t="s">
        <v>10242</v>
      </c>
      <c r="D173" s="17" t="s">
        <v>10243</v>
      </c>
      <c r="E173" s="10">
        <v>10.0</v>
      </c>
      <c r="F173" s="7">
        <f t="shared" si="2"/>
        <v>90</v>
      </c>
      <c r="G173" s="17" t="s">
        <v>3113</v>
      </c>
      <c r="H173" s="2"/>
      <c r="I173" s="2"/>
      <c r="J173" s="2"/>
      <c r="K173" s="2"/>
      <c r="L173" s="2"/>
      <c r="M173" s="2"/>
      <c r="N173" s="2"/>
      <c r="O173" s="2"/>
      <c r="P173" s="2"/>
      <c r="Q173" s="2"/>
      <c r="R173" s="2"/>
      <c r="S173" s="2"/>
      <c r="T173" s="2"/>
      <c r="U173" s="2"/>
      <c r="V173" s="2"/>
      <c r="W173" s="2"/>
      <c r="X173" s="2"/>
      <c r="Y173" s="2"/>
      <c r="Z173" s="2"/>
      <c r="AA173" s="2"/>
    </row>
    <row r="174">
      <c r="A174" s="11">
        <v>158.0</v>
      </c>
      <c r="B174" s="17" t="s">
        <v>10244</v>
      </c>
      <c r="C174" s="17" t="s">
        <v>10245</v>
      </c>
      <c r="D174" s="17" t="s">
        <v>10246</v>
      </c>
      <c r="E174" s="10">
        <v>10.0</v>
      </c>
      <c r="F174" s="7">
        <f t="shared" si="2"/>
        <v>90</v>
      </c>
      <c r="G174" s="17" t="s">
        <v>3113</v>
      </c>
      <c r="H174" s="2"/>
      <c r="I174" s="2"/>
      <c r="J174" s="2"/>
      <c r="K174" s="2"/>
      <c r="L174" s="2"/>
      <c r="M174" s="2"/>
      <c r="N174" s="2"/>
      <c r="O174" s="2"/>
      <c r="P174" s="2"/>
      <c r="Q174" s="2"/>
      <c r="R174" s="2"/>
      <c r="S174" s="2"/>
      <c r="T174" s="2"/>
      <c r="U174" s="2"/>
      <c r="V174" s="2"/>
      <c r="W174" s="2"/>
      <c r="X174" s="2"/>
      <c r="Y174" s="2"/>
      <c r="Z174" s="2"/>
      <c r="AA174" s="2"/>
    </row>
    <row r="175">
      <c r="A175" s="11">
        <v>159.0</v>
      </c>
      <c r="B175" s="17" t="s">
        <v>10247</v>
      </c>
      <c r="C175" s="17" t="s">
        <v>10248</v>
      </c>
      <c r="D175" s="17" t="s">
        <v>10249</v>
      </c>
      <c r="E175" s="10">
        <v>10.0</v>
      </c>
      <c r="F175" s="7">
        <f t="shared" si="2"/>
        <v>90</v>
      </c>
      <c r="G175" s="17" t="s">
        <v>3113</v>
      </c>
      <c r="H175" s="2"/>
      <c r="I175" s="2"/>
      <c r="J175" s="2"/>
      <c r="K175" s="2"/>
      <c r="L175" s="2"/>
      <c r="M175" s="2"/>
      <c r="N175" s="2"/>
      <c r="O175" s="2"/>
      <c r="P175" s="2"/>
      <c r="Q175" s="2"/>
      <c r="R175" s="2"/>
      <c r="S175" s="2"/>
      <c r="T175" s="2"/>
      <c r="U175" s="2"/>
      <c r="V175" s="2"/>
      <c r="W175" s="2"/>
      <c r="X175" s="2"/>
      <c r="Y175" s="2"/>
      <c r="Z175" s="2"/>
      <c r="AA175" s="2"/>
    </row>
    <row r="176">
      <c r="A176" s="11">
        <v>160.0</v>
      </c>
      <c r="B176" s="17" t="s">
        <v>10250</v>
      </c>
      <c r="C176" s="17" t="s">
        <v>10251</v>
      </c>
      <c r="D176" s="17" t="s">
        <v>10252</v>
      </c>
      <c r="E176" s="10">
        <v>10.0</v>
      </c>
      <c r="F176" s="7">
        <f t="shared" si="2"/>
        <v>90</v>
      </c>
      <c r="G176" s="17" t="s">
        <v>3113</v>
      </c>
      <c r="H176" s="2"/>
      <c r="I176" s="2"/>
      <c r="J176" s="2"/>
      <c r="K176" s="2"/>
      <c r="L176" s="2"/>
      <c r="M176" s="2"/>
      <c r="N176" s="2"/>
      <c r="O176" s="2"/>
      <c r="P176" s="2"/>
      <c r="Q176" s="2"/>
      <c r="R176" s="2"/>
      <c r="S176" s="2"/>
      <c r="T176" s="2"/>
      <c r="U176" s="2"/>
      <c r="V176" s="2"/>
      <c r="W176" s="2"/>
      <c r="X176" s="2"/>
      <c r="Y176" s="2"/>
      <c r="Z176" s="2"/>
      <c r="AA176" s="2"/>
    </row>
    <row r="177">
      <c r="A177" s="11">
        <v>161.0</v>
      </c>
      <c r="B177" s="17" t="s">
        <v>10253</v>
      </c>
      <c r="C177" s="17" t="s">
        <v>10254</v>
      </c>
      <c r="D177" s="17" t="s">
        <v>10255</v>
      </c>
      <c r="E177" s="10">
        <v>10.0</v>
      </c>
      <c r="F177" s="7">
        <f t="shared" si="2"/>
        <v>90</v>
      </c>
      <c r="G177" s="17" t="s">
        <v>3113</v>
      </c>
      <c r="H177" s="2"/>
      <c r="I177" s="2"/>
      <c r="J177" s="2"/>
      <c r="K177" s="2"/>
      <c r="L177" s="2"/>
      <c r="M177" s="2"/>
      <c r="N177" s="2"/>
      <c r="O177" s="2"/>
      <c r="P177" s="2"/>
      <c r="Q177" s="2"/>
      <c r="R177" s="2"/>
      <c r="S177" s="2"/>
      <c r="T177" s="2"/>
      <c r="U177" s="2"/>
      <c r="V177" s="2"/>
      <c r="W177" s="2"/>
      <c r="X177" s="2"/>
      <c r="Y177" s="2"/>
      <c r="Z177" s="2"/>
      <c r="AA177" s="2"/>
    </row>
    <row r="178">
      <c r="A178" s="11">
        <v>162.0</v>
      </c>
      <c r="B178" s="17" t="s">
        <v>10256</v>
      </c>
      <c r="C178" s="17" t="s">
        <v>10257</v>
      </c>
      <c r="D178" s="17" t="s">
        <v>10258</v>
      </c>
      <c r="E178" s="10">
        <v>10.0</v>
      </c>
      <c r="F178" s="7">
        <f t="shared" si="2"/>
        <v>90</v>
      </c>
      <c r="G178" s="17" t="s">
        <v>3113</v>
      </c>
      <c r="H178" s="2"/>
      <c r="I178" s="2"/>
      <c r="J178" s="2"/>
      <c r="K178" s="2"/>
      <c r="L178" s="2"/>
      <c r="M178" s="2"/>
      <c r="N178" s="2"/>
      <c r="O178" s="2"/>
      <c r="P178" s="2"/>
      <c r="Q178" s="2"/>
      <c r="R178" s="2"/>
      <c r="S178" s="2"/>
      <c r="T178" s="2"/>
      <c r="U178" s="2"/>
      <c r="V178" s="2"/>
      <c r="W178" s="2"/>
      <c r="X178" s="2"/>
      <c r="Y178" s="2"/>
      <c r="Z178" s="2"/>
      <c r="AA178" s="2"/>
    </row>
    <row r="179">
      <c r="A179" s="11">
        <v>163.0</v>
      </c>
      <c r="B179" s="17" t="s">
        <v>10259</v>
      </c>
      <c r="C179" s="17" t="s">
        <v>10260</v>
      </c>
      <c r="D179" s="17" t="s">
        <v>10261</v>
      </c>
      <c r="E179" s="10">
        <v>10.0</v>
      </c>
      <c r="F179" s="7">
        <f t="shared" si="2"/>
        <v>90</v>
      </c>
      <c r="G179" s="17" t="s">
        <v>3113</v>
      </c>
      <c r="H179" s="2"/>
      <c r="I179" s="2"/>
      <c r="J179" s="2"/>
      <c r="K179" s="2"/>
      <c r="L179" s="2"/>
      <c r="M179" s="2"/>
      <c r="N179" s="2"/>
      <c r="O179" s="2"/>
      <c r="P179" s="2"/>
      <c r="Q179" s="2"/>
      <c r="R179" s="2"/>
      <c r="S179" s="2"/>
      <c r="T179" s="2"/>
      <c r="U179" s="2"/>
      <c r="V179" s="2"/>
      <c r="W179" s="2"/>
      <c r="X179" s="2"/>
      <c r="Y179" s="2"/>
      <c r="Z179" s="2"/>
      <c r="AA179" s="2"/>
    </row>
    <row r="180">
      <c r="A180" s="11">
        <v>164.0</v>
      </c>
      <c r="B180" s="17" t="s">
        <v>10262</v>
      </c>
      <c r="C180" s="17" t="s">
        <v>10263</v>
      </c>
      <c r="D180" s="17" t="s">
        <v>10264</v>
      </c>
      <c r="E180" s="10">
        <v>10.0</v>
      </c>
      <c r="F180" s="7">
        <f t="shared" si="2"/>
        <v>90</v>
      </c>
      <c r="G180" s="17" t="s">
        <v>3113</v>
      </c>
      <c r="H180" s="2"/>
      <c r="I180" s="2"/>
      <c r="J180" s="2"/>
      <c r="K180" s="2"/>
      <c r="L180" s="2"/>
      <c r="M180" s="2"/>
      <c r="N180" s="2"/>
      <c r="O180" s="2"/>
      <c r="P180" s="2"/>
      <c r="Q180" s="2"/>
      <c r="R180" s="2"/>
      <c r="S180" s="2"/>
      <c r="T180" s="2"/>
      <c r="U180" s="2"/>
      <c r="V180" s="2"/>
      <c r="W180" s="2"/>
      <c r="X180" s="2"/>
      <c r="Y180" s="2"/>
      <c r="Z180" s="2"/>
      <c r="AA180" s="2"/>
    </row>
    <row r="181">
      <c r="A181" s="11">
        <v>165.0</v>
      </c>
      <c r="B181" s="17" t="s">
        <v>10265</v>
      </c>
      <c r="C181" s="17" t="s">
        <v>10266</v>
      </c>
      <c r="D181" s="17" t="s">
        <v>10264</v>
      </c>
      <c r="E181" s="10">
        <v>10.0</v>
      </c>
      <c r="F181" s="7">
        <f t="shared" si="2"/>
        <v>90</v>
      </c>
      <c r="G181" s="17" t="s">
        <v>3113</v>
      </c>
      <c r="H181" s="2"/>
      <c r="I181" s="2"/>
      <c r="J181" s="2"/>
      <c r="K181" s="2"/>
      <c r="L181" s="2"/>
      <c r="M181" s="2"/>
      <c r="N181" s="2"/>
      <c r="O181" s="2"/>
      <c r="P181" s="2"/>
      <c r="Q181" s="2"/>
      <c r="R181" s="2"/>
      <c r="S181" s="2"/>
      <c r="T181" s="2"/>
      <c r="U181" s="2"/>
      <c r="V181" s="2"/>
      <c r="W181" s="2"/>
      <c r="X181" s="2"/>
      <c r="Y181" s="2"/>
      <c r="Z181" s="2"/>
      <c r="AA181" s="2"/>
    </row>
    <row r="182">
      <c r="A182" s="11">
        <v>166.0</v>
      </c>
      <c r="B182" s="17" t="s">
        <v>10267</v>
      </c>
      <c r="C182" s="17" t="s">
        <v>10268</v>
      </c>
      <c r="D182" s="17" t="s">
        <v>10269</v>
      </c>
      <c r="E182" s="10">
        <v>10.0</v>
      </c>
      <c r="F182" s="7">
        <f t="shared" si="2"/>
        <v>90</v>
      </c>
      <c r="G182" s="17" t="s">
        <v>3113</v>
      </c>
      <c r="H182" s="2"/>
      <c r="I182" s="2"/>
      <c r="J182" s="2"/>
      <c r="K182" s="2"/>
      <c r="L182" s="2"/>
      <c r="M182" s="2"/>
      <c r="N182" s="2"/>
      <c r="O182" s="2"/>
      <c r="P182" s="2"/>
      <c r="Q182" s="2"/>
      <c r="R182" s="2"/>
      <c r="S182" s="2"/>
      <c r="T182" s="2"/>
      <c r="U182" s="2"/>
      <c r="V182" s="2"/>
      <c r="W182" s="2"/>
      <c r="X182" s="2"/>
      <c r="Y182" s="2"/>
      <c r="Z182" s="2"/>
      <c r="AA182" s="2"/>
    </row>
    <row r="183">
      <c r="A183" s="11">
        <v>167.0</v>
      </c>
      <c r="B183" s="17" t="s">
        <v>10270</v>
      </c>
      <c r="C183" s="17" t="s">
        <v>10271</v>
      </c>
      <c r="D183" s="17" t="s">
        <v>10272</v>
      </c>
      <c r="E183" s="10">
        <v>10.0</v>
      </c>
      <c r="F183" s="7">
        <f t="shared" si="2"/>
        <v>90</v>
      </c>
      <c r="G183" s="17" t="s">
        <v>3113</v>
      </c>
      <c r="H183" s="2"/>
      <c r="I183" s="2"/>
      <c r="J183" s="2"/>
      <c r="K183" s="2"/>
      <c r="L183" s="2"/>
      <c r="M183" s="2"/>
      <c r="N183" s="2"/>
      <c r="O183" s="2"/>
      <c r="P183" s="2"/>
      <c r="Q183" s="2"/>
      <c r="R183" s="2"/>
      <c r="S183" s="2"/>
      <c r="T183" s="2"/>
      <c r="U183" s="2"/>
      <c r="V183" s="2"/>
      <c r="W183" s="2"/>
      <c r="X183" s="2"/>
      <c r="Y183" s="2"/>
      <c r="Z183" s="2"/>
      <c r="AA183" s="2"/>
    </row>
    <row r="184">
      <c r="A184" s="11">
        <v>168.0</v>
      </c>
      <c r="B184" s="17" t="s">
        <v>10273</v>
      </c>
      <c r="C184" s="17" t="s">
        <v>10274</v>
      </c>
      <c r="D184" s="17" t="s">
        <v>10275</v>
      </c>
      <c r="E184" s="10">
        <v>10.0</v>
      </c>
      <c r="F184" s="7">
        <f t="shared" si="2"/>
        <v>90</v>
      </c>
      <c r="G184" s="17" t="s">
        <v>3113</v>
      </c>
      <c r="H184" s="2"/>
      <c r="I184" s="2"/>
      <c r="J184" s="2"/>
      <c r="K184" s="2"/>
      <c r="L184" s="2"/>
      <c r="M184" s="2"/>
      <c r="N184" s="2"/>
      <c r="O184" s="2"/>
      <c r="P184" s="2"/>
      <c r="Q184" s="2"/>
      <c r="R184" s="2"/>
      <c r="S184" s="2"/>
      <c r="T184" s="2"/>
      <c r="U184" s="2"/>
      <c r="V184" s="2"/>
      <c r="W184" s="2"/>
      <c r="X184" s="2"/>
      <c r="Y184" s="2"/>
      <c r="Z184" s="2"/>
      <c r="AA184" s="2"/>
    </row>
    <row r="185">
      <c r="A185" s="11">
        <v>169.0</v>
      </c>
      <c r="B185" s="17" t="s">
        <v>10276</v>
      </c>
      <c r="C185" s="17" t="s">
        <v>10277</v>
      </c>
      <c r="D185" s="17" t="s">
        <v>10278</v>
      </c>
      <c r="E185" s="10">
        <v>10.0</v>
      </c>
      <c r="F185" s="7">
        <f t="shared" si="2"/>
        <v>90</v>
      </c>
      <c r="G185" s="17" t="s">
        <v>3113</v>
      </c>
      <c r="H185" s="2"/>
      <c r="I185" s="2"/>
      <c r="J185" s="2"/>
      <c r="K185" s="2"/>
      <c r="L185" s="2"/>
      <c r="M185" s="2"/>
      <c r="N185" s="2"/>
      <c r="O185" s="2"/>
      <c r="P185" s="2"/>
      <c r="Q185" s="2"/>
      <c r="R185" s="2"/>
      <c r="S185" s="2"/>
      <c r="T185" s="2"/>
      <c r="U185" s="2"/>
      <c r="V185" s="2"/>
      <c r="W185" s="2"/>
      <c r="X185" s="2"/>
      <c r="Y185" s="2"/>
      <c r="Z185" s="2"/>
      <c r="AA185" s="2"/>
    </row>
    <row r="186">
      <c r="A186" s="11">
        <v>170.0</v>
      </c>
      <c r="B186" s="17" t="s">
        <v>10279</v>
      </c>
      <c r="C186" s="17" t="s">
        <v>10280</v>
      </c>
      <c r="D186" s="17" t="s">
        <v>10281</v>
      </c>
      <c r="E186" s="10">
        <v>10.0</v>
      </c>
      <c r="F186" s="7">
        <f t="shared" si="2"/>
        <v>90</v>
      </c>
      <c r="G186" s="17" t="s">
        <v>3113</v>
      </c>
      <c r="H186" s="2"/>
      <c r="I186" s="2"/>
      <c r="J186" s="2"/>
      <c r="K186" s="2"/>
      <c r="L186" s="2"/>
      <c r="M186" s="2"/>
      <c r="N186" s="2"/>
      <c r="O186" s="2"/>
      <c r="P186" s="2"/>
      <c r="Q186" s="2"/>
      <c r="R186" s="2"/>
      <c r="S186" s="2"/>
      <c r="T186" s="2"/>
      <c r="U186" s="2"/>
      <c r="V186" s="2"/>
      <c r="W186" s="2"/>
      <c r="X186" s="2"/>
      <c r="Y186" s="2"/>
      <c r="Z186" s="2"/>
      <c r="AA186" s="2"/>
    </row>
    <row r="187">
      <c r="A187" s="11">
        <v>171.0</v>
      </c>
      <c r="B187" s="17" t="s">
        <v>10282</v>
      </c>
      <c r="C187" s="17" t="s">
        <v>10283</v>
      </c>
      <c r="D187" s="17" t="s">
        <v>10284</v>
      </c>
      <c r="E187" s="10">
        <v>10.0</v>
      </c>
      <c r="F187" s="7">
        <f t="shared" si="2"/>
        <v>90</v>
      </c>
      <c r="G187" s="17" t="s">
        <v>3113</v>
      </c>
      <c r="H187" s="2"/>
      <c r="I187" s="2"/>
      <c r="J187" s="2"/>
      <c r="K187" s="2"/>
      <c r="L187" s="2"/>
      <c r="M187" s="2"/>
      <c r="N187" s="2"/>
      <c r="O187" s="2"/>
      <c r="P187" s="2"/>
      <c r="Q187" s="2"/>
      <c r="R187" s="2"/>
      <c r="S187" s="2"/>
      <c r="T187" s="2"/>
      <c r="U187" s="2"/>
      <c r="V187" s="2"/>
      <c r="W187" s="2"/>
      <c r="X187" s="2"/>
      <c r="Y187" s="2"/>
      <c r="Z187" s="2"/>
      <c r="AA187" s="2"/>
    </row>
    <row r="188">
      <c r="A188" s="11">
        <v>172.0</v>
      </c>
      <c r="B188" s="17" t="s">
        <v>10285</v>
      </c>
      <c r="C188" s="17" t="s">
        <v>10286</v>
      </c>
      <c r="D188" s="17" t="s">
        <v>10284</v>
      </c>
      <c r="E188" s="10">
        <v>10.0</v>
      </c>
      <c r="F188" s="7">
        <f t="shared" si="2"/>
        <v>90</v>
      </c>
      <c r="G188" s="17" t="s">
        <v>3113</v>
      </c>
      <c r="H188" s="2"/>
      <c r="I188" s="2"/>
      <c r="J188" s="2"/>
      <c r="K188" s="2"/>
      <c r="L188" s="2"/>
      <c r="M188" s="2"/>
      <c r="N188" s="2"/>
      <c r="O188" s="2"/>
      <c r="P188" s="2"/>
      <c r="Q188" s="2"/>
      <c r="R188" s="2"/>
      <c r="S188" s="2"/>
      <c r="T188" s="2"/>
      <c r="U188" s="2"/>
      <c r="V188" s="2"/>
      <c r="W188" s="2"/>
      <c r="X188" s="2"/>
      <c r="Y188" s="2"/>
      <c r="Z188" s="2"/>
      <c r="AA188" s="2"/>
    </row>
    <row r="189">
      <c r="A189" s="11">
        <v>173.0</v>
      </c>
      <c r="B189" s="17" t="s">
        <v>10287</v>
      </c>
      <c r="C189" s="17" t="s">
        <v>10288</v>
      </c>
      <c r="D189" s="17" t="s">
        <v>10289</v>
      </c>
      <c r="E189" s="10">
        <v>10.0</v>
      </c>
      <c r="F189" s="7">
        <f t="shared" si="2"/>
        <v>90</v>
      </c>
      <c r="G189" s="17" t="s">
        <v>3113</v>
      </c>
      <c r="H189" s="2"/>
      <c r="I189" s="2"/>
      <c r="J189" s="2"/>
      <c r="K189" s="2"/>
      <c r="L189" s="2"/>
      <c r="M189" s="2"/>
      <c r="N189" s="2"/>
      <c r="O189" s="2"/>
      <c r="P189" s="2"/>
      <c r="Q189" s="2"/>
      <c r="R189" s="2"/>
      <c r="S189" s="2"/>
      <c r="T189" s="2"/>
      <c r="U189" s="2"/>
      <c r="V189" s="2"/>
      <c r="W189" s="2"/>
      <c r="X189" s="2"/>
      <c r="Y189" s="2"/>
      <c r="Z189" s="2"/>
      <c r="AA189" s="2"/>
    </row>
    <row r="190">
      <c r="A190" s="11">
        <v>174.0</v>
      </c>
      <c r="B190" s="17" t="s">
        <v>10290</v>
      </c>
      <c r="C190" s="17" t="s">
        <v>10291</v>
      </c>
      <c r="D190" s="17" t="s">
        <v>10292</v>
      </c>
      <c r="E190" s="10">
        <v>10.0</v>
      </c>
      <c r="F190" s="7">
        <f t="shared" si="2"/>
        <v>90</v>
      </c>
      <c r="G190" s="17" t="s">
        <v>3113</v>
      </c>
      <c r="H190" s="2"/>
      <c r="I190" s="2"/>
      <c r="J190" s="2"/>
      <c r="K190" s="2"/>
      <c r="L190" s="2"/>
      <c r="M190" s="2"/>
      <c r="N190" s="2"/>
      <c r="O190" s="2"/>
      <c r="P190" s="2"/>
      <c r="Q190" s="2"/>
      <c r="R190" s="2"/>
      <c r="S190" s="2"/>
      <c r="T190" s="2"/>
      <c r="U190" s="2"/>
      <c r="V190" s="2"/>
      <c r="W190" s="2"/>
      <c r="X190" s="2"/>
      <c r="Y190" s="2"/>
      <c r="Z190" s="2"/>
      <c r="AA190" s="2"/>
    </row>
    <row r="191">
      <c r="A191" s="11">
        <v>175.0</v>
      </c>
      <c r="B191" s="17" t="s">
        <v>10293</v>
      </c>
      <c r="C191" s="17" t="s">
        <v>10294</v>
      </c>
      <c r="D191" s="17" t="s">
        <v>10292</v>
      </c>
      <c r="E191" s="10">
        <v>10.0</v>
      </c>
      <c r="F191" s="7">
        <f t="shared" si="2"/>
        <v>90</v>
      </c>
      <c r="G191" s="17" t="s">
        <v>3113</v>
      </c>
      <c r="H191" s="2"/>
      <c r="I191" s="2"/>
      <c r="J191" s="2"/>
      <c r="K191" s="2"/>
      <c r="L191" s="2"/>
      <c r="M191" s="2"/>
      <c r="N191" s="2"/>
      <c r="O191" s="2"/>
      <c r="P191" s="2"/>
      <c r="Q191" s="2"/>
      <c r="R191" s="2"/>
      <c r="S191" s="2"/>
      <c r="T191" s="2"/>
      <c r="U191" s="2"/>
      <c r="V191" s="2"/>
      <c r="W191" s="2"/>
      <c r="X191" s="2"/>
      <c r="Y191" s="2"/>
      <c r="Z191" s="2"/>
      <c r="AA191" s="2"/>
    </row>
    <row r="192">
      <c r="A192" s="11">
        <v>176.0</v>
      </c>
      <c r="B192" s="17" t="s">
        <v>10295</v>
      </c>
      <c r="C192" s="17" t="s">
        <v>10296</v>
      </c>
      <c r="D192" s="17" t="s">
        <v>10297</v>
      </c>
      <c r="E192" s="10">
        <v>10.0</v>
      </c>
      <c r="F192" s="7">
        <f t="shared" si="2"/>
        <v>90</v>
      </c>
      <c r="G192" s="17" t="s">
        <v>3113</v>
      </c>
      <c r="H192" s="2"/>
      <c r="I192" s="2"/>
      <c r="J192" s="2"/>
      <c r="K192" s="2"/>
      <c r="L192" s="2"/>
      <c r="M192" s="2"/>
      <c r="N192" s="2"/>
      <c r="O192" s="2"/>
      <c r="P192" s="2"/>
      <c r="Q192" s="2"/>
      <c r="R192" s="2"/>
      <c r="S192" s="2"/>
      <c r="T192" s="2"/>
      <c r="U192" s="2"/>
      <c r="V192" s="2"/>
      <c r="W192" s="2"/>
      <c r="X192" s="2"/>
      <c r="Y192" s="2"/>
      <c r="Z192" s="2"/>
      <c r="AA192" s="2"/>
    </row>
    <row r="193">
      <c r="A193" s="11">
        <v>177.0</v>
      </c>
      <c r="B193" s="17" t="s">
        <v>10298</v>
      </c>
      <c r="C193" s="17" t="s">
        <v>10299</v>
      </c>
      <c r="D193" s="17" t="s">
        <v>10300</v>
      </c>
      <c r="E193" s="10">
        <v>10.0</v>
      </c>
      <c r="F193" s="7">
        <f t="shared" si="2"/>
        <v>90</v>
      </c>
      <c r="G193" s="17" t="s">
        <v>3113</v>
      </c>
      <c r="H193" s="2"/>
      <c r="I193" s="2"/>
      <c r="J193" s="2"/>
      <c r="K193" s="2"/>
      <c r="L193" s="2"/>
      <c r="M193" s="2"/>
      <c r="N193" s="2"/>
      <c r="O193" s="2"/>
      <c r="P193" s="2"/>
      <c r="Q193" s="2"/>
      <c r="R193" s="2"/>
      <c r="S193" s="2"/>
      <c r="T193" s="2"/>
      <c r="U193" s="2"/>
      <c r="V193" s="2"/>
      <c r="W193" s="2"/>
      <c r="X193" s="2"/>
      <c r="Y193" s="2"/>
      <c r="Z193" s="2"/>
      <c r="AA193" s="2"/>
    </row>
    <row r="194">
      <c r="A194" s="11">
        <v>178.0</v>
      </c>
      <c r="B194" s="17" t="s">
        <v>10301</v>
      </c>
      <c r="C194" s="17" t="s">
        <v>10302</v>
      </c>
      <c r="D194" s="17" t="s">
        <v>10261</v>
      </c>
      <c r="E194" s="10">
        <v>10.0</v>
      </c>
      <c r="F194" s="7">
        <f t="shared" si="2"/>
        <v>90</v>
      </c>
      <c r="G194" s="17" t="s">
        <v>3113</v>
      </c>
      <c r="H194" s="2"/>
      <c r="I194" s="2"/>
      <c r="J194" s="2"/>
      <c r="K194" s="2"/>
      <c r="L194" s="2"/>
      <c r="M194" s="2"/>
      <c r="N194" s="2"/>
      <c r="O194" s="2"/>
      <c r="P194" s="2"/>
      <c r="Q194" s="2"/>
      <c r="R194" s="2"/>
      <c r="S194" s="2"/>
      <c r="T194" s="2"/>
      <c r="U194" s="2"/>
      <c r="V194" s="2"/>
      <c r="W194" s="2"/>
      <c r="X194" s="2"/>
      <c r="Y194" s="2"/>
      <c r="Z194" s="2"/>
      <c r="AA194" s="2"/>
    </row>
    <row r="195">
      <c r="A195" s="11">
        <v>179.0</v>
      </c>
      <c r="B195" s="17" t="s">
        <v>10303</v>
      </c>
      <c r="C195" s="17" t="s">
        <v>10304</v>
      </c>
      <c r="D195" s="17" t="s">
        <v>10305</v>
      </c>
      <c r="E195" s="10">
        <v>10.0</v>
      </c>
      <c r="F195" s="7">
        <f t="shared" si="2"/>
        <v>90</v>
      </c>
      <c r="G195" s="17" t="s">
        <v>3113</v>
      </c>
      <c r="H195" s="2"/>
      <c r="I195" s="2"/>
      <c r="J195" s="2"/>
      <c r="K195" s="2"/>
      <c r="L195" s="2"/>
      <c r="M195" s="2"/>
      <c r="N195" s="2"/>
      <c r="O195" s="2"/>
      <c r="P195" s="2"/>
      <c r="Q195" s="2"/>
      <c r="R195" s="2"/>
      <c r="S195" s="2"/>
      <c r="T195" s="2"/>
      <c r="U195" s="2"/>
      <c r="V195" s="2"/>
      <c r="W195" s="2"/>
      <c r="X195" s="2"/>
      <c r="Y195" s="2"/>
      <c r="Z195" s="2"/>
      <c r="AA195" s="2"/>
    </row>
    <row r="196">
      <c r="A196" s="11">
        <v>180.0</v>
      </c>
      <c r="B196" s="17" t="s">
        <v>10306</v>
      </c>
      <c r="C196" s="17" t="s">
        <v>10307</v>
      </c>
      <c r="D196" s="17" t="s">
        <v>10308</v>
      </c>
      <c r="E196" s="10">
        <v>10.0</v>
      </c>
      <c r="F196" s="7">
        <f t="shared" si="2"/>
        <v>90</v>
      </c>
      <c r="G196" s="17" t="s">
        <v>3113</v>
      </c>
      <c r="H196" s="2"/>
      <c r="I196" s="2"/>
      <c r="J196" s="2"/>
      <c r="K196" s="2"/>
      <c r="L196" s="2"/>
      <c r="M196" s="2"/>
      <c r="N196" s="2"/>
      <c r="O196" s="2"/>
      <c r="P196" s="2"/>
      <c r="Q196" s="2"/>
      <c r="R196" s="2"/>
      <c r="S196" s="2"/>
      <c r="T196" s="2"/>
      <c r="U196" s="2"/>
      <c r="V196" s="2"/>
      <c r="W196" s="2"/>
      <c r="X196" s="2"/>
      <c r="Y196" s="2"/>
      <c r="Z196" s="2"/>
      <c r="AA196" s="2"/>
    </row>
    <row r="197">
      <c r="A197" s="11">
        <v>181.0</v>
      </c>
      <c r="B197" s="17" t="s">
        <v>10309</v>
      </c>
      <c r="C197" s="17" t="s">
        <v>10310</v>
      </c>
      <c r="D197" s="17" t="s">
        <v>10308</v>
      </c>
      <c r="E197" s="10">
        <v>10.0</v>
      </c>
      <c r="F197" s="7">
        <f t="shared" si="2"/>
        <v>90</v>
      </c>
      <c r="G197" s="17" t="s">
        <v>3113</v>
      </c>
      <c r="H197" s="2"/>
      <c r="I197" s="2"/>
      <c r="J197" s="2"/>
      <c r="K197" s="2"/>
      <c r="L197" s="2"/>
      <c r="M197" s="2"/>
      <c r="N197" s="2"/>
      <c r="O197" s="2"/>
      <c r="P197" s="2"/>
      <c r="Q197" s="2"/>
      <c r="R197" s="2"/>
      <c r="S197" s="2"/>
      <c r="T197" s="2"/>
      <c r="U197" s="2"/>
      <c r="V197" s="2"/>
      <c r="W197" s="2"/>
      <c r="X197" s="2"/>
      <c r="Y197" s="2"/>
      <c r="Z197" s="2"/>
      <c r="AA197" s="2"/>
    </row>
    <row r="198">
      <c r="A198" s="11">
        <v>182.0</v>
      </c>
      <c r="B198" s="17" t="s">
        <v>10311</v>
      </c>
      <c r="C198" s="17" t="s">
        <v>10312</v>
      </c>
      <c r="D198" s="17" t="s">
        <v>10313</v>
      </c>
      <c r="E198" s="10">
        <v>10.0</v>
      </c>
      <c r="F198" s="7">
        <f t="shared" si="2"/>
        <v>90</v>
      </c>
      <c r="G198" s="17" t="s">
        <v>3113</v>
      </c>
      <c r="H198" s="2"/>
      <c r="I198" s="2"/>
      <c r="J198" s="2"/>
      <c r="K198" s="2"/>
      <c r="L198" s="2"/>
      <c r="M198" s="2"/>
      <c r="N198" s="2"/>
      <c r="O198" s="2"/>
      <c r="P198" s="2"/>
      <c r="Q198" s="2"/>
      <c r="R198" s="2"/>
      <c r="S198" s="2"/>
      <c r="T198" s="2"/>
      <c r="U198" s="2"/>
      <c r="V198" s="2"/>
      <c r="W198" s="2"/>
      <c r="X198" s="2"/>
      <c r="Y198" s="2"/>
      <c r="Z198" s="2"/>
      <c r="AA198" s="2"/>
    </row>
    <row r="199">
      <c r="A199" s="11">
        <v>183.0</v>
      </c>
      <c r="B199" s="17" t="s">
        <v>10314</v>
      </c>
      <c r="C199" s="17" t="s">
        <v>10315</v>
      </c>
      <c r="D199" s="17" t="s">
        <v>10316</v>
      </c>
      <c r="E199" s="10">
        <v>10.0</v>
      </c>
      <c r="F199" s="7">
        <f t="shared" si="2"/>
        <v>90</v>
      </c>
      <c r="G199" s="17" t="s">
        <v>3113</v>
      </c>
      <c r="H199" s="2"/>
      <c r="I199" s="2"/>
      <c r="J199" s="2"/>
      <c r="K199" s="2"/>
      <c r="L199" s="2"/>
      <c r="M199" s="2"/>
      <c r="N199" s="2"/>
      <c r="O199" s="2"/>
      <c r="P199" s="2"/>
      <c r="Q199" s="2"/>
      <c r="R199" s="2"/>
      <c r="S199" s="2"/>
      <c r="T199" s="2"/>
      <c r="U199" s="2"/>
      <c r="V199" s="2"/>
      <c r="W199" s="2"/>
      <c r="X199" s="2"/>
      <c r="Y199" s="2"/>
      <c r="Z199" s="2"/>
      <c r="AA199" s="2"/>
    </row>
    <row r="200">
      <c r="A200" s="11">
        <v>184.0</v>
      </c>
      <c r="B200" s="17" t="s">
        <v>10317</v>
      </c>
      <c r="C200" s="17" t="s">
        <v>10318</v>
      </c>
      <c r="D200" s="17" t="s">
        <v>10319</v>
      </c>
      <c r="E200" s="10">
        <v>10.0</v>
      </c>
      <c r="F200" s="7">
        <f t="shared" si="2"/>
        <v>90</v>
      </c>
      <c r="G200" s="17" t="s">
        <v>3113</v>
      </c>
      <c r="H200" s="2"/>
      <c r="I200" s="2"/>
      <c r="J200" s="2"/>
      <c r="K200" s="2"/>
      <c r="L200" s="2"/>
      <c r="M200" s="2"/>
      <c r="N200" s="2"/>
      <c r="O200" s="2"/>
      <c r="P200" s="2"/>
      <c r="Q200" s="2"/>
      <c r="R200" s="2"/>
      <c r="S200" s="2"/>
      <c r="T200" s="2"/>
      <c r="U200" s="2"/>
      <c r="V200" s="2"/>
      <c r="W200" s="2"/>
      <c r="X200" s="2"/>
      <c r="Y200" s="2"/>
      <c r="Z200" s="2"/>
      <c r="AA200" s="2"/>
    </row>
    <row r="201">
      <c r="A201" s="11">
        <v>185.0</v>
      </c>
      <c r="B201" s="17" t="s">
        <v>10317</v>
      </c>
      <c r="C201" s="17" t="s">
        <v>10320</v>
      </c>
      <c r="D201" s="17" t="s">
        <v>10321</v>
      </c>
      <c r="E201" s="10">
        <v>10.0</v>
      </c>
      <c r="F201" s="7">
        <f t="shared" si="2"/>
        <v>90</v>
      </c>
      <c r="G201" s="17" t="s">
        <v>3113</v>
      </c>
      <c r="H201" s="2"/>
      <c r="I201" s="2"/>
      <c r="J201" s="2"/>
      <c r="K201" s="2"/>
      <c r="L201" s="2"/>
      <c r="M201" s="2"/>
      <c r="N201" s="2"/>
      <c r="O201" s="2"/>
      <c r="P201" s="2"/>
      <c r="Q201" s="2"/>
      <c r="R201" s="2"/>
      <c r="S201" s="2"/>
      <c r="T201" s="2"/>
      <c r="U201" s="2"/>
      <c r="V201" s="2"/>
      <c r="W201" s="2"/>
      <c r="X201" s="2"/>
      <c r="Y201" s="2"/>
      <c r="Z201" s="2"/>
      <c r="AA201" s="2"/>
    </row>
    <row r="202">
      <c r="A202" s="11">
        <v>186.0</v>
      </c>
      <c r="B202" s="17" t="s">
        <v>10322</v>
      </c>
      <c r="C202" s="17" t="s">
        <v>10323</v>
      </c>
      <c r="D202" s="17" t="s">
        <v>10324</v>
      </c>
      <c r="E202" s="10">
        <v>10.0</v>
      </c>
      <c r="F202" s="7">
        <f t="shared" si="2"/>
        <v>90</v>
      </c>
      <c r="G202" s="17" t="s">
        <v>3113</v>
      </c>
      <c r="H202" s="2"/>
      <c r="I202" s="2"/>
      <c r="J202" s="2"/>
      <c r="K202" s="2"/>
      <c r="L202" s="2"/>
      <c r="M202" s="2"/>
      <c r="N202" s="2"/>
      <c r="O202" s="2"/>
      <c r="P202" s="2"/>
      <c r="Q202" s="2"/>
      <c r="R202" s="2"/>
      <c r="S202" s="2"/>
      <c r="T202" s="2"/>
      <c r="U202" s="2"/>
      <c r="V202" s="2"/>
      <c r="W202" s="2"/>
      <c r="X202" s="2"/>
      <c r="Y202" s="2"/>
      <c r="Z202" s="2"/>
      <c r="AA202" s="2"/>
    </row>
    <row r="203">
      <c r="A203" s="11">
        <v>187.0</v>
      </c>
      <c r="B203" s="17" t="s">
        <v>10325</v>
      </c>
      <c r="C203" s="17" t="s">
        <v>10326</v>
      </c>
      <c r="D203" s="17" t="s">
        <v>10327</v>
      </c>
      <c r="E203" s="10">
        <v>10.0</v>
      </c>
      <c r="F203" s="7">
        <f t="shared" si="2"/>
        <v>90</v>
      </c>
      <c r="G203" s="17" t="s">
        <v>3113</v>
      </c>
      <c r="H203" s="2"/>
      <c r="I203" s="2"/>
      <c r="J203" s="2"/>
      <c r="K203" s="2"/>
      <c r="L203" s="2"/>
      <c r="M203" s="2"/>
      <c r="N203" s="2"/>
      <c r="O203" s="2"/>
      <c r="P203" s="2"/>
      <c r="Q203" s="2"/>
      <c r="R203" s="2"/>
      <c r="S203" s="2"/>
      <c r="T203" s="2"/>
      <c r="U203" s="2"/>
      <c r="V203" s="2"/>
      <c r="W203" s="2"/>
      <c r="X203" s="2"/>
      <c r="Y203" s="2"/>
      <c r="Z203" s="2"/>
      <c r="AA203" s="2"/>
    </row>
    <row r="204">
      <c r="A204" s="11">
        <v>188.0</v>
      </c>
      <c r="B204" s="17" t="s">
        <v>10328</v>
      </c>
      <c r="C204" s="17" t="s">
        <v>10329</v>
      </c>
      <c r="D204" s="17" t="s">
        <v>10330</v>
      </c>
      <c r="E204" s="10">
        <v>10.0</v>
      </c>
      <c r="F204" s="7">
        <f t="shared" si="2"/>
        <v>90</v>
      </c>
      <c r="G204" s="17" t="s">
        <v>3113</v>
      </c>
      <c r="H204" s="2"/>
      <c r="I204" s="2"/>
      <c r="J204" s="2"/>
      <c r="K204" s="2"/>
      <c r="L204" s="2"/>
      <c r="M204" s="2"/>
      <c r="N204" s="2"/>
      <c r="O204" s="2"/>
      <c r="P204" s="2"/>
      <c r="Q204" s="2"/>
      <c r="R204" s="2"/>
      <c r="S204" s="2"/>
      <c r="T204" s="2"/>
      <c r="U204" s="2"/>
      <c r="V204" s="2"/>
      <c r="W204" s="2"/>
      <c r="X204" s="2"/>
      <c r="Y204" s="2"/>
      <c r="Z204" s="2"/>
      <c r="AA204" s="2"/>
    </row>
    <row r="205">
      <c r="A205" s="11">
        <v>189.0</v>
      </c>
      <c r="B205" s="17" t="s">
        <v>10331</v>
      </c>
      <c r="C205" s="17" t="s">
        <v>10332</v>
      </c>
      <c r="D205" s="17" t="s">
        <v>10333</v>
      </c>
      <c r="E205" s="10">
        <v>10.0</v>
      </c>
      <c r="F205" s="7">
        <f t="shared" si="2"/>
        <v>90</v>
      </c>
      <c r="G205" s="17" t="s">
        <v>3113</v>
      </c>
      <c r="H205" s="2"/>
      <c r="I205" s="2"/>
      <c r="J205" s="2"/>
      <c r="K205" s="2"/>
      <c r="L205" s="2"/>
      <c r="M205" s="2"/>
      <c r="N205" s="2"/>
      <c r="O205" s="2"/>
      <c r="P205" s="2"/>
      <c r="Q205" s="2"/>
      <c r="R205" s="2"/>
      <c r="S205" s="2"/>
      <c r="T205" s="2"/>
      <c r="U205" s="2"/>
      <c r="V205" s="2"/>
      <c r="W205" s="2"/>
      <c r="X205" s="2"/>
      <c r="Y205" s="2"/>
      <c r="Z205" s="2"/>
      <c r="AA205" s="2"/>
    </row>
    <row r="206">
      <c r="A206" s="11">
        <v>190.0</v>
      </c>
      <c r="B206" s="17" t="s">
        <v>10334</v>
      </c>
      <c r="C206" s="17" t="s">
        <v>10335</v>
      </c>
      <c r="D206" s="17" t="s">
        <v>10336</v>
      </c>
      <c r="E206" s="10">
        <v>10.0</v>
      </c>
      <c r="F206" s="7">
        <f t="shared" si="2"/>
        <v>90</v>
      </c>
      <c r="G206" s="17" t="s">
        <v>3113</v>
      </c>
      <c r="H206" s="2"/>
      <c r="I206" s="2"/>
      <c r="J206" s="2"/>
      <c r="K206" s="2"/>
      <c r="L206" s="2"/>
      <c r="M206" s="2"/>
      <c r="N206" s="2"/>
      <c r="O206" s="2"/>
      <c r="P206" s="2"/>
      <c r="Q206" s="2"/>
      <c r="R206" s="2"/>
      <c r="S206" s="2"/>
      <c r="T206" s="2"/>
      <c r="U206" s="2"/>
      <c r="V206" s="2"/>
      <c r="W206" s="2"/>
      <c r="X206" s="2"/>
      <c r="Y206" s="2"/>
      <c r="Z206" s="2"/>
      <c r="AA206" s="2"/>
    </row>
    <row r="207">
      <c r="A207" s="11">
        <v>191.0</v>
      </c>
      <c r="B207" s="17" t="s">
        <v>10337</v>
      </c>
      <c r="C207" s="17" t="s">
        <v>10338</v>
      </c>
      <c r="D207" s="17" t="s">
        <v>10339</v>
      </c>
      <c r="E207" s="10">
        <v>10.0</v>
      </c>
      <c r="F207" s="7">
        <f t="shared" si="2"/>
        <v>90</v>
      </c>
      <c r="G207" s="17" t="s">
        <v>3113</v>
      </c>
      <c r="H207" s="2"/>
      <c r="I207" s="2"/>
      <c r="J207" s="2"/>
      <c r="K207" s="2"/>
      <c r="L207" s="2"/>
      <c r="M207" s="2"/>
      <c r="N207" s="2"/>
      <c r="O207" s="2"/>
      <c r="P207" s="2"/>
      <c r="Q207" s="2"/>
      <c r="R207" s="2"/>
      <c r="S207" s="2"/>
      <c r="T207" s="2"/>
      <c r="U207" s="2"/>
      <c r="V207" s="2"/>
      <c r="W207" s="2"/>
      <c r="X207" s="2"/>
      <c r="Y207" s="2"/>
      <c r="Z207" s="2"/>
      <c r="AA207" s="2"/>
    </row>
    <row r="208">
      <c r="A208" s="11">
        <v>192.0</v>
      </c>
      <c r="B208" s="17" t="s">
        <v>10340</v>
      </c>
      <c r="C208" s="17" t="s">
        <v>10341</v>
      </c>
      <c r="D208" s="17" t="s">
        <v>10342</v>
      </c>
      <c r="E208" s="10">
        <v>10.0</v>
      </c>
      <c r="F208" s="7">
        <f t="shared" si="2"/>
        <v>90</v>
      </c>
      <c r="G208" s="17" t="s">
        <v>3113</v>
      </c>
      <c r="H208" s="2"/>
      <c r="I208" s="2"/>
      <c r="J208" s="2"/>
      <c r="K208" s="2"/>
      <c r="L208" s="2"/>
      <c r="M208" s="2"/>
      <c r="N208" s="2"/>
      <c r="O208" s="2"/>
      <c r="P208" s="2"/>
      <c r="Q208" s="2"/>
      <c r="R208" s="2"/>
      <c r="S208" s="2"/>
      <c r="T208" s="2"/>
      <c r="U208" s="2"/>
      <c r="V208" s="2"/>
      <c r="W208" s="2"/>
      <c r="X208" s="2"/>
      <c r="Y208" s="2"/>
      <c r="Z208" s="2"/>
      <c r="AA208" s="2"/>
    </row>
    <row r="209">
      <c r="A209" s="11">
        <v>193.0</v>
      </c>
      <c r="B209" s="17" t="s">
        <v>10343</v>
      </c>
      <c r="C209" s="17" t="s">
        <v>10344</v>
      </c>
      <c r="D209" s="17" t="s">
        <v>10345</v>
      </c>
      <c r="E209" s="10">
        <v>10.0</v>
      </c>
      <c r="F209" s="7">
        <f t="shared" si="2"/>
        <v>90</v>
      </c>
      <c r="G209" s="17" t="s">
        <v>3113</v>
      </c>
      <c r="H209" s="2"/>
      <c r="I209" s="2"/>
      <c r="J209" s="2"/>
      <c r="K209" s="2"/>
      <c r="L209" s="2"/>
      <c r="M209" s="2"/>
      <c r="N209" s="2"/>
      <c r="O209" s="2"/>
      <c r="P209" s="2"/>
      <c r="Q209" s="2"/>
      <c r="R209" s="2"/>
      <c r="S209" s="2"/>
      <c r="T209" s="2"/>
      <c r="U209" s="2"/>
      <c r="V209" s="2"/>
      <c r="W209" s="2"/>
      <c r="X209" s="2"/>
      <c r="Y209" s="2"/>
      <c r="Z209" s="2"/>
      <c r="AA209" s="2"/>
    </row>
    <row r="210">
      <c r="A210" s="11">
        <v>194.0</v>
      </c>
      <c r="B210" s="17" t="s">
        <v>10346</v>
      </c>
      <c r="C210" s="17" t="s">
        <v>10347</v>
      </c>
      <c r="D210" s="17" t="s">
        <v>10348</v>
      </c>
      <c r="E210" s="10">
        <v>10.0</v>
      </c>
      <c r="F210" s="7">
        <f t="shared" si="2"/>
        <v>90</v>
      </c>
      <c r="G210" s="17" t="s">
        <v>3113</v>
      </c>
      <c r="H210" s="2"/>
      <c r="I210" s="2"/>
      <c r="J210" s="2"/>
      <c r="K210" s="2"/>
      <c r="L210" s="2"/>
      <c r="M210" s="2"/>
      <c r="N210" s="2"/>
      <c r="O210" s="2"/>
      <c r="P210" s="2"/>
      <c r="Q210" s="2"/>
      <c r="R210" s="2"/>
      <c r="S210" s="2"/>
      <c r="T210" s="2"/>
      <c r="U210" s="2"/>
      <c r="V210" s="2"/>
      <c r="W210" s="2"/>
      <c r="X210" s="2"/>
      <c r="Y210" s="2"/>
      <c r="Z210" s="2"/>
      <c r="AA210" s="2"/>
    </row>
    <row r="211">
      <c r="A211" s="11">
        <v>195.0</v>
      </c>
      <c r="B211" s="17" t="s">
        <v>10349</v>
      </c>
      <c r="C211" s="17" t="s">
        <v>10350</v>
      </c>
      <c r="D211" s="17" t="s">
        <v>10351</v>
      </c>
      <c r="E211" s="10">
        <v>10.0</v>
      </c>
      <c r="F211" s="7">
        <f t="shared" si="2"/>
        <v>90</v>
      </c>
      <c r="G211" s="17" t="s">
        <v>3113</v>
      </c>
      <c r="H211" s="2"/>
      <c r="I211" s="2"/>
      <c r="J211" s="2"/>
      <c r="K211" s="2"/>
      <c r="L211" s="2"/>
      <c r="M211" s="2"/>
      <c r="N211" s="2"/>
      <c r="O211" s="2"/>
      <c r="P211" s="2"/>
      <c r="Q211" s="2"/>
      <c r="R211" s="2"/>
      <c r="S211" s="2"/>
      <c r="T211" s="2"/>
      <c r="U211" s="2"/>
      <c r="V211" s="2"/>
      <c r="W211" s="2"/>
      <c r="X211" s="2"/>
      <c r="Y211" s="2"/>
      <c r="Z211" s="2"/>
      <c r="AA211" s="2"/>
    </row>
    <row r="212">
      <c r="A212" s="11">
        <v>196.0</v>
      </c>
      <c r="B212" s="17" t="s">
        <v>10352</v>
      </c>
      <c r="C212" s="17" t="s">
        <v>10353</v>
      </c>
      <c r="D212" s="17" t="s">
        <v>10354</v>
      </c>
      <c r="E212" s="10">
        <v>10.0</v>
      </c>
      <c r="F212" s="7">
        <f t="shared" si="2"/>
        <v>90</v>
      </c>
      <c r="G212" s="17" t="s">
        <v>3113</v>
      </c>
      <c r="H212" s="2"/>
      <c r="I212" s="2"/>
      <c r="J212" s="2"/>
      <c r="K212" s="2"/>
      <c r="L212" s="2"/>
      <c r="M212" s="2"/>
      <c r="N212" s="2"/>
      <c r="O212" s="2"/>
      <c r="P212" s="2"/>
      <c r="Q212" s="2"/>
      <c r="R212" s="2"/>
      <c r="S212" s="2"/>
      <c r="T212" s="2"/>
      <c r="U212" s="2"/>
      <c r="V212" s="2"/>
      <c r="W212" s="2"/>
      <c r="X212" s="2"/>
      <c r="Y212" s="2"/>
      <c r="Z212" s="2"/>
      <c r="AA212" s="2"/>
    </row>
    <row r="213">
      <c r="A213" s="11">
        <v>197.0</v>
      </c>
      <c r="B213" s="17" t="s">
        <v>10355</v>
      </c>
      <c r="C213" s="17" t="s">
        <v>10356</v>
      </c>
      <c r="D213" s="17" t="s">
        <v>10357</v>
      </c>
      <c r="E213" s="10">
        <v>10.0</v>
      </c>
      <c r="F213" s="7">
        <f t="shared" si="2"/>
        <v>90</v>
      </c>
      <c r="G213" s="17" t="s">
        <v>3113</v>
      </c>
      <c r="H213" s="2"/>
      <c r="I213" s="2"/>
      <c r="J213" s="2"/>
      <c r="K213" s="2"/>
      <c r="L213" s="2"/>
      <c r="M213" s="2"/>
      <c r="N213" s="2"/>
      <c r="O213" s="2"/>
      <c r="P213" s="2"/>
      <c r="Q213" s="2"/>
      <c r="R213" s="2"/>
      <c r="S213" s="2"/>
      <c r="T213" s="2"/>
      <c r="U213" s="2"/>
      <c r="V213" s="2"/>
      <c r="W213" s="2"/>
      <c r="X213" s="2"/>
      <c r="Y213" s="2"/>
      <c r="Z213" s="2"/>
      <c r="AA213" s="2"/>
    </row>
    <row r="214">
      <c r="A214" s="11">
        <v>198.0</v>
      </c>
      <c r="B214" s="17" t="s">
        <v>10358</v>
      </c>
      <c r="C214" s="17" t="s">
        <v>10359</v>
      </c>
      <c r="D214" s="17" t="s">
        <v>10360</v>
      </c>
      <c r="E214" s="10">
        <v>10.0</v>
      </c>
      <c r="F214" s="7">
        <f t="shared" si="2"/>
        <v>90</v>
      </c>
      <c r="G214" s="17" t="s">
        <v>3113</v>
      </c>
      <c r="H214" s="2"/>
      <c r="I214" s="2"/>
      <c r="J214" s="2"/>
      <c r="K214" s="2"/>
      <c r="L214" s="2"/>
      <c r="M214" s="2"/>
      <c r="N214" s="2"/>
      <c r="O214" s="2"/>
      <c r="P214" s="2"/>
      <c r="Q214" s="2"/>
      <c r="R214" s="2"/>
      <c r="S214" s="2"/>
      <c r="T214" s="2"/>
      <c r="U214" s="2"/>
      <c r="V214" s="2"/>
      <c r="W214" s="2"/>
      <c r="X214" s="2"/>
      <c r="Y214" s="2"/>
      <c r="Z214" s="2"/>
      <c r="AA214" s="2"/>
    </row>
    <row r="215">
      <c r="A215" s="11">
        <v>199.0</v>
      </c>
      <c r="B215" s="17" t="s">
        <v>10361</v>
      </c>
      <c r="C215" s="17" t="s">
        <v>10362</v>
      </c>
      <c r="D215" s="17" t="s">
        <v>10363</v>
      </c>
      <c r="E215" s="10">
        <v>10.0</v>
      </c>
      <c r="F215" s="7">
        <f t="shared" si="2"/>
        <v>90</v>
      </c>
      <c r="G215" s="17" t="s">
        <v>3113</v>
      </c>
      <c r="H215" s="2"/>
      <c r="I215" s="2"/>
      <c r="J215" s="2"/>
      <c r="K215" s="2"/>
      <c r="L215" s="2"/>
      <c r="M215" s="2"/>
      <c r="N215" s="2"/>
      <c r="O215" s="2"/>
      <c r="P215" s="2"/>
      <c r="Q215" s="2"/>
      <c r="R215" s="2"/>
      <c r="S215" s="2"/>
      <c r="T215" s="2"/>
      <c r="U215" s="2"/>
      <c r="V215" s="2"/>
      <c r="W215" s="2"/>
      <c r="X215" s="2"/>
      <c r="Y215" s="2"/>
      <c r="Z215" s="2"/>
      <c r="AA215" s="2"/>
    </row>
    <row r="216">
      <c r="A216" s="11">
        <v>200.0</v>
      </c>
      <c r="B216" s="17" t="s">
        <v>10364</v>
      </c>
      <c r="C216" s="17" t="s">
        <v>10365</v>
      </c>
      <c r="D216" s="17" t="s">
        <v>10366</v>
      </c>
      <c r="E216" s="10">
        <v>10.0</v>
      </c>
      <c r="F216" s="7">
        <f t="shared" si="2"/>
        <v>90</v>
      </c>
      <c r="G216" s="17" t="s">
        <v>3113</v>
      </c>
      <c r="H216" s="2"/>
      <c r="I216" s="2"/>
      <c r="J216" s="2"/>
      <c r="K216" s="2"/>
      <c r="L216" s="2"/>
      <c r="M216" s="2"/>
      <c r="N216" s="2"/>
      <c r="O216" s="2"/>
      <c r="P216" s="2"/>
      <c r="Q216" s="2"/>
      <c r="R216" s="2"/>
      <c r="S216" s="2"/>
      <c r="T216" s="2"/>
      <c r="U216" s="2"/>
      <c r="V216" s="2"/>
      <c r="W216" s="2"/>
      <c r="X216" s="2"/>
      <c r="Y216" s="2"/>
      <c r="Z216" s="2"/>
      <c r="AA216" s="2"/>
    </row>
    <row r="217">
      <c r="A217" s="11">
        <v>201.0</v>
      </c>
      <c r="B217" s="17" t="s">
        <v>10367</v>
      </c>
      <c r="C217" s="17" t="s">
        <v>10368</v>
      </c>
      <c r="D217" s="17" t="s">
        <v>10369</v>
      </c>
      <c r="E217" s="10">
        <v>10.0</v>
      </c>
      <c r="F217" s="7">
        <f t="shared" si="2"/>
        <v>90</v>
      </c>
      <c r="G217" s="17" t="s">
        <v>3113</v>
      </c>
      <c r="H217" s="2"/>
      <c r="I217" s="2"/>
      <c r="J217" s="2"/>
      <c r="K217" s="2"/>
      <c r="L217" s="2"/>
      <c r="M217" s="2"/>
      <c r="N217" s="2"/>
      <c r="O217" s="2"/>
      <c r="P217" s="2"/>
      <c r="Q217" s="2"/>
      <c r="R217" s="2"/>
      <c r="S217" s="2"/>
      <c r="T217" s="2"/>
      <c r="U217" s="2"/>
      <c r="V217" s="2"/>
      <c r="W217" s="2"/>
      <c r="X217" s="2"/>
      <c r="Y217" s="2"/>
      <c r="Z217" s="2"/>
      <c r="AA217" s="2"/>
    </row>
    <row r="218">
      <c r="A218" s="11">
        <v>202.0</v>
      </c>
      <c r="B218" s="17" t="s">
        <v>10370</v>
      </c>
      <c r="C218" s="17" t="s">
        <v>10371</v>
      </c>
      <c r="D218" s="17" t="s">
        <v>10372</v>
      </c>
      <c r="E218" s="10">
        <v>10.0</v>
      </c>
      <c r="F218" s="7">
        <f t="shared" si="2"/>
        <v>90</v>
      </c>
      <c r="G218" s="17" t="s">
        <v>3113</v>
      </c>
      <c r="H218" s="2"/>
      <c r="I218" s="2"/>
      <c r="J218" s="2"/>
      <c r="K218" s="2"/>
      <c r="L218" s="2"/>
      <c r="M218" s="2"/>
      <c r="N218" s="2"/>
      <c r="O218" s="2"/>
      <c r="P218" s="2"/>
      <c r="Q218" s="2"/>
      <c r="R218" s="2"/>
      <c r="S218" s="2"/>
      <c r="T218" s="2"/>
      <c r="U218" s="2"/>
      <c r="V218" s="2"/>
      <c r="W218" s="2"/>
      <c r="X218" s="2"/>
      <c r="Y218" s="2"/>
      <c r="Z218" s="2"/>
      <c r="AA218" s="2"/>
    </row>
    <row r="219">
      <c r="A219" s="11">
        <v>203.0</v>
      </c>
      <c r="B219" s="17" t="s">
        <v>10373</v>
      </c>
      <c r="C219" s="17" t="s">
        <v>10374</v>
      </c>
      <c r="D219" s="17" t="s">
        <v>10375</v>
      </c>
      <c r="E219" s="10">
        <v>10.0</v>
      </c>
      <c r="F219" s="7">
        <f t="shared" si="2"/>
        <v>90</v>
      </c>
      <c r="G219" s="17" t="s">
        <v>3113</v>
      </c>
      <c r="H219" s="2"/>
      <c r="I219" s="2"/>
      <c r="J219" s="2"/>
      <c r="K219" s="2"/>
      <c r="L219" s="2"/>
      <c r="M219" s="2"/>
      <c r="N219" s="2"/>
      <c r="O219" s="2"/>
      <c r="P219" s="2"/>
      <c r="Q219" s="2"/>
      <c r="R219" s="2"/>
      <c r="S219" s="2"/>
      <c r="T219" s="2"/>
      <c r="U219" s="2"/>
      <c r="V219" s="2"/>
      <c r="W219" s="2"/>
      <c r="X219" s="2"/>
      <c r="Y219" s="2"/>
      <c r="Z219" s="2"/>
      <c r="AA219" s="2"/>
    </row>
    <row r="220">
      <c r="A220" s="11">
        <v>204.0</v>
      </c>
      <c r="B220" s="17" t="s">
        <v>10376</v>
      </c>
      <c r="C220" s="17" t="s">
        <v>10377</v>
      </c>
      <c r="D220" s="17" t="s">
        <v>10378</v>
      </c>
      <c r="E220" s="10">
        <v>10.0</v>
      </c>
      <c r="F220" s="7">
        <f t="shared" si="2"/>
        <v>90</v>
      </c>
      <c r="G220" s="17" t="s">
        <v>3113</v>
      </c>
      <c r="H220" s="2"/>
      <c r="I220" s="2"/>
      <c r="J220" s="2"/>
      <c r="K220" s="2"/>
      <c r="L220" s="2"/>
      <c r="M220" s="2"/>
      <c r="N220" s="2"/>
      <c r="O220" s="2"/>
      <c r="P220" s="2"/>
      <c r="Q220" s="2"/>
      <c r="R220" s="2"/>
      <c r="S220" s="2"/>
      <c r="T220" s="2"/>
      <c r="U220" s="2"/>
      <c r="V220" s="2"/>
      <c r="W220" s="2"/>
      <c r="X220" s="2"/>
      <c r="Y220" s="2"/>
      <c r="Z220" s="2"/>
      <c r="AA220" s="2"/>
    </row>
    <row r="221">
      <c r="A221" s="11">
        <v>205.0</v>
      </c>
      <c r="B221" s="17" t="s">
        <v>10379</v>
      </c>
      <c r="C221" s="17" t="s">
        <v>10380</v>
      </c>
      <c r="D221" s="17" t="s">
        <v>10381</v>
      </c>
      <c r="E221" s="10">
        <v>10.0</v>
      </c>
      <c r="F221" s="7">
        <f t="shared" si="2"/>
        <v>90</v>
      </c>
      <c r="G221" s="17" t="s">
        <v>3113</v>
      </c>
      <c r="H221" s="2"/>
      <c r="I221" s="2"/>
      <c r="J221" s="2"/>
      <c r="K221" s="2"/>
      <c r="L221" s="2"/>
      <c r="M221" s="2"/>
      <c r="N221" s="2"/>
      <c r="O221" s="2"/>
      <c r="P221" s="2"/>
      <c r="Q221" s="2"/>
      <c r="R221" s="2"/>
      <c r="S221" s="2"/>
      <c r="T221" s="2"/>
      <c r="U221" s="2"/>
      <c r="V221" s="2"/>
      <c r="W221" s="2"/>
      <c r="X221" s="2"/>
      <c r="Y221" s="2"/>
      <c r="Z221" s="2"/>
      <c r="AA221" s="2"/>
    </row>
    <row r="222">
      <c r="A222" s="11">
        <v>206.0</v>
      </c>
      <c r="B222" s="17" t="s">
        <v>10382</v>
      </c>
      <c r="C222" s="17" t="s">
        <v>10383</v>
      </c>
      <c r="D222" s="17" t="s">
        <v>10384</v>
      </c>
      <c r="E222" s="10">
        <v>10.0</v>
      </c>
      <c r="F222" s="7">
        <f t="shared" si="2"/>
        <v>90</v>
      </c>
      <c r="G222" s="17" t="s">
        <v>3113</v>
      </c>
      <c r="H222" s="2"/>
      <c r="I222" s="2"/>
      <c r="J222" s="2"/>
      <c r="K222" s="2"/>
      <c r="L222" s="2"/>
      <c r="M222" s="2"/>
      <c r="N222" s="2"/>
      <c r="O222" s="2"/>
      <c r="P222" s="2"/>
      <c r="Q222" s="2"/>
      <c r="R222" s="2"/>
      <c r="S222" s="2"/>
      <c r="T222" s="2"/>
      <c r="U222" s="2"/>
      <c r="V222" s="2"/>
      <c r="W222" s="2"/>
      <c r="X222" s="2"/>
      <c r="Y222" s="2"/>
      <c r="Z222" s="2"/>
      <c r="AA222" s="2"/>
    </row>
    <row r="223">
      <c r="A223" s="11">
        <v>207.0</v>
      </c>
      <c r="B223" s="17" t="s">
        <v>10385</v>
      </c>
      <c r="C223" s="17" t="s">
        <v>10386</v>
      </c>
      <c r="D223" s="17" t="s">
        <v>10387</v>
      </c>
      <c r="E223" s="10">
        <v>10.0</v>
      </c>
      <c r="F223" s="7">
        <f t="shared" si="2"/>
        <v>90</v>
      </c>
      <c r="G223" s="17" t="s">
        <v>3113</v>
      </c>
      <c r="H223" s="2"/>
      <c r="I223" s="2"/>
      <c r="J223" s="2"/>
      <c r="K223" s="2"/>
      <c r="L223" s="2"/>
      <c r="M223" s="2"/>
      <c r="N223" s="2"/>
      <c r="O223" s="2"/>
      <c r="P223" s="2"/>
      <c r="Q223" s="2"/>
      <c r="R223" s="2"/>
      <c r="S223" s="2"/>
      <c r="T223" s="2"/>
      <c r="U223" s="2"/>
      <c r="V223" s="2"/>
      <c r="W223" s="2"/>
      <c r="X223" s="2"/>
      <c r="Y223" s="2"/>
      <c r="Z223" s="2"/>
      <c r="AA223" s="2"/>
    </row>
    <row r="224">
      <c r="A224" s="11">
        <v>208.0</v>
      </c>
      <c r="B224" s="17" t="s">
        <v>10388</v>
      </c>
      <c r="C224" s="17" t="s">
        <v>10389</v>
      </c>
      <c r="D224" s="17" t="s">
        <v>10390</v>
      </c>
      <c r="E224" s="10">
        <v>10.0</v>
      </c>
      <c r="F224" s="7">
        <f t="shared" si="2"/>
        <v>90</v>
      </c>
      <c r="G224" s="17" t="s">
        <v>3113</v>
      </c>
      <c r="H224" s="2"/>
      <c r="I224" s="2"/>
      <c r="J224" s="2"/>
      <c r="K224" s="2"/>
      <c r="L224" s="2"/>
      <c r="M224" s="2"/>
      <c r="N224" s="2"/>
      <c r="O224" s="2"/>
      <c r="P224" s="2"/>
      <c r="Q224" s="2"/>
      <c r="R224" s="2"/>
      <c r="S224" s="2"/>
      <c r="T224" s="2"/>
      <c r="U224" s="2"/>
      <c r="V224" s="2"/>
      <c r="W224" s="2"/>
      <c r="X224" s="2"/>
      <c r="Y224" s="2"/>
      <c r="Z224" s="2"/>
      <c r="AA224" s="2"/>
    </row>
    <row r="225">
      <c r="A225" s="11">
        <v>209.0</v>
      </c>
      <c r="B225" s="17" t="s">
        <v>10391</v>
      </c>
      <c r="C225" s="17" t="s">
        <v>10392</v>
      </c>
      <c r="D225" s="17" t="s">
        <v>10393</v>
      </c>
      <c r="E225" s="10">
        <v>10.0</v>
      </c>
      <c r="F225" s="7">
        <f t="shared" si="2"/>
        <v>90</v>
      </c>
      <c r="G225" s="17" t="s">
        <v>3113</v>
      </c>
      <c r="H225" s="2"/>
      <c r="I225" s="2"/>
      <c r="J225" s="2"/>
      <c r="K225" s="2"/>
      <c r="L225" s="2"/>
      <c r="M225" s="2"/>
      <c r="N225" s="2"/>
      <c r="O225" s="2"/>
      <c r="P225" s="2"/>
      <c r="Q225" s="2"/>
      <c r="R225" s="2"/>
      <c r="S225" s="2"/>
      <c r="T225" s="2"/>
      <c r="U225" s="2"/>
      <c r="V225" s="2"/>
      <c r="W225" s="2"/>
      <c r="X225" s="2"/>
      <c r="Y225" s="2"/>
      <c r="Z225" s="2"/>
      <c r="AA225" s="2"/>
    </row>
    <row r="226">
      <c r="A226" s="11">
        <v>210.0</v>
      </c>
      <c r="B226" s="17" t="s">
        <v>10394</v>
      </c>
      <c r="C226" s="17" t="s">
        <v>10395</v>
      </c>
      <c r="D226" s="17" t="s">
        <v>10396</v>
      </c>
      <c r="E226" s="10">
        <v>10.0</v>
      </c>
      <c r="F226" s="7">
        <f t="shared" si="2"/>
        <v>90</v>
      </c>
      <c r="G226" s="17" t="s">
        <v>3113</v>
      </c>
      <c r="H226" s="2"/>
      <c r="I226" s="2"/>
      <c r="J226" s="2"/>
      <c r="K226" s="2"/>
      <c r="L226" s="2"/>
      <c r="M226" s="2"/>
      <c r="N226" s="2"/>
      <c r="O226" s="2"/>
      <c r="P226" s="2"/>
      <c r="Q226" s="2"/>
      <c r="R226" s="2"/>
      <c r="S226" s="2"/>
      <c r="T226" s="2"/>
      <c r="U226" s="2"/>
      <c r="V226" s="2"/>
      <c r="W226" s="2"/>
      <c r="X226" s="2"/>
      <c r="Y226" s="2"/>
      <c r="Z226" s="2"/>
      <c r="AA226" s="2"/>
    </row>
    <row r="227">
      <c r="A227" s="11">
        <v>211.0</v>
      </c>
      <c r="B227" s="17" t="s">
        <v>10397</v>
      </c>
      <c r="C227" s="17" t="s">
        <v>10398</v>
      </c>
      <c r="D227" s="17" t="s">
        <v>10399</v>
      </c>
      <c r="E227" s="10">
        <v>10.0</v>
      </c>
      <c r="F227" s="7">
        <f t="shared" si="2"/>
        <v>90</v>
      </c>
      <c r="G227" s="17" t="s">
        <v>3113</v>
      </c>
      <c r="H227" s="2"/>
      <c r="I227" s="2"/>
      <c r="J227" s="2"/>
      <c r="K227" s="2"/>
      <c r="L227" s="2"/>
      <c r="M227" s="2"/>
      <c r="N227" s="2"/>
      <c r="O227" s="2"/>
      <c r="P227" s="2"/>
      <c r="Q227" s="2"/>
      <c r="R227" s="2"/>
      <c r="S227" s="2"/>
      <c r="T227" s="2"/>
      <c r="U227" s="2"/>
      <c r="V227" s="2"/>
      <c r="W227" s="2"/>
      <c r="X227" s="2"/>
      <c r="Y227" s="2"/>
      <c r="Z227" s="2"/>
      <c r="AA227" s="2"/>
    </row>
    <row r="228">
      <c r="A228" s="11">
        <v>212.0</v>
      </c>
      <c r="B228" s="17" t="s">
        <v>10400</v>
      </c>
      <c r="C228" s="17" t="s">
        <v>10401</v>
      </c>
      <c r="D228" s="17" t="s">
        <v>10402</v>
      </c>
      <c r="E228" s="10">
        <v>10.0</v>
      </c>
      <c r="F228" s="7">
        <f t="shared" si="2"/>
        <v>90</v>
      </c>
      <c r="G228" s="17" t="s">
        <v>3113</v>
      </c>
      <c r="H228" s="2"/>
      <c r="I228" s="2"/>
      <c r="J228" s="2"/>
      <c r="K228" s="2"/>
      <c r="L228" s="2"/>
      <c r="M228" s="2"/>
      <c r="N228" s="2"/>
      <c r="O228" s="2"/>
      <c r="P228" s="2"/>
      <c r="Q228" s="2"/>
      <c r="R228" s="2"/>
      <c r="S228" s="2"/>
      <c r="T228" s="2"/>
      <c r="U228" s="2"/>
      <c r="V228" s="2"/>
      <c r="W228" s="2"/>
      <c r="X228" s="2"/>
      <c r="Y228" s="2"/>
      <c r="Z228" s="2"/>
      <c r="AA228" s="2"/>
    </row>
    <row r="229">
      <c r="A229" s="11">
        <v>213.0</v>
      </c>
      <c r="B229" s="17" t="s">
        <v>10403</v>
      </c>
      <c r="C229" s="17" t="s">
        <v>10404</v>
      </c>
      <c r="D229" s="17" t="s">
        <v>10405</v>
      </c>
      <c r="E229" s="10">
        <v>10.0</v>
      </c>
      <c r="F229" s="7">
        <f t="shared" si="2"/>
        <v>90</v>
      </c>
      <c r="G229" s="17" t="s">
        <v>3113</v>
      </c>
      <c r="H229" s="2"/>
      <c r="I229" s="2"/>
      <c r="J229" s="2"/>
      <c r="K229" s="2"/>
      <c r="L229" s="2"/>
      <c r="M229" s="2"/>
      <c r="N229" s="2"/>
      <c r="O229" s="2"/>
      <c r="P229" s="2"/>
      <c r="Q229" s="2"/>
      <c r="R229" s="2"/>
      <c r="S229" s="2"/>
      <c r="T229" s="2"/>
      <c r="U229" s="2"/>
      <c r="V229" s="2"/>
      <c r="W229" s="2"/>
      <c r="X229" s="2"/>
      <c r="Y229" s="2"/>
      <c r="Z229" s="2"/>
      <c r="AA229" s="2"/>
    </row>
    <row r="230">
      <c r="A230" s="11">
        <v>214.0</v>
      </c>
      <c r="B230" s="17" t="s">
        <v>10406</v>
      </c>
      <c r="C230" s="17" t="s">
        <v>10407</v>
      </c>
      <c r="D230" s="17" t="s">
        <v>10408</v>
      </c>
      <c r="E230" s="10">
        <v>10.0</v>
      </c>
      <c r="F230" s="7">
        <f t="shared" si="2"/>
        <v>90</v>
      </c>
      <c r="G230" s="17" t="s">
        <v>3113</v>
      </c>
      <c r="H230" s="2"/>
      <c r="I230" s="2"/>
      <c r="J230" s="2"/>
      <c r="K230" s="2"/>
      <c r="L230" s="2"/>
      <c r="M230" s="2"/>
      <c r="N230" s="2"/>
      <c r="O230" s="2"/>
      <c r="P230" s="2"/>
      <c r="Q230" s="2"/>
      <c r="R230" s="2"/>
      <c r="S230" s="2"/>
      <c r="T230" s="2"/>
      <c r="U230" s="2"/>
      <c r="V230" s="2"/>
      <c r="W230" s="2"/>
      <c r="X230" s="2"/>
      <c r="Y230" s="2"/>
      <c r="Z230" s="2"/>
      <c r="AA230" s="2"/>
    </row>
    <row r="231">
      <c r="A231" s="11">
        <v>215.0</v>
      </c>
      <c r="B231" s="17" t="s">
        <v>10409</v>
      </c>
      <c r="C231" s="17" t="s">
        <v>10410</v>
      </c>
      <c r="D231" s="17" t="s">
        <v>10411</v>
      </c>
      <c r="E231" s="10">
        <v>10.0</v>
      </c>
      <c r="F231" s="7">
        <f t="shared" si="2"/>
        <v>90</v>
      </c>
      <c r="G231" s="17" t="s">
        <v>3113</v>
      </c>
      <c r="H231" s="2"/>
      <c r="I231" s="2"/>
      <c r="J231" s="2"/>
      <c r="K231" s="2"/>
      <c r="L231" s="2"/>
      <c r="M231" s="2"/>
      <c r="N231" s="2"/>
      <c r="O231" s="2"/>
      <c r="P231" s="2"/>
      <c r="Q231" s="2"/>
      <c r="R231" s="2"/>
      <c r="S231" s="2"/>
      <c r="T231" s="2"/>
      <c r="U231" s="2"/>
      <c r="V231" s="2"/>
      <c r="W231" s="2"/>
      <c r="X231" s="2"/>
      <c r="Y231" s="2"/>
      <c r="Z231" s="2"/>
      <c r="AA231" s="2"/>
    </row>
    <row r="232">
      <c r="A232" s="11">
        <v>216.0</v>
      </c>
      <c r="B232" s="17" t="s">
        <v>10412</v>
      </c>
      <c r="C232" s="17" t="s">
        <v>10413</v>
      </c>
      <c r="D232" s="17" t="s">
        <v>10414</v>
      </c>
      <c r="E232" s="10">
        <v>10.0</v>
      </c>
      <c r="F232" s="7">
        <f t="shared" si="2"/>
        <v>90</v>
      </c>
      <c r="G232" s="17" t="s">
        <v>3113</v>
      </c>
      <c r="H232" s="2"/>
      <c r="I232" s="2"/>
      <c r="J232" s="2"/>
      <c r="K232" s="2"/>
      <c r="L232" s="2"/>
      <c r="M232" s="2"/>
      <c r="N232" s="2"/>
      <c r="O232" s="2"/>
      <c r="P232" s="2"/>
      <c r="Q232" s="2"/>
      <c r="R232" s="2"/>
      <c r="S232" s="2"/>
      <c r="T232" s="2"/>
      <c r="U232" s="2"/>
      <c r="V232" s="2"/>
      <c r="W232" s="2"/>
      <c r="X232" s="2"/>
      <c r="Y232" s="2"/>
      <c r="Z232" s="2"/>
      <c r="AA232" s="2"/>
    </row>
    <row r="233">
      <c r="A233" s="11">
        <v>217.0</v>
      </c>
      <c r="B233" s="17" t="s">
        <v>10415</v>
      </c>
      <c r="C233" s="17" t="s">
        <v>10416</v>
      </c>
      <c r="D233" s="17" t="s">
        <v>10417</v>
      </c>
      <c r="E233" s="10">
        <v>10.0</v>
      </c>
      <c r="F233" s="7">
        <f t="shared" si="2"/>
        <v>90</v>
      </c>
      <c r="G233" s="17" t="s">
        <v>3113</v>
      </c>
      <c r="H233" s="2"/>
      <c r="I233" s="2"/>
      <c r="J233" s="2"/>
      <c r="K233" s="2"/>
      <c r="L233" s="2"/>
      <c r="M233" s="2"/>
      <c r="N233" s="2"/>
      <c r="O233" s="2"/>
      <c r="P233" s="2"/>
      <c r="Q233" s="2"/>
      <c r="R233" s="2"/>
      <c r="S233" s="2"/>
      <c r="T233" s="2"/>
      <c r="U233" s="2"/>
      <c r="V233" s="2"/>
      <c r="W233" s="2"/>
      <c r="X233" s="2"/>
      <c r="Y233" s="2"/>
      <c r="Z233" s="2"/>
      <c r="AA233" s="2"/>
    </row>
    <row r="234">
      <c r="A234" s="11">
        <v>218.0</v>
      </c>
      <c r="B234" s="17" t="s">
        <v>10418</v>
      </c>
      <c r="C234" s="17" t="s">
        <v>10419</v>
      </c>
      <c r="D234" s="17" t="s">
        <v>10420</v>
      </c>
      <c r="E234" s="10">
        <v>10.0</v>
      </c>
      <c r="F234" s="7">
        <f t="shared" si="2"/>
        <v>90</v>
      </c>
      <c r="G234" s="17" t="s">
        <v>3113</v>
      </c>
      <c r="H234" s="2"/>
      <c r="I234" s="2"/>
      <c r="J234" s="2"/>
      <c r="K234" s="2"/>
      <c r="L234" s="2"/>
      <c r="M234" s="2"/>
      <c r="N234" s="2"/>
      <c r="O234" s="2"/>
      <c r="P234" s="2"/>
      <c r="Q234" s="2"/>
      <c r="R234" s="2"/>
      <c r="S234" s="2"/>
      <c r="T234" s="2"/>
      <c r="U234" s="2"/>
      <c r="V234" s="2"/>
      <c r="W234" s="2"/>
      <c r="X234" s="2"/>
      <c r="Y234" s="2"/>
      <c r="Z234" s="2"/>
      <c r="AA234" s="2"/>
    </row>
    <row r="235">
      <c r="A235" s="11">
        <v>219.0</v>
      </c>
      <c r="B235" s="17" t="s">
        <v>10421</v>
      </c>
      <c r="C235" s="17" t="s">
        <v>10422</v>
      </c>
      <c r="D235" s="17" t="s">
        <v>10420</v>
      </c>
      <c r="E235" s="10">
        <v>10.0</v>
      </c>
      <c r="F235" s="7">
        <f t="shared" si="2"/>
        <v>90</v>
      </c>
      <c r="G235" s="17" t="s">
        <v>3113</v>
      </c>
      <c r="H235" s="2"/>
      <c r="I235" s="2"/>
      <c r="J235" s="2"/>
      <c r="K235" s="2"/>
      <c r="L235" s="2"/>
      <c r="M235" s="2"/>
      <c r="N235" s="2"/>
      <c r="O235" s="2"/>
      <c r="P235" s="2"/>
      <c r="Q235" s="2"/>
      <c r="R235" s="2"/>
      <c r="S235" s="2"/>
      <c r="T235" s="2"/>
      <c r="U235" s="2"/>
      <c r="V235" s="2"/>
      <c r="W235" s="2"/>
      <c r="X235" s="2"/>
      <c r="Y235" s="2"/>
      <c r="Z235" s="2"/>
      <c r="AA235" s="2"/>
    </row>
    <row r="236">
      <c r="A236" s="11">
        <v>220.0</v>
      </c>
      <c r="B236" s="17" t="s">
        <v>10423</v>
      </c>
      <c r="C236" s="17" t="s">
        <v>10424</v>
      </c>
      <c r="D236" s="17" t="s">
        <v>10425</v>
      </c>
      <c r="E236" s="10">
        <v>10.0</v>
      </c>
      <c r="F236" s="7">
        <f t="shared" si="2"/>
        <v>90</v>
      </c>
      <c r="G236" s="17" t="s">
        <v>3113</v>
      </c>
      <c r="H236" s="2"/>
      <c r="I236" s="2"/>
      <c r="J236" s="2"/>
      <c r="K236" s="2"/>
      <c r="L236" s="2"/>
      <c r="M236" s="2"/>
      <c r="N236" s="2"/>
      <c r="O236" s="2"/>
      <c r="P236" s="2"/>
      <c r="Q236" s="2"/>
      <c r="R236" s="2"/>
      <c r="S236" s="2"/>
      <c r="T236" s="2"/>
      <c r="U236" s="2"/>
      <c r="V236" s="2"/>
      <c r="W236" s="2"/>
      <c r="X236" s="2"/>
      <c r="Y236" s="2"/>
      <c r="Z236" s="2"/>
      <c r="AA236" s="2"/>
    </row>
    <row r="237">
      <c r="A237" s="11">
        <v>221.0</v>
      </c>
      <c r="B237" s="17" t="s">
        <v>10426</v>
      </c>
      <c r="C237" s="17" t="s">
        <v>10427</v>
      </c>
      <c r="D237" s="17" t="s">
        <v>10428</v>
      </c>
      <c r="E237" s="10">
        <v>10.0</v>
      </c>
      <c r="F237" s="7">
        <f t="shared" si="2"/>
        <v>90</v>
      </c>
      <c r="G237" s="17" t="s">
        <v>3113</v>
      </c>
      <c r="H237" s="2"/>
      <c r="I237" s="2"/>
      <c r="J237" s="2"/>
      <c r="K237" s="2"/>
      <c r="L237" s="2"/>
      <c r="M237" s="2"/>
      <c r="N237" s="2"/>
      <c r="O237" s="2"/>
      <c r="P237" s="2"/>
      <c r="Q237" s="2"/>
      <c r="R237" s="2"/>
      <c r="S237" s="2"/>
      <c r="T237" s="2"/>
      <c r="U237" s="2"/>
      <c r="V237" s="2"/>
      <c r="W237" s="2"/>
      <c r="X237" s="2"/>
      <c r="Y237" s="2"/>
      <c r="Z237" s="2"/>
      <c r="AA237" s="2"/>
    </row>
    <row r="238">
      <c r="A238" s="11">
        <v>222.0</v>
      </c>
      <c r="B238" s="17" t="s">
        <v>10429</v>
      </c>
      <c r="C238" s="17" t="s">
        <v>10430</v>
      </c>
      <c r="D238" s="17" t="s">
        <v>10431</v>
      </c>
      <c r="E238" s="10">
        <v>10.0</v>
      </c>
      <c r="F238" s="7">
        <f t="shared" si="2"/>
        <v>90</v>
      </c>
      <c r="G238" s="17" t="s">
        <v>3113</v>
      </c>
      <c r="H238" s="2"/>
      <c r="I238" s="2"/>
      <c r="J238" s="2"/>
      <c r="K238" s="2"/>
      <c r="L238" s="2"/>
      <c r="M238" s="2"/>
      <c r="N238" s="2"/>
      <c r="O238" s="2"/>
      <c r="P238" s="2"/>
      <c r="Q238" s="2"/>
      <c r="R238" s="2"/>
      <c r="S238" s="2"/>
      <c r="T238" s="2"/>
      <c r="U238" s="2"/>
      <c r="V238" s="2"/>
      <c r="W238" s="2"/>
      <c r="X238" s="2"/>
      <c r="Y238" s="2"/>
      <c r="Z238" s="2"/>
      <c r="AA238" s="2"/>
    </row>
    <row r="239">
      <c r="A239" s="11">
        <v>223.0</v>
      </c>
      <c r="B239" s="17" t="s">
        <v>10432</v>
      </c>
      <c r="C239" s="17" t="s">
        <v>10433</v>
      </c>
      <c r="D239" s="17" t="s">
        <v>10434</v>
      </c>
      <c r="E239" s="10">
        <v>10.0</v>
      </c>
      <c r="F239" s="7">
        <f t="shared" si="2"/>
        <v>90</v>
      </c>
      <c r="G239" s="17" t="s">
        <v>3113</v>
      </c>
      <c r="H239" s="2"/>
      <c r="I239" s="2"/>
      <c r="J239" s="2"/>
      <c r="K239" s="2"/>
      <c r="L239" s="2"/>
      <c r="M239" s="2"/>
      <c r="N239" s="2"/>
      <c r="O239" s="2"/>
      <c r="P239" s="2"/>
      <c r="Q239" s="2"/>
      <c r="R239" s="2"/>
      <c r="S239" s="2"/>
      <c r="T239" s="2"/>
      <c r="U239" s="2"/>
      <c r="V239" s="2"/>
      <c r="W239" s="2"/>
      <c r="X239" s="2"/>
      <c r="Y239" s="2"/>
      <c r="Z239" s="2"/>
      <c r="AA239" s="2"/>
    </row>
    <row r="240">
      <c r="A240" s="11">
        <v>224.0</v>
      </c>
      <c r="B240" s="17" t="s">
        <v>10435</v>
      </c>
      <c r="C240" s="17" t="s">
        <v>10436</v>
      </c>
      <c r="D240" s="17" t="s">
        <v>10437</v>
      </c>
      <c r="E240" s="10">
        <v>10.0</v>
      </c>
      <c r="F240" s="7">
        <f t="shared" si="2"/>
        <v>90</v>
      </c>
      <c r="G240" s="17" t="s">
        <v>3113</v>
      </c>
      <c r="H240" s="2"/>
      <c r="I240" s="2"/>
      <c r="J240" s="2"/>
      <c r="K240" s="2"/>
      <c r="L240" s="2"/>
      <c r="M240" s="2"/>
      <c r="N240" s="2"/>
      <c r="O240" s="2"/>
      <c r="P240" s="2"/>
      <c r="Q240" s="2"/>
      <c r="R240" s="2"/>
      <c r="S240" s="2"/>
      <c r="T240" s="2"/>
      <c r="U240" s="2"/>
      <c r="V240" s="2"/>
      <c r="W240" s="2"/>
      <c r="X240" s="2"/>
      <c r="Y240" s="2"/>
      <c r="Z240" s="2"/>
      <c r="AA240" s="2"/>
    </row>
    <row r="241">
      <c r="A241" s="11">
        <v>225.0</v>
      </c>
      <c r="B241" s="17" t="s">
        <v>10438</v>
      </c>
      <c r="C241" s="17" t="s">
        <v>10439</v>
      </c>
      <c r="D241" s="17" t="s">
        <v>10440</v>
      </c>
      <c r="E241" s="10">
        <v>10.0</v>
      </c>
      <c r="F241" s="7">
        <f t="shared" si="2"/>
        <v>90</v>
      </c>
      <c r="G241" s="17" t="s">
        <v>3113</v>
      </c>
      <c r="H241" s="2"/>
      <c r="I241" s="2"/>
      <c r="J241" s="2"/>
      <c r="K241" s="2"/>
      <c r="L241" s="2"/>
      <c r="M241" s="2"/>
      <c r="N241" s="2"/>
      <c r="O241" s="2"/>
      <c r="P241" s="2"/>
      <c r="Q241" s="2"/>
      <c r="R241" s="2"/>
      <c r="S241" s="2"/>
      <c r="T241" s="2"/>
      <c r="U241" s="2"/>
      <c r="V241" s="2"/>
      <c r="W241" s="2"/>
      <c r="X241" s="2"/>
      <c r="Y241" s="2"/>
      <c r="Z241" s="2"/>
      <c r="AA241" s="2"/>
    </row>
    <row r="242">
      <c r="A242" s="11">
        <v>226.0</v>
      </c>
      <c r="B242" s="17" t="s">
        <v>10441</v>
      </c>
      <c r="C242" s="17" t="s">
        <v>10442</v>
      </c>
      <c r="D242" s="17" t="s">
        <v>10443</v>
      </c>
      <c r="E242" s="10">
        <v>10.0</v>
      </c>
      <c r="F242" s="7">
        <f t="shared" si="2"/>
        <v>90</v>
      </c>
      <c r="G242" s="17" t="s">
        <v>3113</v>
      </c>
      <c r="H242" s="2"/>
      <c r="I242" s="2"/>
      <c r="J242" s="2"/>
      <c r="K242" s="2"/>
      <c r="L242" s="2"/>
      <c r="M242" s="2"/>
      <c r="N242" s="2"/>
      <c r="O242" s="2"/>
      <c r="P242" s="2"/>
      <c r="Q242" s="2"/>
      <c r="R242" s="2"/>
      <c r="S242" s="2"/>
      <c r="T242" s="2"/>
      <c r="U242" s="2"/>
      <c r="V242" s="2"/>
      <c r="W242" s="2"/>
      <c r="X242" s="2"/>
      <c r="Y242" s="2"/>
      <c r="Z242" s="2"/>
      <c r="AA242" s="2"/>
    </row>
    <row r="243">
      <c r="A243" s="11">
        <v>227.0</v>
      </c>
      <c r="B243" s="17" t="s">
        <v>10444</v>
      </c>
      <c r="C243" s="17" t="s">
        <v>10445</v>
      </c>
      <c r="D243" s="17" t="s">
        <v>10446</v>
      </c>
      <c r="E243" s="10">
        <v>10.0</v>
      </c>
      <c r="F243" s="7">
        <f t="shared" si="2"/>
        <v>90</v>
      </c>
      <c r="G243" s="17" t="s">
        <v>3113</v>
      </c>
      <c r="H243" s="2"/>
      <c r="I243" s="2"/>
      <c r="J243" s="2"/>
      <c r="K243" s="2"/>
      <c r="L243" s="2"/>
      <c r="M243" s="2"/>
      <c r="N243" s="2"/>
      <c r="O243" s="2"/>
      <c r="P243" s="2"/>
      <c r="Q243" s="2"/>
      <c r="R243" s="2"/>
      <c r="S243" s="2"/>
      <c r="T243" s="2"/>
      <c r="U243" s="2"/>
      <c r="V243" s="2"/>
      <c r="W243" s="2"/>
      <c r="X243" s="2"/>
      <c r="Y243" s="2"/>
      <c r="Z243" s="2"/>
      <c r="AA243" s="2"/>
    </row>
    <row r="244">
      <c r="A244" s="11">
        <v>228.0</v>
      </c>
      <c r="B244" s="17" t="s">
        <v>10447</v>
      </c>
      <c r="C244" s="17" t="s">
        <v>10448</v>
      </c>
      <c r="D244" s="17" t="s">
        <v>10449</v>
      </c>
      <c r="E244" s="10">
        <v>10.0</v>
      </c>
      <c r="F244" s="7">
        <f t="shared" si="2"/>
        <v>90</v>
      </c>
      <c r="G244" s="17" t="s">
        <v>3113</v>
      </c>
      <c r="H244" s="2"/>
      <c r="I244" s="2"/>
      <c r="J244" s="2"/>
      <c r="K244" s="2"/>
      <c r="L244" s="2"/>
      <c r="M244" s="2"/>
      <c r="N244" s="2"/>
      <c r="O244" s="2"/>
      <c r="P244" s="2"/>
      <c r="Q244" s="2"/>
      <c r="R244" s="2"/>
      <c r="S244" s="2"/>
      <c r="T244" s="2"/>
      <c r="U244" s="2"/>
      <c r="V244" s="2"/>
      <c r="W244" s="2"/>
      <c r="X244" s="2"/>
      <c r="Y244" s="2"/>
      <c r="Z244" s="2"/>
      <c r="AA244" s="2"/>
    </row>
    <row r="245">
      <c r="A245" s="11">
        <v>229.0</v>
      </c>
      <c r="B245" s="17" t="s">
        <v>10450</v>
      </c>
      <c r="C245" s="17" t="s">
        <v>10451</v>
      </c>
      <c r="D245" s="17" t="s">
        <v>10452</v>
      </c>
      <c r="E245" s="10">
        <v>10.0</v>
      </c>
      <c r="F245" s="7">
        <f t="shared" si="2"/>
        <v>90</v>
      </c>
      <c r="G245" s="17" t="s">
        <v>3113</v>
      </c>
      <c r="H245" s="2"/>
      <c r="I245" s="2"/>
      <c r="J245" s="2"/>
      <c r="K245" s="2"/>
      <c r="L245" s="2"/>
      <c r="M245" s="2"/>
      <c r="N245" s="2"/>
      <c r="O245" s="2"/>
      <c r="P245" s="2"/>
      <c r="Q245" s="2"/>
      <c r="R245" s="2"/>
      <c r="S245" s="2"/>
      <c r="T245" s="2"/>
      <c r="U245" s="2"/>
      <c r="V245" s="2"/>
      <c r="W245" s="2"/>
      <c r="X245" s="2"/>
      <c r="Y245" s="2"/>
      <c r="Z245" s="2"/>
      <c r="AA245" s="2"/>
    </row>
    <row r="246">
      <c r="A246" s="11">
        <v>230.0</v>
      </c>
      <c r="B246" s="17" t="s">
        <v>10453</v>
      </c>
      <c r="C246" s="17" t="s">
        <v>10454</v>
      </c>
      <c r="D246" s="17" t="s">
        <v>10455</v>
      </c>
      <c r="E246" s="10">
        <v>10.0</v>
      </c>
      <c r="F246" s="7">
        <f t="shared" si="2"/>
        <v>90</v>
      </c>
      <c r="G246" s="17" t="s">
        <v>3113</v>
      </c>
      <c r="H246" s="2"/>
      <c r="I246" s="2"/>
      <c r="J246" s="2"/>
      <c r="K246" s="2"/>
      <c r="L246" s="2"/>
      <c r="M246" s="2"/>
      <c r="N246" s="2"/>
      <c r="O246" s="2"/>
      <c r="P246" s="2"/>
      <c r="Q246" s="2"/>
      <c r="R246" s="2"/>
      <c r="S246" s="2"/>
      <c r="T246" s="2"/>
      <c r="U246" s="2"/>
      <c r="V246" s="2"/>
      <c r="W246" s="2"/>
      <c r="X246" s="2"/>
      <c r="Y246" s="2"/>
      <c r="Z246" s="2"/>
      <c r="AA246" s="2"/>
    </row>
    <row r="247">
      <c r="A247" s="11">
        <v>231.0</v>
      </c>
      <c r="B247" s="17" t="s">
        <v>10456</v>
      </c>
      <c r="C247" s="17" t="s">
        <v>10457</v>
      </c>
      <c r="D247" s="17" t="s">
        <v>10458</v>
      </c>
      <c r="E247" s="10">
        <v>10.0</v>
      </c>
      <c r="F247" s="7">
        <f t="shared" si="2"/>
        <v>90</v>
      </c>
      <c r="G247" s="17" t="s">
        <v>3113</v>
      </c>
      <c r="H247" s="2"/>
      <c r="I247" s="2"/>
      <c r="J247" s="2"/>
      <c r="K247" s="2"/>
      <c r="L247" s="2"/>
      <c r="M247" s="2"/>
      <c r="N247" s="2"/>
      <c r="O247" s="2"/>
      <c r="P247" s="2"/>
      <c r="Q247" s="2"/>
      <c r="R247" s="2"/>
      <c r="S247" s="2"/>
      <c r="T247" s="2"/>
      <c r="U247" s="2"/>
      <c r="V247" s="2"/>
      <c r="W247" s="2"/>
      <c r="X247" s="2"/>
      <c r="Y247" s="2"/>
      <c r="Z247" s="2"/>
      <c r="AA247" s="2"/>
    </row>
    <row r="248">
      <c r="A248" s="11">
        <v>232.0</v>
      </c>
      <c r="B248" s="17" t="s">
        <v>10459</v>
      </c>
      <c r="C248" s="17" t="s">
        <v>10460</v>
      </c>
      <c r="D248" s="17" t="s">
        <v>10461</v>
      </c>
      <c r="E248" s="10">
        <v>10.0</v>
      </c>
      <c r="F248" s="7">
        <f t="shared" si="2"/>
        <v>90</v>
      </c>
      <c r="G248" s="17" t="s">
        <v>3113</v>
      </c>
      <c r="H248" s="2"/>
      <c r="I248" s="2"/>
      <c r="J248" s="2"/>
      <c r="K248" s="2"/>
      <c r="L248" s="2"/>
      <c r="M248" s="2"/>
      <c r="N248" s="2"/>
      <c r="O248" s="2"/>
      <c r="P248" s="2"/>
      <c r="Q248" s="2"/>
      <c r="R248" s="2"/>
      <c r="S248" s="2"/>
      <c r="T248" s="2"/>
      <c r="U248" s="2"/>
      <c r="V248" s="2"/>
      <c r="W248" s="2"/>
      <c r="X248" s="2"/>
      <c r="Y248" s="2"/>
      <c r="Z248" s="2"/>
      <c r="AA248" s="2"/>
    </row>
    <row r="249">
      <c r="A249" s="11">
        <v>233.0</v>
      </c>
      <c r="B249" s="17" t="s">
        <v>10462</v>
      </c>
      <c r="C249" s="17" t="s">
        <v>10463</v>
      </c>
      <c r="D249" s="17" t="s">
        <v>10464</v>
      </c>
      <c r="E249" s="10">
        <v>10.0</v>
      </c>
      <c r="F249" s="7">
        <f t="shared" si="2"/>
        <v>90</v>
      </c>
      <c r="G249" s="17" t="s">
        <v>3113</v>
      </c>
      <c r="H249" s="2"/>
      <c r="I249" s="2"/>
      <c r="J249" s="2"/>
      <c r="K249" s="2"/>
      <c r="L249" s="2"/>
      <c r="M249" s="2"/>
      <c r="N249" s="2"/>
      <c r="O249" s="2"/>
      <c r="P249" s="2"/>
      <c r="Q249" s="2"/>
      <c r="R249" s="2"/>
      <c r="S249" s="2"/>
      <c r="T249" s="2"/>
      <c r="U249" s="2"/>
      <c r="V249" s="2"/>
      <c r="W249" s="2"/>
      <c r="X249" s="2"/>
      <c r="Y249" s="2"/>
      <c r="Z249" s="2"/>
      <c r="AA249" s="2"/>
    </row>
    <row r="250">
      <c r="A250" s="11">
        <v>234.0</v>
      </c>
      <c r="B250" s="17" t="s">
        <v>10465</v>
      </c>
      <c r="C250" s="17" t="s">
        <v>10466</v>
      </c>
      <c r="D250" s="17" t="s">
        <v>10467</v>
      </c>
      <c r="E250" s="10">
        <v>10.0</v>
      </c>
      <c r="F250" s="7">
        <f t="shared" si="2"/>
        <v>90</v>
      </c>
      <c r="G250" s="17" t="s">
        <v>3113</v>
      </c>
      <c r="H250" s="2"/>
      <c r="I250" s="2"/>
      <c r="J250" s="2"/>
      <c r="K250" s="2"/>
      <c r="L250" s="2"/>
      <c r="M250" s="2"/>
      <c r="N250" s="2"/>
      <c r="O250" s="2"/>
      <c r="P250" s="2"/>
      <c r="Q250" s="2"/>
      <c r="R250" s="2"/>
      <c r="S250" s="2"/>
      <c r="T250" s="2"/>
      <c r="U250" s="2"/>
      <c r="V250" s="2"/>
      <c r="W250" s="2"/>
      <c r="X250" s="2"/>
      <c r="Y250" s="2"/>
      <c r="Z250" s="2"/>
      <c r="AA250" s="2"/>
    </row>
    <row r="251">
      <c r="A251" s="11">
        <v>235.0</v>
      </c>
      <c r="B251" s="17" t="s">
        <v>10468</v>
      </c>
      <c r="C251" s="17" t="s">
        <v>10469</v>
      </c>
      <c r="D251" s="17" t="s">
        <v>10470</v>
      </c>
      <c r="E251" s="10">
        <v>10.0</v>
      </c>
      <c r="F251" s="7">
        <f t="shared" si="2"/>
        <v>90</v>
      </c>
      <c r="G251" s="17" t="s">
        <v>3113</v>
      </c>
      <c r="H251" s="2"/>
      <c r="I251" s="2"/>
      <c r="J251" s="2"/>
      <c r="K251" s="2"/>
      <c r="L251" s="2"/>
      <c r="M251" s="2"/>
      <c r="N251" s="2"/>
      <c r="O251" s="2"/>
      <c r="P251" s="2"/>
      <c r="Q251" s="2"/>
      <c r="R251" s="2"/>
      <c r="S251" s="2"/>
      <c r="T251" s="2"/>
      <c r="U251" s="2"/>
      <c r="V251" s="2"/>
      <c r="W251" s="2"/>
      <c r="X251" s="2"/>
      <c r="Y251" s="2"/>
      <c r="Z251" s="2"/>
      <c r="AA251" s="2"/>
    </row>
    <row r="252">
      <c r="A252" s="11">
        <v>236.0</v>
      </c>
      <c r="B252" s="17" t="s">
        <v>10471</v>
      </c>
      <c r="C252" s="17" t="s">
        <v>10472</v>
      </c>
      <c r="D252" s="17" t="s">
        <v>10473</v>
      </c>
      <c r="E252" s="10">
        <v>10.0</v>
      </c>
      <c r="F252" s="7">
        <f t="shared" si="2"/>
        <v>90</v>
      </c>
      <c r="G252" s="17" t="s">
        <v>3113</v>
      </c>
      <c r="H252" s="2"/>
      <c r="I252" s="2"/>
      <c r="J252" s="2"/>
      <c r="K252" s="2"/>
      <c r="L252" s="2"/>
      <c r="M252" s="2"/>
      <c r="N252" s="2"/>
      <c r="O252" s="2"/>
      <c r="P252" s="2"/>
      <c r="Q252" s="2"/>
      <c r="R252" s="2"/>
      <c r="S252" s="2"/>
      <c r="T252" s="2"/>
      <c r="U252" s="2"/>
      <c r="V252" s="2"/>
      <c r="W252" s="2"/>
      <c r="X252" s="2"/>
      <c r="Y252" s="2"/>
      <c r="Z252" s="2"/>
      <c r="AA252" s="2"/>
    </row>
    <row r="253">
      <c r="A253" s="11">
        <v>237.0</v>
      </c>
      <c r="B253" s="17" t="s">
        <v>10474</v>
      </c>
      <c r="C253" s="17" t="s">
        <v>10475</v>
      </c>
      <c r="D253" s="17" t="s">
        <v>10476</v>
      </c>
      <c r="E253" s="10">
        <v>10.0</v>
      </c>
      <c r="F253" s="7">
        <f t="shared" si="2"/>
        <v>90</v>
      </c>
      <c r="G253" s="17" t="s">
        <v>3113</v>
      </c>
      <c r="H253" s="2"/>
      <c r="I253" s="2"/>
      <c r="J253" s="2"/>
      <c r="K253" s="2"/>
      <c r="L253" s="2"/>
      <c r="M253" s="2"/>
      <c r="N253" s="2"/>
      <c r="O253" s="2"/>
      <c r="P253" s="2"/>
      <c r="Q253" s="2"/>
      <c r="R253" s="2"/>
      <c r="S253" s="2"/>
      <c r="T253" s="2"/>
      <c r="U253" s="2"/>
      <c r="V253" s="2"/>
      <c r="W253" s="2"/>
      <c r="X253" s="2"/>
      <c r="Y253" s="2"/>
      <c r="Z253" s="2"/>
      <c r="AA253" s="2"/>
    </row>
    <row r="254">
      <c r="A254" s="11">
        <v>238.0</v>
      </c>
      <c r="B254" s="17" t="s">
        <v>10477</v>
      </c>
      <c r="C254" s="17" t="s">
        <v>10478</v>
      </c>
      <c r="D254" s="17" t="s">
        <v>10479</v>
      </c>
      <c r="E254" s="10">
        <v>10.0</v>
      </c>
      <c r="F254" s="7">
        <f t="shared" si="2"/>
        <v>90</v>
      </c>
      <c r="G254" s="17" t="s">
        <v>3113</v>
      </c>
      <c r="H254" s="2"/>
      <c r="I254" s="2"/>
      <c r="J254" s="2"/>
      <c r="K254" s="2"/>
      <c r="L254" s="2"/>
      <c r="M254" s="2"/>
      <c r="N254" s="2"/>
      <c r="O254" s="2"/>
      <c r="P254" s="2"/>
      <c r="Q254" s="2"/>
      <c r="R254" s="2"/>
      <c r="S254" s="2"/>
      <c r="T254" s="2"/>
      <c r="U254" s="2"/>
      <c r="V254" s="2"/>
      <c r="W254" s="2"/>
      <c r="X254" s="2"/>
      <c r="Y254" s="2"/>
      <c r="Z254" s="2"/>
      <c r="AA254" s="2"/>
    </row>
    <row r="255">
      <c r="A255" s="11">
        <v>239.0</v>
      </c>
      <c r="B255" s="17" t="s">
        <v>10480</v>
      </c>
      <c r="C255" s="17" t="s">
        <v>10481</v>
      </c>
      <c r="D255" s="17" t="s">
        <v>10482</v>
      </c>
      <c r="E255" s="10">
        <v>10.0</v>
      </c>
      <c r="F255" s="7">
        <f t="shared" si="2"/>
        <v>90</v>
      </c>
      <c r="G255" s="17" t="s">
        <v>3113</v>
      </c>
      <c r="H255" s="2"/>
      <c r="I255" s="2"/>
      <c r="J255" s="2"/>
      <c r="K255" s="2"/>
      <c r="L255" s="2"/>
      <c r="M255" s="2"/>
      <c r="N255" s="2"/>
      <c r="O255" s="2"/>
      <c r="P255" s="2"/>
      <c r="Q255" s="2"/>
      <c r="R255" s="2"/>
      <c r="S255" s="2"/>
      <c r="T255" s="2"/>
      <c r="U255" s="2"/>
      <c r="V255" s="2"/>
      <c r="W255" s="2"/>
      <c r="X255" s="2"/>
      <c r="Y255" s="2"/>
      <c r="Z255" s="2"/>
      <c r="AA255" s="2"/>
    </row>
    <row r="256">
      <c r="A256" s="11">
        <v>240.0</v>
      </c>
      <c r="B256" s="17" t="s">
        <v>10483</v>
      </c>
      <c r="C256" s="17" t="s">
        <v>10484</v>
      </c>
      <c r="D256" s="17" t="s">
        <v>10485</v>
      </c>
      <c r="E256" s="10">
        <v>10.0</v>
      </c>
      <c r="F256" s="7">
        <f t="shared" si="2"/>
        <v>90</v>
      </c>
      <c r="G256" s="17" t="s">
        <v>3113</v>
      </c>
      <c r="H256" s="2"/>
      <c r="I256" s="2"/>
      <c r="J256" s="2"/>
      <c r="K256" s="2"/>
      <c r="L256" s="2"/>
      <c r="M256" s="2"/>
      <c r="N256" s="2"/>
      <c r="O256" s="2"/>
      <c r="P256" s="2"/>
      <c r="Q256" s="2"/>
      <c r="R256" s="2"/>
      <c r="S256" s="2"/>
      <c r="T256" s="2"/>
      <c r="U256" s="2"/>
      <c r="V256" s="2"/>
      <c r="W256" s="2"/>
      <c r="X256" s="2"/>
      <c r="Y256" s="2"/>
      <c r="Z256" s="2"/>
      <c r="AA256" s="2"/>
    </row>
    <row r="257">
      <c r="A257" s="11">
        <v>241.0</v>
      </c>
      <c r="B257" s="17" t="s">
        <v>10486</v>
      </c>
      <c r="C257" s="17" t="s">
        <v>10487</v>
      </c>
      <c r="D257" s="17" t="s">
        <v>10488</v>
      </c>
      <c r="E257" s="10">
        <v>10.0</v>
      </c>
      <c r="F257" s="7">
        <f t="shared" si="2"/>
        <v>90</v>
      </c>
      <c r="G257" s="17" t="s">
        <v>3113</v>
      </c>
      <c r="H257" s="2"/>
      <c r="I257" s="2"/>
      <c r="J257" s="2"/>
      <c r="K257" s="2"/>
      <c r="L257" s="2"/>
      <c r="M257" s="2"/>
      <c r="N257" s="2"/>
      <c r="O257" s="2"/>
      <c r="P257" s="2"/>
      <c r="Q257" s="2"/>
      <c r="R257" s="2"/>
      <c r="S257" s="2"/>
      <c r="T257" s="2"/>
      <c r="U257" s="2"/>
      <c r="V257" s="2"/>
      <c r="W257" s="2"/>
      <c r="X257" s="2"/>
      <c r="Y257" s="2"/>
      <c r="Z257" s="2"/>
      <c r="AA257" s="2"/>
    </row>
    <row r="258">
      <c r="A258" s="11">
        <v>242.0</v>
      </c>
      <c r="B258" s="17" t="s">
        <v>10489</v>
      </c>
      <c r="C258" s="17" t="s">
        <v>10490</v>
      </c>
      <c r="D258" s="17" t="s">
        <v>10491</v>
      </c>
      <c r="E258" s="10">
        <v>10.0</v>
      </c>
      <c r="F258" s="7">
        <f t="shared" si="2"/>
        <v>90</v>
      </c>
      <c r="G258" s="17" t="s">
        <v>3113</v>
      </c>
      <c r="H258" s="2"/>
      <c r="I258" s="2"/>
      <c r="J258" s="2"/>
      <c r="K258" s="2"/>
      <c r="L258" s="2"/>
      <c r="M258" s="2"/>
      <c r="N258" s="2"/>
      <c r="O258" s="2"/>
      <c r="P258" s="2"/>
      <c r="Q258" s="2"/>
      <c r="R258" s="2"/>
      <c r="S258" s="2"/>
      <c r="T258" s="2"/>
      <c r="U258" s="2"/>
      <c r="V258" s="2"/>
      <c r="W258" s="2"/>
      <c r="X258" s="2"/>
      <c r="Y258" s="2"/>
      <c r="Z258" s="2"/>
      <c r="AA258" s="2"/>
    </row>
    <row r="259">
      <c r="A259" s="11">
        <v>243.0</v>
      </c>
      <c r="B259" s="17" t="s">
        <v>10492</v>
      </c>
      <c r="C259" s="17" t="s">
        <v>10493</v>
      </c>
      <c r="D259" s="17" t="s">
        <v>10494</v>
      </c>
      <c r="E259" s="10">
        <v>10.0</v>
      </c>
      <c r="F259" s="7">
        <f t="shared" si="2"/>
        <v>90</v>
      </c>
      <c r="G259" s="17" t="s">
        <v>3113</v>
      </c>
      <c r="H259" s="2"/>
      <c r="I259" s="2"/>
      <c r="J259" s="2"/>
      <c r="K259" s="2"/>
      <c r="L259" s="2"/>
      <c r="M259" s="2"/>
      <c r="N259" s="2"/>
      <c r="O259" s="2"/>
      <c r="P259" s="2"/>
      <c r="Q259" s="2"/>
      <c r="R259" s="2"/>
      <c r="S259" s="2"/>
      <c r="T259" s="2"/>
      <c r="U259" s="2"/>
      <c r="V259" s="2"/>
      <c r="W259" s="2"/>
      <c r="X259" s="2"/>
      <c r="Y259" s="2"/>
      <c r="Z259" s="2"/>
      <c r="AA259" s="2"/>
    </row>
    <row r="260">
      <c r="A260" s="11">
        <v>244.0</v>
      </c>
      <c r="B260" s="17" t="s">
        <v>10495</v>
      </c>
      <c r="C260" s="17" t="s">
        <v>10496</v>
      </c>
      <c r="D260" s="17" t="s">
        <v>10497</v>
      </c>
      <c r="E260" s="10">
        <v>10.0</v>
      </c>
      <c r="F260" s="7">
        <f t="shared" si="2"/>
        <v>90</v>
      </c>
      <c r="G260" s="17" t="s">
        <v>3113</v>
      </c>
      <c r="H260" s="2"/>
      <c r="I260" s="2"/>
      <c r="J260" s="2"/>
      <c r="K260" s="2"/>
      <c r="L260" s="2"/>
      <c r="M260" s="2"/>
      <c r="N260" s="2"/>
      <c r="O260" s="2"/>
      <c r="P260" s="2"/>
      <c r="Q260" s="2"/>
      <c r="R260" s="2"/>
      <c r="S260" s="2"/>
      <c r="T260" s="2"/>
      <c r="U260" s="2"/>
      <c r="V260" s="2"/>
      <c r="W260" s="2"/>
      <c r="X260" s="2"/>
      <c r="Y260" s="2"/>
      <c r="Z260" s="2"/>
      <c r="AA260" s="2"/>
    </row>
    <row r="261">
      <c r="A261" s="11">
        <v>245.0</v>
      </c>
      <c r="B261" s="17" t="s">
        <v>10498</v>
      </c>
      <c r="C261" s="17" t="s">
        <v>10499</v>
      </c>
      <c r="D261" s="17" t="s">
        <v>10500</v>
      </c>
      <c r="E261" s="10">
        <v>10.0</v>
      </c>
      <c r="F261" s="7">
        <f t="shared" si="2"/>
        <v>90</v>
      </c>
      <c r="G261" s="17" t="s">
        <v>3113</v>
      </c>
      <c r="H261" s="2"/>
      <c r="I261" s="2"/>
      <c r="J261" s="2"/>
      <c r="K261" s="2"/>
      <c r="L261" s="2"/>
      <c r="M261" s="2"/>
      <c r="N261" s="2"/>
      <c r="O261" s="2"/>
      <c r="P261" s="2"/>
      <c r="Q261" s="2"/>
      <c r="R261" s="2"/>
      <c r="S261" s="2"/>
      <c r="T261" s="2"/>
      <c r="U261" s="2"/>
      <c r="V261" s="2"/>
      <c r="W261" s="2"/>
      <c r="X261" s="2"/>
      <c r="Y261" s="2"/>
      <c r="Z261" s="2"/>
      <c r="AA261" s="2"/>
    </row>
    <row r="262">
      <c r="A262" s="11">
        <v>246.0</v>
      </c>
      <c r="B262" s="17" t="s">
        <v>10501</v>
      </c>
      <c r="C262" s="17" t="s">
        <v>10502</v>
      </c>
      <c r="D262" s="17" t="s">
        <v>10503</v>
      </c>
      <c r="E262" s="10">
        <v>10.0</v>
      </c>
      <c r="F262" s="7">
        <f t="shared" si="2"/>
        <v>90</v>
      </c>
      <c r="G262" s="17" t="s">
        <v>3113</v>
      </c>
      <c r="H262" s="2"/>
      <c r="I262" s="2"/>
      <c r="J262" s="2"/>
      <c r="K262" s="2"/>
      <c r="L262" s="2"/>
      <c r="M262" s="2"/>
      <c r="N262" s="2"/>
      <c r="O262" s="2"/>
      <c r="P262" s="2"/>
      <c r="Q262" s="2"/>
      <c r="R262" s="2"/>
      <c r="S262" s="2"/>
      <c r="T262" s="2"/>
      <c r="U262" s="2"/>
      <c r="V262" s="2"/>
      <c r="W262" s="2"/>
      <c r="X262" s="2"/>
      <c r="Y262" s="2"/>
      <c r="Z262" s="2"/>
      <c r="AA262" s="2"/>
    </row>
    <row r="263">
      <c r="A263" s="11">
        <v>247.0</v>
      </c>
      <c r="B263" s="17" t="s">
        <v>10501</v>
      </c>
      <c r="C263" s="17" t="s">
        <v>10504</v>
      </c>
      <c r="D263" s="17" t="s">
        <v>10505</v>
      </c>
      <c r="E263" s="10">
        <v>10.0</v>
      </c>
      <c r="F263" s="7">
        <f t="shared" si="2"/>
        <v>90</v>
      </c>
      <c r="G263" s="17" t="s">
        <v>3113</v>
      </c>
      <c r="H263" s="2"/>
      <c r="I263" s="2"/>
      <c r="J263" s="2"/>
      <c r="K263" s="2"/>
      <c r="L263" s="2"/>
      <c r="M263" s="2"/>
      <c r="N263" s="2"/>
      <c r="O263" s="2"/>
      <c r="P263" s="2"/>
      <c r="Q263" s="2"/>
      <c r="R263" s="2"/>
      <c r="S263" s="2"/>
      <c r="T263" s="2"/>
      <c r="U263" s="2"/>
      <c r="V263" s="2"/>
      <c r="W263" s="2"/>
      <c r="X263" s="2"/>
      <c r="Y263" s="2"/>
      <c r="Z263" s="2"/>
      <c r="AA263" s="2"/>
    </row>
    <row r="264">
      <c r="A264" s="11">
        <v>248.0</v>
      </c>
      <c r="B264" s="17" t="s">
        <v>10506</v>
      </c>
      <c r="C264" s="17" t="s">
        <v>10507</v>
      </c>
      <c r="D264" s="17" t="s">
        <v>10508</v>
      </c>
      <c r="E264" s="10">
        <v>10.0</v>
      </c>
      <c r="F264" s="7">
        <f t="shared" si="2"/>
        <v>90</v>
      </c>
      <c r="G264" s="17" t="s">
        <v>3113</v>
      </c>
      <c r="H264" s="2"/>
      <c r="I264" s="2"/>
      <c r="J264" s="2"/>
      <c r="K264" s="2"/>
      <c r="L264" s="2"/>
      <c r="M264" s="2"/>
      <c r="N264" s="2"/>
      <c r="O264" s="2"/>
      <c r="P264" s="2"/>
      <c r="Q264" s="2"/>
      <c r="R264" s="2"/>
      <c r="S264" s="2"/>
      <c r="T264" s="2"/>
      <c r="U264" s="2"/>
      <c r="V264" s="2"/>
      <c r="W264" s="2"/>
      <c r="X264" s="2"/>
      <c r="Y264" s="2"/>
      <c r="Z264" s="2"/>
      <c r="AA264" s="2"/>
    </row>
    <row r="265">
      <c r="A265" s="11">
        <v>249.0</v>
      </c>
      <c r="B265" s="17" t="s">
        <v>10509</v>
      </c>
      <c r="C265" s="17" t="s">
        <v>10510</v>
      </c>
      <c r="D265" s="17" t="s">
        <v>10511</v>
      </c>
      <c r="E265" s="10">
        <v>10.0</v>
      </c>
      <c r="F265" s="7">
        <f t="shared" si="2"/>
        <v>90</v>
      </c>
      <c r="G265" s="17" t="s">
        <v>3113</v>
      </c>
      <c r="H265" s="2"/>
      <c r="I265" s="2"/>
      <c r="J265" s="2"/>
      <c r="K265" s="2"/>
      <c r="L265" s="2"/>
      <c r="M265" s="2"/>
      <c r="N265" s="2"/>
      <c r="O265" s="2"/>
      <c r="P265" s="2"/>
      <c r="Q265" s="2"/>
      <c r="R265" s="2"/>
      <c r="S265" s="2"/>
      <c r="T265" s="2"/>
      <c r="U265" s="2"/>
      <c r="V265" s="2"/>
      <c r="W265" s="2"/>
      <c r="X265" s="2"/>
      <c r="Y265" s="2"/>
      <c r="Z265" s="2"/>
      <c r="AA265" s="2"/>
    </row>
    <row r="266">
      <c r="A266" s="11">
        <v>250.0</v>
      </c>
      <c r="B266" s="17" t="s">
        <v>10512</v>
      </c>
      <c r="C266" s="17" t="s">
        <v>10513</v>
      </c>
      <c r="D266" s="17" t="s">
        <v>10514</v>
      </c>
      <c r="E266" s="10">
        <v>10.0</v>
      </c>
      <c r="F266" s="7">
        <f t="shared" si="2"/>
        <v>90</v>
      </c>
      <c r="G266" s="17" t="s">
        <v>3113</v>
      </c>
      <c r="H266" s="2"/>
      <c r="I266" s="2"/>
      <c r="J266" s="2"/>
      <c r="K266" s="2"/>
      <c r="L266" s="2"/>
      <c r="M266" s="2"/>
      <c r="N266" s="2"/>
      <c r="O266" s="2"/>
      <c r="P266" s="2"/>
      <c r="Q266" s="2"/>
      <c r="R266" s="2"/>
      <c r="S266" s="2"/>
      <c r="T266" s="2"/>
      <c r="U266" s="2"/>
      <c r="V266" s="2"/>
      <c r="W266" s="2"/>
      <c r="X266" s="2"/>
      <c r="Y266" s="2"/>
      <c r="Z266" s="2"/>
      <c r="AA266" s="2"/>
    </row>
    <row r="267">
      <c r="A267" s="11">
        <v>251.0</v>
      </c>
      <c r="B267" s="17" t="s">
        <v>10515</v>
      </c>
      <c r="C267" s="17" t="s">
        <v>10516</v>
      </c>
      <c r="D267" s="17" t="s">
        <v>10517</v>
      </c>
      <c r="E267" s="10">
        <v>10.0</v>
      </c>
      <c r="F267" s="7">
        <f t="shared" si="2"/>
        <v>90</v>
      </c>
      <c r="G267" s="17" t="s">
        <v>3113</v>
      </c>
      <c r="H267" s="2"/>
      <c r="I267" s="2"/>
      <c r="J267" s="2"/>
      <c r="K267" s="2"/>
      <c r="L267" s="2"/>
      <c r="M267" s="2"/>
      <c r="N267" s="2"/>
      <c r="O267" s="2"/>
      <c r="P267" s="2"/>
      <c r="Q267" s="2"/>
      <c r="R267" s="2"/>
      <c r="S267" s="2"/>
      <c r="T267" s="2"/>
      <c r="U267" s="2"/>
      <c r="V267" s="2"/>
      <c r="W267" s="2"/>
      <c r="X267" s="2"/>
      <c r="Y267" s="2"/>
      <c r="Z267" s="2"/>
      <c r="AA267" s="2"/>
    </row>
    <row r="268">
      <c r="A268" s="11">
        <v>252.0</v>
      </c>
      <c r="B268" s="17" t="s">
        <v>10518</v>
      </c>
      <c r="C268" s="17" t="s">
        <v>10519</v>
      </c>
      <c r="D268" s="17" t="s">
        <v>10520</v>
      </c>
      <c r="E268" s="10">
        <v>10.0</v>
      </c>
      <c r="F268" s="7">
        <f t="shared" si="2"/>
        <v>90</v>
      </c>
      <c r="G268" s="17" t="s">
        <v>3113</v>
      </c>
      <c r="H268" s="2"/>
      <c r="I268" s="2"/>
      <c r="J268" s="2"/>
      <c r="K268" s="2"/>
      <c r="L268" s="2"/>
      <c r="M268" s="2"/>
      <c r="N268" s="2"/>
      <c r="O268" s="2"/>
      <c r="P268" s="2"/>
      <c r="Q268" s="2"/>
      <c r="R268" s="2"/>
      <c r="S268" s="2"/>
      <c r="T268" s="2"/>
      <c r="U268" s="2"/>
      <c r="V268" s="2"/>
      <c r="W268" s="2"/>
      <c r="X268" s="2"/>
      <c r="Y268" s="2"/>
      <c r="Z268" s="2"/>
      <c r="AA268" s="2"/>
    </row>
    <row r="269">
      <c r="A269" s="11">
        <v>253.0</v>
      </c>
      <c r="B269" s="17" t="s">
        <v>10521</v>
      </c>
      <c r="C269" s="17" t="s">
        <v>10522</v>
      </c>
      <c r="D269" s="17" t="s">
        <v>10523</v>
      </c>
      <c r="E269" s="10">
        <v>10.0</v>
      </c>
      <c r="F269" s="7">
        <f t="shared" si="2"/>
        <v>90</v>
      </c>
      <c r="G269" s="17" t="s">
        <v>3113</v>
      </c>
      <c r="H269" s="2"/>
      <c r="I269" s="2"/>
      <c r="J269" s="2"/>
      <c r="K269" s="2"/>
      <c r="L269" s="2"/>
      <c r="M269" s="2"/>
      <c r="N269" s="2"/>
      <c r="O269" s="2"/>
      <c r="P269" s="2"/>
      <c r="Q269" s="2"/>
      <c r="R269" s="2"/>
      <c r="S269" s="2"/>
      <c r="T269" s="2"/>
      <c r="U269" s="2"/>
      <c r="V269" s="2"/>
      <c r="W269" s="2"/>
      <c r="X269" s="2"/>
      <c r="Y269" s="2"/>
      <c r="Z269" s="2"/>
      <c r="AA269" s="2"/>
    </row>
    <row r="270">
      <c r="A270" s="11">
        <v>254.0</v>
      </c>
      <c r="B270" s="17" t="s">
        <v>10524</v>
      </c>
      <c r="C270" s="17" t="s">
        <v>10525</v>
      </c>
      <c r="D270" s="17" t="s">
        <v>10526</v>
      </c>
      <c r="E270" s="10">
        <v>10.0</v>
      </c>
      <c r="F270" s="7">
        <f t="shared" si="2"/>
        <v>90</v>
      </c>
      <c r="G270" s="17" t="s">
        <v>3113</v>
      </c>
      <c r="H270" s="2"/>
      <c r="I270" s="2"/>
      <c r="J270" s="2"/>
      <c r="K270" s="2"/>
      <c r="L270" s="2"/>
      <c r="M270" s="2"/>
      <c r="N270" s="2"/>
      <c r="O270" s="2"/>
      <c r="P270" s="2"/>
      <c r="Q270" s="2"/>
      <c r="R270" s="2"/>
      <c r="S270" s="2"/>
      <c r="T270" s="2"/>
      <c r="U270" s="2"/>
      <c r="V270" s="2"/>
      <c r="W270" s="2"/>
      <c r="X270" s="2"/>
      <c r="Y270" s="2"/>
      <c r="Z270" s="2"/>
      <c r="AA270" s="2"/>
    </row>
    <row r="271">
      <c r="A271" s="11">
        <v>255.0</v>
      </c>
      <c r="B271" s="17" t="s">
        <v>10527</v>
      </c>
      <c r="C271" s="17" t="s">
        <v>10528</v>
      </c>
      <c r="D271" s="17" t="s">
        <v>10529</v>
      </c>
      <c r="E271" s="10">
        <v>10.0</v>
      </c>
      <c r="F271" s="7">
        <f t="shared" si="2"/>
        <v>90</v>
      </c>
      <c r="G271" s="17" t="s">
        <v>3113</v>
      </c>
      <c r="H271" s="2"/>
      <c r="I271" s="2"/>
      <c r="J271" s="2"/>
      <c r="K271" s="2"/>
      <c r="L271" s="2"/>
      <c r="M271" s="2"/>
      <c r="N271" s="2"/>
      <c r="O271" s="2"/>
      <c r="P271" s="2"/>
      <c r="Q271" s="2"/>
      <c r="R271" s="2"/>
      <c r="S271" s="2"/>
      <c r="T271" s="2"/>
      <c r="U271" s="2"/>
      <c r="V271" s="2"/>
      <c r="W271" s="2"/>
      <c r="X271" s="2"/>
      <c r="Y271" s="2"/>
      <c r="Z271" s="2"/>
      <c r="AA271" s="2"/>
    </row>
    <row r="272">
      <c r="A272" s="11">
        <v>256.0</v>
      </c>
      <c r="B272" s="17" t="s">
        <v>10530</v>
      </c>
      <c r="C272" s="17" t="s">
        <v>10531</v>
      </c>
      <c r="D272" s="17" t="s">
        <v>10532</v>
      </c>
      <c r="E272" s="10">
        <v>10.0</v>
      </c>
      <c r="F272" s="7">
        <f t="shared" si="2"/>
        <v>90</v>
      </c>
      <c r="G272" s="17" t="s">
        <v>3113</v>
      </c>
      <c r="H272" s="2"/>
      <c r="I272" s="2"/>
      <c r="J272" s="2"/>
      <c r="K272" s="2"/>
      <c r="L272" s="2"/>
      <c r="M272" s="2"/>
      <c r="N272" s="2"/>
      <c r="O272" s="2"/>
      <c r="P272" s="2"/>
      <c r="Q272" s="2"/>
      <c r="R272" s="2"/>
      <c r="S272" s="2"/>
      <c r="T272" s="2"/>
      <c r="U272" s="2"/>
      <c r="V272" s="2"/>
      <c r="W272" s="2"/>
      <c r="X272" s="2"/>
      <c r="Y272" s="2"/>
      <c r="Z272" s="2"/>
      <c r="AA272" s="2"/>
    </row>
    <row r="273">
      <c r="A273" s="11">
        <v>257.0</v>
      </c>
      <c r="B273" s="17" t="s">
        <v>10533</v>
      </c>
      <c r="C273" s="17" t="s">
        <v>10534</v>
      </c>
      <c r="D273" s="17" t="s">
        <v>10535</v>
      </c>
      <c r="E273" s="10">
        <v>10.0</v>
      </c>
      <c r="F273" s="7">
        <f t="shared" si="2"/>
        <v>90</v>
      </c>
      <c r="G273" s="17" t="s">
        <v>3113</v>
      </c>
      <c r="H273" s="2"/>
      <c r="I273" s="2"/>
      <c r="J273" s="2"/>
      <c r="K273" s="2"/>
      <c r="L273" s="2"/>
      <c r="M273" s="2"/>
      <c r="N273" s="2"/>
      <c r="O273" s="2"/>
      <c r="P273" s="2"/>
      <c r="Q273" s="2"/>
      <c r="R273" s="2"/>
      <c r="S273" s="2"/>
      <c r="T273" s="2"/>
      <c r="U273" s="2"/>
      <c r="V273" s="2"/>
      <c r="W273" s="2"/>
      <c r="X273" s="2"/>
      <c r="Y273" s="2"/>
      <c r="Z273" s="2"/>
      <c r="AA273" s="2"/>
    </row>
    <row r="274">
      <c r="A274" s="11">
        <v>258.0</v>
      </c>
      <c r="B274" s="17" t="s">
        <v>10536</v>
      </c>
      <c r="C274" s="17" t="s">
        <v>10537</v>
      </c>
      <c r="D274" s="17" t="s">
        <v>10538</v>
      </c>
      <c r="E274" s="10">
        <v>10.0</v>
      </c>
      <c r="F274" s="7">
        <f t="shared" si="2"/>
        <v>90</v>
      </c>
      <c r="G274" s="17" t="s">
        <v>3113</v>
      </c>
      <c r="H274" s="2"/>
      <c r="I274" s="2"/>
      <c r="J274" s="2"/>
      <c r="K274" s="2"/>
      <c r="L274" s="2"/>
      <c r="M274" s="2"/>
      <c r="N274" s="2"/>
      <c r="O274" s="2"/>
      <c r="P274" s="2"/>
      <c r="Q274" s="2"/>
      <c r="R274" s="2"/>
      <c r="S274" s="2"/>
      <c r="T274" s="2"/>
      <c r="U274" s="2"/>
      <c r="V274" s="2"/>
      <c r="W274" s="2"/>
      <c r="X274" s="2"/>
      <c r="Y274" s="2"/>
      <c r="Z274" s="2"/>
      <c r="AA274" s="2"/>
    </row>
    <row r="275">
      <c r="A275" s="11">
        <v>259.0</v>
      </c>
      <c r="B275" s="17" t="s">
        <v>10539</v>
      </c>
      <c r="C275" s="17" t="s">
        <v>10540</v>
      </c>
      <c r="D275" s="17" t="s">
        <v>10541</v>
      </c>
      <c r="E275" s="10">
        <v>10.0</v>
      </c>
      <c r="F275" s="7">
        <f t="shared" si="2"/>
        <v>90</v>
      </c>
      <c r="G275" s="17" t="s">
        <v>3113</v>
      </c>
      <c r="H275" s="2"/>
      <c r="I275" s="2"/>
      <c r="J275" s="2"/>
      <c r="K275" s="2"/>
      <c r="L275" s="2"/>
      <c r="M275" s="2"/>
      <c r="N275" s="2"/>
      <c r="O275" s="2"/>
      <c r="P275" s="2"/>
      <c r="Q275" s="2"/>
      <c r="R275" s="2"/>
      <c r="S275" s="2"/>
      <c r="T275" s="2"/>
      <c r="U275" s="2"/>
      <c r="V275" s="2"/>
      <c r="W275" s="2"/>
      <c r="X275" s="2"/>
      <c r="Y275" s="2"/>
      <c r="Z275" s="2"/>
      <c r="AA275" s="2"/>
    </row>
    <row r="276">
      <c r="A276" s="11">
        <v>260.0</v>
      </c>
      <c r="B276" s="17" t="s">
        <v>10542</v>
      </c>
      <c r="C276" s="17" t="s">
        <v>10543</v>
      </c>
      <c r="D276" s="17" t="s">
        <v>10544</v>
      </c>
      <c r="E276" s="10">
        <v>10.0</v>
      </c>
      <c r="F276" s="7">
        <f t="shared" si="2"/>
        <v>90</v>
      </c>
      <c r="G276" s="17" t="s">
        <v>3113</v>
      </c>
      <c r="H276" s="2"/>
      <c r="I276" s="2"/>
      <c r="J276" s="2"/>
      <c r="K276" s="2"/>
      <c r="L276" s="2"/>
      <c r="M276" s="2"/>
      <c r="N276" s="2"/>
      <c r="O276" s="2"/>
      <c r="P276" s="2"/>
      <c r="Q276" s="2"/>
      <c r="R276" s="2"/>
      <c r="S276" s="2"/>
      <c r="T276" s="2"/>
      <c r="U276" s="2"/>
      <c r="V276" s="2"/>
      <c r="W276" s="2"/>
      <c r="X276" s="2"/>
      <c r="Y276" s="2"/>
      <c r="Z276" s="2"/>
      <c r="AA276" s="2"/>
    </row>
    <row r="277">
      <c r="A277" s="11">
        <v>261.0</v>
      </c>
      <c r="B277" s="17" t="s">
        <v>10545</v>
      </c>
      <c r="C277" s="17" t="s">
        <v>10546</v>
      </c>
      <c r="D277" s="17" t="s">
        <v>10547</v>
      </c>
      <c r="E277" s="10">
        <v>10.0</v>
      </c>
      <c r="F277" s="7">
        <f t="shared" si="2"/>
        <v>90</v>
      </c>
      <c r="G277" s="17" t="s">
        <v>3113</v>
      </c>
      <c r="H277" s="2"/>
      <c r="I277" s="2"/>
      <c r="J277" s="2"/>
      <c r="K277" s="2"/>
      <c r="L277" s="2"/>
      <c r="M277" s="2"/>
      <c r="N277" s="2"/>
      <c r="O277" s="2"/>
      <c r="P277" s="2"/>
      <c r="Q277" s="2"/>
      <c r="R277" s="2"/>
      <c r="S277" s="2"/>
      <c r="T277" s="2"/>
      <c r="U277" s="2"/>
      <c r="V277" s="2"/>
      <c r="W277" s="2"/>
      <c r="X277" s="2"/>
      <c r="Y277" s="2"/>
      <c r="Z277" s="2"/>
      <c r="AA277" s="2"/>
    </row>
    <row r="278">
      <c r="A278" s="11">
        <v>262.0</v>
      </c>
      <c r="B278" s="17" t="s">
        <v>10548</v>
      </c>
      <c r="C278" s="17" t="s">
        <v>10549</v>
      </c>
      <c r="D278" s="17" t="s">
        <v>10550</v>
      </c>
      <c r="E278" s="10">
        <v>10.0</v>
      </c>
      <c r="F278" s="7">
        <f t="shared" si="2"/>
        <v>90</v>
      </c>
      <c r="G278" s="17" t="s">
        <v>3113</v>
      </c>
      <c r="H278" s="2"/>
      <c r="I278" s="2"/>
      <c r="J278" s="2"/>
      <c r="K278" s="2"/>
      <c r="L278" s="2"/>
      <c r="M278" s="2"/>
      <c r="N278" s="2"/>
      <c r="O278" s="2"/>
      <c r="P278" s="2"/>
      <c r="Q278" s="2"/>
      <c r="R278" s="2"/>
      <c r="S278" s="2"/>
      <c r="T278" s="2"/>
      <c r="U278" s="2"/>
      <c r="V278" s="2"/>
      <c r="W278" s="2"/>
      <c r="X278" s="2"/>
      <c r="Y278" s="2"/>
      <c r="Z278" s="2"/>
      <c r="AA278" s="2"/>
    </row>
    <row r="279">
      <c r="A279" s="11">
        <v>263.0</v>
      </c>
      <c r="B279" s="17" t="s">
        <v>10551</v>
      </c>
      <c r="C279" s="17" t="s">
        <v>10552</v>
      </c>
      <c r="D279" s="17" t="s">
        <v>10553</v>
      </c>
      <c r="E279" s="10">
        <v>10.0</v>
      </c>
      <c r="F279" s="7">
        <f t="shared" si="2"/>
        <v>90</v>
      </c>
      <c r="G279" s="17" t="s">
        <v>3113</v>
      </c>
      <c r="H279" s="2"/>
      <c r="I279" s="2"/>
      <c r="J279" s="2"/>
      <c r="K279" s="2"/>
      <c r="L279" s="2"/>
      <c r="M279" s="2"/>
      <c r="N279" s="2"/>
      <c r="O279" s="2"/>
      <c r="P279" s="2"/>
      <c r="Q279" s="2"/>
      <c r="R279" s="2"/>
      <c r="S279" s="2"/>
      <c r="T279" s="2"/>
      <c r="U279" s="2"/>
      <c r="V279" s="2"/>
      <c r="W279" s="2"/>
      <c r="X279" s="2"/>
      <c r="Y279" s="2"/>
      <c r="Z279" s="2"/>
      <c r="AA279" s="2"/>
    </row>
    <row r="280">
      <c r="A280" s="11">
        <v>264.0</v>
      </c>
      <c r="B280" s="17" t="s">
        <v>10554</v>
      </c>
      <c r="C280" s="17" t="s">
        <v>10555</v>
      </c>
      <c r="D280" s="17" t="s">
        <v>10556</v>
      </c>
      <c r="E280" s="10">
        <v>10.0</v>
      </c>
      <c r="F280" s="7">
        <f t="shared" si="2"/>
        <v>90</v>
      </c>
      <c r="G280" s="17" t="s">
        <v>3113</v>
      </c>
      <c r="H280" s="2"/>
      <c r="I280" s="2"/>
      <c r="J280" s="2"/>
      <c r="K280" s="2"/>
      <c r="L280" s="2"/>
      <c r="M280" s="2"/>
      <c r="N280" s="2"/>
      <c r="O280" s="2"/>
      <c r="P280" s="2"/>
      <c r="Q280" s="2"/>
      <c r="R280" s="2"/>
      <c r="S280" s="2"/>
      <c r="T280" s="2"/>
      <c r="U280" s="2"/>
      <c r="V280" s="2"/>
      <c r="W280" s="2"/>
      <c r="X280" s="2"/>
      <c r="Y280" s="2"/>
      <c r="Z280" s="2"/>
      <c r="AA280" s="2"/>
    </row>
    <row r="281">
      <c r="A281" s="11">
        <v>265.0</v>
      </c>
      <c r="B281" s="17" t="s">
        <v>10557</v>
      </c>
      <c r="C281" s="17" t="s">
        <v>10558</v>
      </c>
      <c r="D281" s="17" t="s">
        <v>10559</v>
      </c>
      <c r="E281" s="10">
        <v>10.0</v>
      </c>
      <c r="F281" s="7">
        <f t="shared" si="2"/>
        <v>90</v>
      </c>
      <c r="G281" s="17" t="s">
        <v>3113</v>
      </c>
      <c r="H281" s="2"/>
      <c r="I281" s="2"/>
      <c r="J281" s="2"/>
      <c r="K281" s="2"/>
      <c r="L281" s="2"/>
      <c r="M281" s="2"/>
      <c r="N281" s="2"/>
      <c r="O281" s="2"/>
      <c r="P281" s="2"/>
      <c r="Q281" s="2"/>
      <c r="R281" s="2"/>
      <c r="S281" s="2"/>
      <c r="T281" s="2"/>
      <c r="U281" s="2"/>
      <c r="V281" s="2"/>
      <c r="W281" s="2"/>
      <c r="X281" s="2"/>
      <c r="Y281" s="2"/>
      <c r="Z281" s="2"/>
      <c r="AA281" s="2"/>
    </row>
    <row r="282">
      <c r="A282" s="11">
        <v>266.0</v>
      </c>
      <c r="B282" s="17" t="s">
        <v>10560</v>
      </c>
      <c r="C282" s="17" t="s">
        <v>10561</v>
      </c>
      <c r="D282" s="17" t="s">
        <v>10562</v>
      </c>
      <c r="E282" s="10">
        <v>10.0</v>
      </c>
      <c r="F282" s="7">
        <f t="shared" si="2"/>
        <v>90</v>
      </c>
      <c r="G282" s="17" t="s">
        <v>3113</v>
      </c>
      <c r="H282" s="2"/>
      <c r="I282" s="2"/>
      <c r="J282" s="2"/>
      <c r="K282" s="2"/>
      <c r="L282" s="2"/>
      <c r="M282" s="2"/>
      <c r="N282" s="2"/>
      <c r="O282" s="2"/>
      <c r="P282" s="2"/>
      <c r="Q282" s="2"/>
      <c r="R282" s="2"/>
      <c r="S282" s="2"/>
      <c r="T282" s="2"/>
      <c r="U282" s="2"/>
      <c r="V282" s="2"/>
      <c r="W282" s="2"/>
      <c r="X282" s="2"/>
      <c r="Y282" s="2"/>
      <c r="Z282" s="2"/>
      <c r="AA282" s="2"/>
    </row>
    <row r="283">
      <c r="A283" s="11">
        <v>267.0</v>
      </c>
      <c r="B283" s="17" t="s">
        <v>10563</v>
      </c>
      <c r="C283" s="17" t="s">
        <v>10564</v>
      </c>
      <c r="D283" s="17" t="s">
        <v>10565</v>
      </c>
      <c r="E283" s="10">
        <v>10.0</v>
      </c>
      <c r="F283" s="7">
        <f t="shared" si="2"/>
        <v>90</v>
      </c>
      <c r="G283" s="17" t="s">
        <v>3113</v>
      </c>
      <c r="H283" s="2"/>
      <c r="I283" s="2"/>
      <c r="J283" s="2"/>
      <c r="K283" s="2"/>
      <c r="L283" s="2"/>
      <c r="M283" s="2"/>
      <c r="N283" s="2"/>
      <c r="O283" s="2"/>
      <c r="P283" s="2"/>
      <c r="Q283" s="2"/>
      <c r="R283" s="2"/>
      <c r="S283" s="2"/>
      <c r="T283" s="2"/>
      <c r="U283" s="2"/>
      <c r="V283" s="2"/>
      <c r="W283" s="2"/>
      <c r="X283" s="2"/>
      <c r="Y283" s="2"/>
      <c r="Z283" s="2"/>
      <c r="AA283" s="2"/>
    </row>
    <row r="284">
      <c r="A284" s="11">
        <v>268.0</v>
      </c>
      <c r="B284" s="17" t="s">
        <v>10566</v>
      </c>
      <c r="C284" s="17" t="s">
        <v>10567</v>
      </c>
      <c r="D284" s="17" t="s">
        <v>10568</v>
      </c>
      <c r="E284" s="10">
        <v>10.0</v>
      </c>
      <c r="F284" s="7">
        <f t="shared" si="2"/>
        <v>90</v>
      </c>
      <c r="G284" s="17" t="s">
        <v>3113</v>
      </c>
      <c r="H284" s="2"/>
      <c r="I284" s="2"/>
      <c r="J284" s="2"/>
      <c r="K284" s="2"/>
      <c r="L284" s="2"/>
      <c r="M284" s="2"/>
      <c r="N284" s="2"/>
      <c r="O284" s="2"/>
      <c r="P284" s="2"/>
      <c r="Q284" s="2"/>
      <c r="R284" s="2"/>
      <c r="S284" s="2"/>
      <c r="T284" s="2"/>
      <c r="U284" s="2"/>
      <c r="V284" s="2"/>
      <c r="W284" s="2"/>
      <c r="X284" s="2"/>
      <c r="Y284" s="2"/>
      <c r="Z284" s="2"/>
      <c r="AA284" s="2"/>
    </row>
    <row r="285">
      <c r="A285" s="11">
        <v>269.0</v>
      </c>
      <c r="B285" s="17" t="s">
        <v>10569</v>
      </c>
      <c r="C285" s="17" t="s">
        <v>10570</v>
      </c>
      <c r="D285" s="17" t="s">
        <v>10571</v>
      </c>
      <c r="E285" s="10">
        <v>10.0</v>
      </c>
      <c r="F285" s="7">
        <f t="shared" si="2"/>
        <v>90</v>
      </c>
      <c r="G285" s="17" t="s">
        <v>3113</v>
      </c>
      <c r="H285" s="2"/>
      <c r="I285" s="2"/>
      <c r="J285" s="2"/>
      <c r="K285" s="2"/>
      <c r="L285" s="2"/>
      <c r="M285" s="2"/>
      <c r="N285" s="2"/>
      <c r="O285" s="2"/>
      <c r="P285" s="2"/>
      <c r="Q285" s="2"/>
      <c r="R285" s="2"/>
      <c r="S285" s="2"/>
      <c r="T285" s="2"/>
      <c r="U285" s="2"/>
      <c r="V285" s="2"/>
      <c r="W285" s="2"/>
      <c r="X285" s="2"/>
      <c r="Y285" s="2"/>
      <c r="Z285" s="2"/>
      <c r="AA285" s="2"/>
    </row>
    <row r="286">
      <c r="A286" s="11">
        <v>270.0</v>
      </c>
      <c r="B286" s="17" t="s">
        <v>10572</v>
      </c>
      <c r="C286" s="17" t="s">
        <v>10573</v>
      </c>
      <c r="D286" s="17" t="s">
        <v>10574</v>
      </c>
      <c r="E286" s="10">
        <v>10.0</v>
      </c>
      <c r="F286" s="7">
        <f t="shared" si="2"/>
        <v>90</v>
      </c>
      <c r="G286" s="17" t="s">
        <v>3113</v>
      </c>
      <c r="H286" s="2"/>
      <c r="I286" s="2"/>
      <c r="J286" s="2"/>
      <c r="K286" s="2"/>
      <c r="L286" s="2"/>
      <c r="M286" s="2"/>
      <c r="N286" s="2"/>
      <c r="O286" s="2"/>
      <c r="P286" s="2"/>
      <c r="Q286" s="2"/>
      <c r="R286" s="2"/>
      <c r="S286" s="2"/>
      <c r="T286" s="2"/>
      <c r="U286" s="2"/>
      <c r="V286" s="2"/>
      <c r="W286" s="2"/>
      <c r="X286" s="2"/>
      <c r="Y286" s="2"/>
      <c r="Z286" s="2"/>
      <c r="AA286" s="2"/>
    </row>
    <row r="287">
      <c r="A287" s="11">
        <v>271.0</v>
      </c>
      <c r="B287" s="17" t="s">
        <v>10575</v>
      </c>
      <c r="C287" s="17" t="s">
        <v>10576</v>
      </c>
      <c r="D287" s="17" t="s">
        <v>10577</v>
      </c>
      <c r="E287" s="10">
        <v>10.0</v>
      </c>
      <c r="F287" s="7">
        <f t="shared" si="2"/>
        <v>90</v>
      </c>
      <c r="G287" s="17" t="s">
        <v>3113</v>
      </c>
      <c r="H287" s="2"/>
      <c r="I287" s="2"/>
      <c r="J287" s="2"/>
      <c r="K287" s="2"/>
      <c r="L287" s="2"/>
      <c r="M287" s="2"/>
      <c r="N287" s="2"/>
      <c r="O287" s="2"/>
      <c r="P287" s="2"/>
      <c r="Q287" s="2"/>
      <c r="R287" s="2"/>
      <c r="S287" s="2"/>
      <c r="T287" s="2"/>
      <c r="U287" s="2"/>
      <c r="V287" s="2"/>
      <c r="W287" s="2"/>
      <c r="X287" s="2"/>
      <c r="Y287" s="2"/>
      <c r="Z287" s="2"/>
      <c r="AA287" s="2"/>
    </row>
    <row r="288">
      <c r="A288" s="11">
        <v>272.0</v>
      </c>
      <c r="B288" s="17" t="s">
        <v>10578</v>
      </c>
      <c r="C288" s="17" t="s">
        <v>10579</v>
      </c>
      <c r="D288" s="17" t="s">
        <v>10580</v>
      </c>
      <c r="E288" s="10">
        <v>10.0</v>
      </c>
      <c r="F288" s="7">
        <f t="shared" si="2"/>
        <v>90</v>
      </c>
      <c r="G288" s="17" t="s">
        <v>3113</v>
      </c>
      <c r="H288" s="2"/>
      <c r="I288" s="2"/>
      <c r="J288" s="2"/>
      <c r="K288" s="2"/>
      <c r="L288" s="2"/>
      <c r="M288" s="2"/>
      <c r="N288" s="2"/>
      <c r="O288" s="2"/>
      <c r="P288" s="2"/>
      <c r="Q288" s="2"/>
      <c r="R288" s="2"/>
      <c r="S288" s="2"/>
      <c r="T288" s="2"/>
      <c r="U288" s="2"/>
      <c r="V288" s="2"/>
      <c r="W288" s="2"/>
      <c r="X288" s="2"/>
      <c r="Y288" s="2"/>
      <c r="Z288" s="2"/>
      <c r="AA288" s="2"/>
    </row>
    <row r="289">
      <c r="A289" s="11">
        <v>273.0</v>
      </c>
      <c r="B289" s="17" t="s">
        <v>10581</v>
      </c>
      <c r="C289" s="17" t="s">
        <v>10582</v>
      </c>
      <c r="D289" s="17" t="s">
        <v>10583</v>
      </c>
      <c r="E289" s="10">
        <v>10.0</v>
      </c>
      <c r="F289" s="7">
        <f t="shared" si="2"/>
        <v>90</v>
      </c>
      <c r="G289" s="17" t="s">
        <v>3113</v>
      </c>
      <c r="H289" s="2"/>
      <c r="I289" s="2"/>
      <c r="J289" s="2"/>
      <c r="K289" s="2"/>
      <c r="L289" s="2"/>
      <c r="M289" s="2"/>
      <c r="N289" s="2"/>
      <c r="O289" s="2"/>
      <c r="P289" s="2"/>
      <c r="Q289" s="2"/>
      <c r="R289" s="2"/>
      <c r="S289" s="2"/>
      <c r="T289" s="2"/>
      <c r="U289" s="2"/>
      <c r="V289" s="2"/>
      <c r="W289" s="2"/>
      <c r="X289" s="2"/>
      <c r="Y289" s="2"/>
      <c r="Z289" s="2"/>
      <c r="AA289" s="2"/>
    </row>
    <row r="290">
      <c r="A290" s="11">
        <v>274.0</v>
      </c>
      <c r="B290" s="17" t="s">
        <v>10584</v>
      </c>
      <c r="C290" s="17" t="s">
        <v>10585</v>
      </c>
      <c r="D290" s="17" t="s">
        <v>10586</v>
      </c>
      <c r="E290" s="10">
        <v>10.0</v>
      </c>
      <c r="F290" s="7">
        <f t="shared" si="2"/>
        <v>90</v>
      </c>
      <c r="G290" s="17" t="s">
        <v>3113</v>
      </c>
      <c r="H290" s="2"/>
      <c r="I290" s="2"/>
      <c r="J290" s="2"/>
      <c r="K290" s="2"/>
      <c r="L290" s="2"/>
      <c r="M290" s="2"/>
      <c r="N290" s="2"/>
      <c r="O290" s="2"/>
      <c r="P290" s="2"/>
      <c r="Q290" s="2"/>
      <c r="R290" s="2"/>
      <c r="S290" s="2"/>
      <c r="T290" s="2"/>
      <c r="U290" s="2"/>
      <c r="V290" s="2"/>
      <c r="W290" s="2"/>
      <c r="X290" s="2"/>
      <c r="Y290" s="2"/>
      <c r="Z290" s="2"/>
      <c r="AA290" s="2"/>
    </row>
    <row r="291">
      <c r="A291" s="11">
        <v>275.0</v>
      </c>
      <c r="B291" s="17" t="s">
        <v>10587</v>
      </c>
      <c r="C291" s="17" t="s">
        <v>10588</v>
      </c>
      <c r="D291" s="17" t="s">
        <v>10589</v>
      </c>
      <c r="E291" s="10">
        <v>10.0</v>
      </c>
      <c r="F291" s="7">
        <f t="shared" si="2"/>
        <v>90</v>
      </c>
      <c r="G291" s="17" t="s">
        <v>3113</v>
      </c>
      <c r="H291" s="2"/>
      <c r="I291" s="2"/>
      <c r="J291" s="2"/>
      <c r="K291" s="2"/>
      <c r="L291" s="2"/>
      <c r="M291" s="2"/>
      <c r="N291" s="2"/>
      <c r="O291" s="2"/>
      <c r="P291" s="2"/>
      <c r="Q291" s="2"/>
      <c r="R291" s="2"/>
      <c r="S291" s="2"/>
      <c r="T291" s="2"/>
      <c r="U291" s="2"/>
      <c r="V291" s="2"/>
      <c r="W291" s="2"/>
      <c r="X291" s="2"/>
      <c r="Y291" s="2"/>
      <c r="Z291" s="2"/>
      <c r="AA291" s="2"/>
    </row>
    <row r="292">
      <c r="A292" s="11">
        <v>276.0</v>
      </c>
      <c r="B292" s="17" t="s">
        <v>10590</v>
      </c>
      <c r="C292" s="17" t="s">
        <v>10591</v>
      </c>
      <c r="D292" s="17" t="s">
        <v>10589</v>
      </c>
      <c r="E292" s="10">
        <v>10.0</v>
      </c>
      <c r="F292" s="7">
        <f t="shared" si="2"/>
        <v>90</v>
      </c>
      <c r="G292" s="17" t="s">
        <v>3113</v>
      </c>
      <c r="H292" s="2"/>
      <c r="I292" s="2"/>
      <c r="J292" s="2"/>
      <c r="K292" s="2"/>
      <c r="L292" s="2"/>
      <c r="M292" s="2"/>
      <c r="N292" s="2"/>
      <c r="O292" s="2"/>
      <c r="P292" s="2"/>
      <c r="Q292" s="2"/>
      <c r="R292" s="2"/>
      <c r="S292" s="2"/>
      <c r="T292" s="2"/>
      <c r="U292" s="2"/>
      <c r="V292" s="2"/>
      <c r="W292" s="2"/>
      <c r="X292" s="2"/>
      <c r="Y292" s="2"/>
      <c r="Z292" s="2"/>
      <c r="AA292" s="2"/>
    </row>
    <row r="293">
      <c r="A293" s="11">
        <v>277.0</v>
      </c>
      <c r="B293" s="17" t="s">
        <v>10592</v>
      </c>
      <c r="C293" s="17" t="s">
        <v>10593</v>
      </c>
      <c r="D293" s="17" t="s">
        <v>10594</v>
      </c>
      <c r="E293" s="10">
        <v>10.0</v>
      </c>
      <c r="F293" s="7">
        <f t="shared" si="2"/>
        <v>90</v>
      </c>
      <c r="G293" s="17" t="s">
        <v>3113</v>
      </c>
      <c r="H293" s="2"/>
      <c r="I293" s="2"/>
      <c r="J293" s="2"/>
      <c r="K293" s="2"/>
      <c r="L293" s="2"/>
      <c r="M293" s="2"/>
      <c r="N293" s="2"/>
      <c r="O293" s="2"/>
      <c r="P293" s="2"/>
      <c r="Q293" s="2"/>
      <c r="R293" s="2"/>
      <c r="S293" s="2"/>
      <c r="T293" s="2"/>
      <c r="U293" s="2"/>
      <c r="V293" s="2"/>
      <c r="W293" s="2"/>
      <c r="X293" s="2"/>
      <c r="Y293" s="2"/>
      <c r="Z293" s="2"/>
      <c r="AA293" s="2"/>
    </row>
    <row r="294">
      <c r="A294" s="11">
        <v>278.0</v>
      </c>
      <c r="B294" s="17" t="s">
        <v>10595</v>
      </c>
      <c r="C294" s="17" t="s">
        <v>10596</v>
      </c>
      <c r="D294" s="17" t="s">
        <v>10597</v>
      </c>
      <c r="E294" s="10">
        <v>10.0</v>
      </c>
      <c r="F294" s="7">
        <f t="shared" si="2"/>
        <v>90</v>
      </c>
      <c r="G294" s="17" t="s">
        <v>3113</v>
      </c>
      <c r="H294" s="2"/>
      <c r="I294" s="2"/>
      <c r="J294" s="2"/>
      <c r="K294" s="2"/>
      <c r="L294" s="2"/>
      <c r="M294" s="2"/>
      <c r="N294" s="2"/>
      <c r="O294" s="2"/>
      <c r="P294" s="2"/>
      <c r="Q294" s="2"/>
      <c r="R294" s="2"/>
      <c r="S294" s="2"/>
      <c r="T294" s="2"/>
      <c r="U294" s="2"/>
      <c r="V294" s="2"/>
      <c r="W294" s="2"/>
      <c r="X294" s="2"/>
      <c r="Y294" s="2"/>
      <c r="Z294" s="2"/>
      <c r="AA294" s="2"/>
    </row>
    <row r="295">
      <c r="A295" s="11">
        <v>279.0</v>
      </c>
      <c r="B295" s="17" t="s">
        <v>10598</v>
      </c>
      <c r="C295" s="17" t="s">
        <v>10599</v>
      </c>
      <c r="D295" s="17" t="s">
        <v>10600</v>
      </c>
      <c r="E295" s="10">
        <v>10.0</v>
      </c>
      <c r="F295" s="7">
        <f t="shared" si="2"/>
        <v>90</v>
      </c>
      <c r="G295" s="17" t="s">
        <v>3113</v>
      </c>
      <c r="H295" s="2"/>
      <c r="I295" s="2"/>
      <c r="J295" s="2"/>
      <c r="K295" s="2"/>
      <c r="L295" s="2"/>
      <c r="M295" s="2"/>
      <c r="N295" s="2"/>
      <c r="O295" s="2"/>
      <c r="P295" s="2"/>
      <c r="Q295" s="2"/>
      <c r="R295" s="2"/>
      <c r="S295" s="2"/>
      <c r="T295" s="2"/>
      <c r="U295" s="2"/>
      <c r="V295" s="2"/>
      <c r="W295" s="2"/>
      <c r="X295" s="2"/>
      <c r="Y295" s="2"/>
      <c r="Z295" s="2"/>
      <c r="AA295" s="2"/>
    </row>
    <row r="296">
      <c r="A296" s="11">
        <v>280.0</v>
      </c>
      <c r="B296" s="17" t="s">
        <v>10598</v>
      </c>
      <c r="C296" s="17" t="s">
        <v>10601</v>
      </c>
      <c r="D296" s="17" t="s">
        <v>10600</v>
      </c>
      <c r="E296" s="10">
        <v>10.0</v>
      </c>
      <c r="F296" s="7">
        <f t="shared" si="2"/>
        <v>90</v>
      </c>
      <c r="G296" s="17" t="s">
        <v>3113</v>
      </c>
      <c r="H296" s="2"/>
      <c r="I296" s="2"/>
      <c r="J296" s="2"/>
      <c r="K296" s="2"/>
      <c r="L296" s="2"/>
      <c r="M296" s="2"/>
      <c r="N296" s="2"/>
      <c r="O296" s="2"/>
      <c r="P296" s="2"/>
      <c r="Q296" s="2"/>
      <c r="R296" s="2"/>
      <c r="S296" s="2"/>
      <c r="T296" s="2"/>
      <c r="U296" s="2"/>
      <c r="V296" s="2"/>
      <c r="W296" s="2"/>
      <c r="X296" s="2"/>
      <c r="Y296" s="2"/>
      <c r="Z296" s="2"/>
      <c r="AA296" s="2"/>
    </row>
    <row r="297">
      <c r="A297" s="11">
        <v>281.0</v>
      </c>
      <c r="B297" s="17" t="s">
        <v>10602</v>
      </c>
      <c r="C297" s="17" t="s">
        <v>10603</v>
      </c>
      <c r="D297" s="17" t="s">
        <v>10604</v>
      </c>
      <c r="E297" s="10">
        <v>10.0</v>
      </c>
      <c r="F297" s="7">
        <f t="shared" si="2"/>
        <v>90</v>
      </c>
      <c r="G297" s="17" t="s">
        <v>3113</v>
      </c>
      <c r="H297" s="2"/>
      <c r="I297" s="2"/>
      <c r="J297" s="2"/>
      <c r="K297" s="2"/>
      <c r="L297" s="2"/>
      <c r="M297" s="2"/>
      <c r="N297" s="2"/>
      <c r="O297" s="2"/>
      <c r="P297" s="2"/>
      <c r="Q297" s="2"/>
      <c r="R297" s="2"/>
      <c r="S297" s="2"/>
      <c r="T297" s="2"/>
      <c r="U297" s="2"/>
      <c r="V297" s="2"/>
      <c r="W297" s="2"/>
      <c r="X297" s="2"/>
      <c r="Y297" s="2"/>
      <c r="Z297" s="2"/>
      <c r="AA297" s="2"/>
    </row>
    <row r="298">
      <c r="A298" s="11">
        <v>282.0</v>
      </c>
      <c r="B298" s="17" t="s">
        <v>10605</v>
      </c>
      <c r="C298" s="17" t="s">
        <v>10606</v>
      </c>
      <c r="D298" s="17" t="s">
        <v>10607</v>
      </c>
      <c r="E298" s="10">
        <v>10.0</v>
      </c>
      <c r="F298" s="7">
        <f t="shared" si="2"/>
        <v>90</v>
      </c>
      <c r="G298" s="17" t="s">
        <v>3113</v>
      </c>
      <c r="H298" s="2"/>
      <c r="I298" s="2"/>
      <c r="J298" s="2"/>
      <c r="K298" s="2"/>
      <c r="L298" s="2"/>
      <c r="M298" s="2"/>
      <c r="N298" s="2"/>
      <c r="O298" s="2"/>
      <c r="P298" s="2"/>
      <c r="Q298" s="2"/>
      <c r="R298" s="2"/>
      <c r="S298" s="2"/>
      <c r="T298" s="2"/>
      <c r="U298" s="2"/>
      <c r="V298" s="2"/>
      <c r="W298" s="2"/>
      <c r="X298" s="2"/>
      <c r="Y298" s="2"/>
      <c r="Z298" s="2"/>
      <c r="AA298" s="2"/>
    </row>
    <row r="299">
      <c r="A299" s="11">
        <v>283.0</v>
      </c>
      <c r="B299" s="17" t="s">
        <v>10608</v>
      </c>
      <c r="C299" s="17" t="s">
        <v>10609</v>
      </c>
      <c r="D299" s="17" t="s">
        <v>10610</v>
      </c>
      <c r="E299" s="10">
        <v>10.0</v>
      </c>
      <c r="F299" s="7">
        <f t="shared" si="2"/>
        <v>90</v>
      </c>
      <c r="G299" s="17" t="s">
        <v>3113</v>
      </c>
      <c r="H299" s="2"/>
      <c r="I299" s="2"/>
      <c r="J299" s="2"/>
      <c r="K299" s="2"/>
      <c r="L299" s="2"/>
      <c r="M299" s="2"/>
      <c r="N299" s="2"/>
      <c r="O299" s="2"/>
      <c r="P299" s="2"/>
      <c r="Q299" s="2"/>
      <c r="R299" s="2"/>
      <c r="S299" s="2"/>
      <c r="T299" s="2"/>
      <c r="U299" s="2"/>
      <c r="V299" s="2"/>
      <c r="W299" s="2"/>
      <c r="X299" s="2"/>
      <c r="Y299" s="2"/>
      <c r="Z299" s="2"/>
      <c r="AA299" s="2"/>
    </row>
    <row r="300">
      <c r="A300" s="11">
        <v>284.0</v>
      </c>
      <c r="B300" s="17" t="s">
        <v>10611</v>
      </c>
      <c r="C300" s="17" t="s">
        <v>10612</v>
      </c>
      <c r="D300" s="17" t="s">
        <v>10613</v>
      </c>
      <c r="E300" s="10">
        <v>10.0</v>
      </c>
      <c r="F300" s="7">
        <f t="shared" si="2"/>
        <v>90</v>
      </c>
      <c r="G300" s="17" t="s">
        <v>3113</v>
      </c>
      <c r="H300" s="2"/>
      <c r="I300" s="2"/>
      <c r="J300" s="2"/>
      <c r="K300" s="2"/>
      <c r="L300" s="2"/>
      <c r="M300" s="2"/>
      <c r="N300" s="2"/>
      <c r="O300" s="2"/>
      <c r="P300" s="2"/>
      <c r="Q300" s="2"/>
      <c r="R300" s="2"/>
      <c r="S300" s="2"/>
      <c r="T300" s="2"/>
      <c r="U300" s="2"/>
      <c r="V300" s="2"/>
      <c r="W300" s="2"/>
      <c r="X300" s="2"/>
      <c r="Y300" s="2"/>
      <c r="Z300" s="2"/>
      <c r="AA300" s="2"/>
    </row>
    <row r="301">
      <c r="A301" s="11">
        <v>285.0</v>
      </c>
      <c r="B301" s="17" t="s">
        <v>10611</v>
      </c>
      <c r="C301" s="17" t="s">
        <v>10614</v>
      </c>
      <c r="D301" s="17" t="s">
        <v>10615</v>
      </c>
      <c r="E301" s="10">
        <v>10.0</v>
      </c>
      <c r="F301" s="7">
        <f t="shared" si="2"/>
        <v>90</v>
      </c>
      <c r="G301" s="17" t="s">
        <v>3113</v>
      </c>
      <c r="H301" s="2"/>
      <c r="I301" s="2"/>
      <c r="J301" s="2"/>
      <c r="K301" s="2"/>
      <c r="L301" s="2"/>
      <c r="M301" s="2"/>
      <c r="N301" s="2"/>
      <c r="O301" s="2"/>
      <c r="P301" s="2"/>
      <c r="Q301" s="2"/>
      <c r="R301" s="2"/>
      <c r="S301" s="2"/>
      <c r="T301" s="2"/>
      <c r="U301" s="2"/>
      <c r="V301" s="2"/>
      <c r="W301" s="2"/>
      <c r="X301" s="2"/>
      <c r="Y301" s="2"/>
      <c r="Z301" s="2"/>
      <c r="AA301" s="2"/>
    </row>
    <row r="302">
      <c r="A302" s="11">
        <v>286.0</v>
      </c>
      <c r="B302" s="17" t="s">
        <v>10616</v>
      </c>
      <c r="C302" s="17" t="s">
        <v>10617</v>
      </c>
      <c r="D302" s="17" t="s">
        <v>10618</v>
      </c>
      <c r="E302" s="10">
        <v>10.0</v>
      </c>
      <c r="F302" s="7">
        <f t="shared" si="2"/>
        <v>90</v>
      </c>
      <c r="G302" s="17" t="s">
        <v>3113</v>
      </c>
      <c r="H302" s="2"/>
      <c r="I302" s="2"/>
      <c r="J302" s="2"/>
      <c r="K302" s="2"/>
      <c r="L302" s="2"/>
      <c r="M302" s="2"/>
      <c r="N302" s="2"/>
      <c r="O302" s="2"/>
      <c r="P302" s="2"/>
      <c r="Q302" s="2"/>
      <c r="R302" s="2"/>
      <c r="S302" s="2"/>
      <c r="T302" s="2"/>
      <c r="U302" s="2"/>
      <c r="V302" s="2"/>
      <c r="W302" s="2"/>
      <c r="X302" s="2"/>
      <c r="Y302" s="2"/>
      <c r="Z302" s="2"/>
      <c r="AA302" s="2"/>
    </row>
    <row r="303">
      <c r="A303" s="11">
        <v>287.0</v>
      </c>
      <c r="B303" s="17" t="s">
        <v>10619</v>
      </c>
      <c r="C303" s="17" t="s">
        <v>10620</v>
      </c>
      <c r="D303" s="17" t="s">
        <v>10621</v>
      </c>
      <c r="E303" s="10">
        <v>10.0</v>
      </c>
      <c r="F303" s="7">
        <f t="shared" si="2"/>
        <v>90</v>
      </c>
      <c r="G303" s="17" t="s">
        <v>3113</v>
      </c>
      <c r="H303" s="2"/>
      <c r="I303" s="2"/>
      <c r="J303" s="2"/>
      <c r="K303" s="2"/>
      <c r="L303" s="2"/>
      <c r="M303" s="2"/>
      <c r="N303" s="2"/>
      <c r="O303" s="2"/>
      <c r="P303" s="2"/>
      <c r="Q303" s="2"/>
      <c r="R303" s="2"/>
      <c r="S303" s="2"/>
      <c r="T303" s="2"/>
      <c r="U303" s="2"/>
      <c r="V303" s="2"/>
      <c r="W303" s="2"/>
      <c r="X303" s="2"/>
      <c r="Y303" s="2"/>
      <c r="Z303" s="2"/>
      <c r="AA303" s="2"/>
    </row>
    <row r="304">
      <c r="A304" s="11">
        <v>288.0</v>
      </c>
      <c r="B304" s="17" t="s">
        <v>10622</v>
      </c>
      <c r="C304" s="17" t="s">
        <v>10623</v>
      </c>
      <c r="D304" s="17" t="s">
        <v>10624</v>
      </c>
      <c r="E304" s="10">
        <v>10.0</v>
      </c>
      <c r="F304" s="7">
        <f t="shared" si="2"/>
        <v>90</v>
      </c>
      <c r="G304" s="17" t="s">
        <v>3113</v>
      </c>
      <c r="H304" s="2"/>
      <c r="I304" s="2"/>
      <c r="J304" s="2"/>
      <c r="K304" s="2"/>
      <c r="L304" s="2"/>
      <c r="M304" s="2"/>
      <c r="N304" s="2"/>
      <c r="O304" s="2"/>
      <c r="P304" s="2"/>
      <c r="Q304" s="2"/>
      <c r="R304" s="2"/>
      <c r="S304" s="2"/>
      <c r="T304" s="2"/>
      <c r="U304" s="2"/>
      <c r="V304" s="2"/>
      <c r="W304" s="2"/>
      <c r="X304" s="2"/>
      <c r="Y304" s="2"/>
      <c r="Z304" s="2"/>
      <c r="AA304" s="2"/>
    </row>
    <row r="305">
      <c r="A305" s="11">
        <v>289.0</v>
      </c>
      <c r="B305" s="17" t="s">
        <v>10625</v>
      </c>
      <c r="C305" s="17" t="s">
        <v>10626</v>
      </c>
      <c r="D305" s="17" t="s">
        <v>10627</v>
      </c>
      <c r="E305" s="10">
        <v>10.0</v>
      </c>
      <c r="F305" s="7">
        <f t="shared" si="2"/>
        <v>90</v>
      </c>
      <c r="G305" s="17" t="s">
        <v>3113</v>
      </c>
      <c r="H305" s="2"/>
      <c r="I305" s="2"/>
      <c r="J305" s="2"/>
      <c r="K305" s="2"/>
      <c r="L305" s="2"/>
      <c r="M305" s="2"/>
      <c r="N305" s="2"/>
      <c r="O305" s="2"/>
      <c r="P305" s="2"/>
      <c r="Q305" s="2"/>
      <c r="R305" s="2"/>
      <c r="S305" s="2"/>
      <c r="T305" s="2"/>
      <c r="U305" s="2"/>
      <c r="V305" s="2"/>
      <c r="W305" s="2"/>
      <c r="X305" s="2"/>
      <c r="Y305" s="2"/>
      <c r="Z305" s="2"/>
      <c r="AA305" s="2"/>
    </row>
    <row r="306">
      <c r="A306" s="11">
        <v>290.0</v>
      </c>
      <c r="B306" s="17" t="s">
        <v>10628</v>
      </c>
      <c r="C306" s="17" t="s">
        <v>10629</v>
      </c>
      <c r="D306" s="17" t="s">
        <v>10630</v>
      </c>
      <c r="E306" s="10">
        <v>10.0</v>
      </c>
      <c r="F306" s="7">
        <f t="shared" si="2"/>
        <v>90</v>
      </c>
      <c r="G306" s="17" t="s">
        <v>3113</v>
      </c>
      <c r="H306" s="2"/>
      <c r="I306" s="2"/>
      <c r="J306" s="2"/>
      <c r="K306" s="2"/>
      <c r="L306" s="2"/>
      <c r="M306" s="2"/>
      <c r="N306" s="2"/>
      <c r="O306" s="2"/>
      <c r="P306" s="2"/>
      <c r="Q306" s="2"/>
      <c r="R306" s="2"/>
      <c r="S306" s="2"/>
      <c r="T306" s="2"/>
      <c r="U306" s="2"/>
      <c r="V306" s="2"/>
      <c r="W306" s="2"/>
      <c r="X306" s="2"/>
      <c r="Y306" s="2"/>
      <c r="Z306" s="2"/>
      <c r="AA306" s="2"/>
    </row>
    <row r="307">
      <c r="A307" s="11">
        <v>291.0</v>
      </c>
      <c r="B307" s="17" t="s">
        <v>10631</v>
      </c>
      <c r="C307" s="17" t="s">
        <v>10632</v>
      </c>
      <c r="D307" s="17" t="s">
        <v>10633</v>
      </c>
      <c r="E307" s="10">
        <v>10.0</v>
      </c>
      <c r="F307" s="7">
        <f t="shared" si="2"/>
        <v>90</v>
      </c>
      <c r="G307" s="17" t="s">
        <v>3113</v>
      </c>
      <c r="H307" s="2"/>
      <c r="I307" s="2"/>
      <c r="J307" s="2"/>
      <c r="K307" s="2"/>
      <c r="L307" s="2"/>
      <c r="M307" s="2"/>
      <c r="N307" s="2"/>
      <c r="O307" s="2"/>
      <c r="P307" s="2"/>
      <c r="Q307" s="2"/>
      <c r="R307" s="2"/>
      <c r="S307" s="2"/>
      <c r="T307" s="2"/>
      <c r="U307" s="2"/>
      <c r="V307" s="2"/>
      <c r="W307" s="2"/>
      <c r="X307" s="2"/>
      <c r="Y307" s="2"/>
      <c r="Z307" s="2"/>
      <c r="AA307" s="2"/>
    </row>
    <row r="308">
      <c r="A308" s="11">
        <v>292.0</v>
      </c>
      <c r="B308" s="17" t="s">
        <v>10634</v>
      </c>
      <c r="C308" s="17" t="s">
        <v>10635</v>
      </c>
      <c r="D308" s="17" t="s">
        <v>10636</v>
      </c>
      <c r="E308" s="10">
        <v>10.0</v>
      </c>
      <c r="F308" s="7">
        <f t="shared" si="2"/>
        <v>90</v>
      </c>
      <c r="G308" s="17" t="s">
        <v>3113</v>
      </c>
      <c r="H308" s="2"/>
      <c r="I308" s="2"/>
      <c r="J308" s="2"/>
      <c r="K308" s="2"/>
      <c r="L308" s="2"/>
      <c r="M308" s="2"/>
      <c r="N308" s="2"/>
      <c r="O308" s="2"/>
      <c r="P308" s="2"/>
      <c r="Q308" s="2"/>
      <c r="R308" s="2"/>
      <c r="S308" s="2"/>
      <c r="T308" s="2"/>
      <c r="U308" s="2"/>
      <c r="V308" s="2"/>
      <c r="W308" s="2"/>
      <c r="X308" s="2"/>
      <c r="Y308" s="2"/>
      <c r="Z308" s="2"/>
      <c r="AA308" s="2"/>
    </row>
    <row r="309">
      <c r="A309" s="11">
        <v>293.0</v>
      </c>
      <c r="B309" s="17" t="s">
        <v>10637</v>
      </c>
      <c r="C309" s="17" t="s">
        <v>10638</v>
      </c>
      <c r="D309" s="17" t="s">
        <v>10639</v>
      </c>
      <c r="E309" s="10">
        <v>10.0</v>
      </c>
      <c r="F309" s="7">
        <f t="shared" si="2"/>
        <v>90</v>
      </c>
      <c r="G309" s="17" t="s">
        <v>3113</v>
      </c>
      <c r="H309" s="2"/>
      <c r="I309" s="2"/>
      <c r="J309" s="2"/>
      <c r="K309" s="2"/>
      <c r="L309" s="2"/>
      <c r="M309" s="2"/>
      <c r="N309" s="2"/>
      <c r="O309" s="2"/>
      <c r="P309" s="2"/>
      <c r="Q309" s="2"/>
      <c r="R309" s="2"/>
      <c r="S309" s="2"/>
      <c r="T309" s="2"/>
      <c r="U309" s="2"/>
      <c r="V309" s="2"/>
      <c r="W309" s="2"/>
      <c r="X309" s="2"/>
      <c r="Y309" s="2"/>
      <c r="Z309" s="2"/>
      <c r="AA309" s="2"/>
    </row>
    <row r="310">
      <c r="A310" s="11">
        <v>294.0</v>
      </c>
      <c r="B310" s="17" t="s">
        <v>10637</v>
      </c>
      <c r="C310" s="17" t="s">
        <v>10640</v>
      </c>
      <c r="D310" s="17" t="s">
        <v>10641</v>
      </c>
      <c r="E310" s="10">
        <v>10.0</v>
      </c>
      <c r="F310" s="7">
        <f t="shared" si="2"/>
        <v>90</v>
      </c>
      <c r="G310" s="17" t="s">
        <v>3113</v>
      </c>
      <c r="H310" s="2"/>
      <c r="I310" s="2"/>
      <c r="J310" s="2"/>
      <c r="K310" s="2"/>
      <c r="L310" s="2"/>
      <c r="M310" s="2"/>
      <c r="N310" s="2"/>
      <c r="O310" s="2"/>
      <c r="P310" s="2"/>
      <c r="Q310" s="2"/>
      <c r="R310" s="2"/>
      <c r="S310" s="2"/>
      <c r="T310" s="2"/>
      <c r="U310" s="2"/>
      <c r="V310" s="2"/>
      <c r="W310" s="2"/>
      <c r="X310" s="2"/>
      <c r="Y310" s="2"/>
      <c r="Z310" s="2"/>
      <c r="AA310" s="2"/>
    </row>
    <row r="311">
      <c r="A311" s="11">
        <v>295.0</v>
      </c>
      <c r="B311" s="17" t="s">
        <v>10642</v>
      </c>
      <c r="C311" s="17" t="s">
        <v>10643</v>
      </c>
      <c r="D311" s="17" t="s">
        <v>10644</v>
      </c>
      <c r="E311" s="10">
        <v>10.0</v>
      </c>
      <c r="F311" s="7">
        <f t="shared" si="2"/>
        <v>90</v>
      </c>
      <c r="G311" s="17" t="s">
        <v>3113</v>
      </c>
      <c r="H311" s="2"/>
      <c r="I311" s="2"/>
      <c r="J311" s="2"/>
      <c r="K311" s="2"/>
      <c r="L311" s="2"/>
      <c r="M311" s="2"/>
      <c r="N311" s="2"/>
      <c r="O311" s="2"/>
      <c r="P311" s="2"/>
      <c r="Q311" s="2"/>
      <c r="R311" s="2"/>
      <c r="S311" s="2"/>
      <c r="T311" s="2"/>
      <c r="U311" s="2"/>
      <c r="V311" s="2"/>
      <c r="W311" s="2"/>
      <c r="X311" s="2"/>
      <c r="Y311" s="2"/>
      <c r="Z311" s="2"/>
      <c r="AA311" s="2"/>
    </row>
    <row r="312">
      <c r="A312" s="11">
        <v>296.0</v>
      </c>
      <c r="B312" s="17" t="s">
        <v>10645</v>
      </c>
      <c r="C312" s="17" t="s">
        <v>10646</v>
      </c>
      <c r="D312" s="17" t="s">
        <v>10647</v>
      </c>
      <c r="E312" s="10">
        <v>10.0</v>
      </c>
      <c r="F312" s="7">
        <f t="shared" si="2"/>
        <v>90</v>
      </c>
      <c r="G312" s="17" t="s">
        <v>3113</v>
      </c>
      <c r="H312" s="2"/>
      <c r="I312" s="2"/>
      <c r="J312" s="2"/>
      <c r="K312" s="2"/>
      <c r="L312" s="2"/>
      <c r="M312" s="2"/>
      <c r="N312" s="2"/>
      <c r="O312" s="2"/>
      <c r="P312" s="2"/>
      <c r="Q312" s="2"/>
      <c r="R312" s="2"/>
      <c r="S312" s="2"/>
      <c r="T312" s="2"/>
      <c r="U312" s="2"/>
      <c r="V312" s="2"/>
      <c r="W312" s="2"/>
      <c r="X312" s="2"/>
      <c r="Y312" s="2"/>
      <c r="Z312" s="2"/>
      <c r="AA312" s="2"/>
    </row>
    <row r="313">
      <c r="A313" s="11">
        <v>297.0</v>
      </c>
      <c r="B313" s="17" t="s">
        <v>10648</v>
      </c>
      <c r="C313" s="17" t="s">
        <v>10649</v>
      </c>
      <c r="D313" s="17" t="s">
        <v>10650</v>
      </c>
      <c r="E313" s="10">
        <v>10.0</v>
      </c>
      <c r="F313" s="7">
        <f t="shared" si="2"/>
        <v>90</v>
      </c>
      <c r="G313" s="17" t="s">
        <v>3113</v>
      </c>
      <c r="H313" s="2"/>
      <c r="I313" s="2"/>
      <c r="J313" s="2"/>
      <c r="K313" s="2"/>
      <c r="L313" s="2"/>
      <c r="M313" s="2"/>
      <c r="N313" s="2"/>
      <c r="O313" s="2"/>
      <c r="P313" s="2"/>
      <c r="Q313" s="2"/>
      <c r="R313" s="2"/>
      <c r="S313" s="2"/>
      <c r="T313" s="2"/>
      <c r="U313" s="2"/>
      <c r="V313" s="2"/>
      <c r="W313" s="2"/>
      <c r="X313" s="2"/>
      <c r="Y313" s="2"/>
      <c r="Z313" s="2"/>
      <c r="AA313" s="2"/>
    </row>
    <row r="314">
      <c r="A314" s="11">
        <v>298.0</v>
      </c>
      <c r="B314" s="17" t="s">
        <v>10651</v>
      </c>
      <c r="C314" s="17" t="s">
        <v>10652</v>
      </c>
      <c r="D314" s="17" t="s">
        <v>10653</v>
      </c>
      <c r="E314" s="10">
        <v>10.0</v>
      </c>
      <c r="F314" s="7">
        <f t="shared" si="2"/>
        <v>90</v>
      </c>
      <c r="G314" s="17" t="s">
        <v>3113</v>
      </c>
      <c r="H314" s="2"/>
      <c r="I314" s="2"/>
      <c r="J314" s="2"/>
      <c r="K314" s="2"/>
      <c r="L314" s="2"/>
      <c r="M314" s="2"/>
      <c r="N314" s="2"/>
      <c r="O314" s="2"/>
      <c r="P314" s="2"/>
      <c r="Q314" s="2"/>
      <c r="R314" s="2"/>
      <c r="S314" s="2"/>
      <c r="T314" s="2"/>
      <c r="U314" s="2"/>
      <c r="V314" s="2"/>
      <c r="W314" s="2"/>
      <c r="X314" s="2"/>
      <c r="Y314" s="2"/>
      <c r="Z314" s="2"/>
      <c r="AA314" s="2"/>
    </row>
    <row r="315">
      <c r="A315" s="11">
        <v>299.0</v>
      </c>
      <c r="B315" s="17" t="s">
        <v>10654</v>
      </c>
      <c r="C315" s="17" t="s">
        <v>10655</v>
      </c>
      <c r="D315" s="17" t="s">
        <v>10656</v>
      </c>
      <c r="E315" s="10">
        <v>10.0</v>
      </c>
      <c r="F315" s="7">
        <f t="shared" si="2"/>
        <v>90</v>
      </c>
      <c r="G315" s="17" t="s">
        <v>3113</v>
      </c>
      <c r="H315" s="2"/>
      <c r="I315" s="2"/>
      <c r="J315" s="2"/>
      <c r="K315" s="2"/>
      <c r="L315" s="2"/>
      <c r="M315" s="2"/>
      <c r="N315" s="2"/>
      <c r="O315" s="2"/>
      <c r="P315" s="2"/>
      <c r="Q315" s="2"/>
      <c r="R315" s="2"/>
      <c r="S315" s="2"/>
      <c r="T315" s="2"/>
      <c r="U315" s="2"/>
      <c r="V315" s="2"/>
      <c r="W315" s="2"/>
      <c r="X315" s="2"/>
      <c r="Y315" s="2"/>
      <c r="Z315" s="2"/>
      <c r="AA315" s="2"/>
    </row>
    <row r="316">
      <c r="A316" s="11">
        <v>300.0</v>
      </c>
      <c r="B316" s="17" t="s">
        <v>10657</v>
      </c>
      <c r="C316" s="17" t="s">
        <v>10658</v>
      </c>
      <c r="D316" s="17" t="s">
        <v>10659</v>
      </c>
      <c r="E316" s="10">
        <v>10.0</v>
      </c>
      <c r="F316" s="7">
        <f t="shared" si="2"/>
        <v>90</v>
      </c>
      <c r="G316" s="17" t="s">
        <v>3113</v>
      </c>
      <c r="H316" s="2"/>
      <c r="I316" s="2"/>
      <c r="J316" s="2"/>
      <c r="K316" s="2"/>
      <c r="L316" s="2"/>
      <c r="M316" s="2"/>
      <c r="N316" s="2"/>
      <c r="O316" s="2"/>
      <c r="P316" s="2"/>
      <c r="Q316" s="2"/>
      <c r="R316" s="2"/>
      <c r="S316" s="2"/>
      <c r="T316" s="2"/>
      <c r="U316" s="2"/>
      <c r="V316" s="2"/>
      <c r="W316" s="2"/>
      <c r="X316" s="2"/>
      <c r="Y316" s="2"/>
      <c r="Z316" s="2"/>
      <c r="AA316" s="2"/>
    </row>
    <row r="317">
      <c r="A317" s="11">
        <v>301.0</v>
      </c>
      <c r="B317" s="17" t="s">
        <v>10660</v>
      </c>
      <c r="C317" s="17" t="s">
        <v>10661</v>
      </c>
      <c r="D317" s="17" t="s">
        <v>10662</v>
      </c>
      <c r="E317" s="10">
        <v>10.0</v>
      </c>
      <c r="F317" s="7">
        <f t="shared" si="2"/>
        <v>90</v>
      </c>
      <c r="G317" s="17" t="s">
        <v>3113</v>
      </c>
      <c r="H317" s="2"/>
      <c r="I317" s="2"/>
      <c r="J317" s="2"/>
      <c r="K317" s="2"/>
      <c r="L317" s="2"/>
      <c r="M317" s="2"/>
      <c r="N317" s="2"/>
      <c r="O317" s="2"/>
      <c r="P317" s="2"/>
      <c r="Q317" s="2"/>
      <c r="R317" s="2"/>
      <c r="S317" s="2"/>
      <c r="T317" s="2"/>
      <c r="U317" s="2"/>
      <c r="V317" s="2"/>
      <c r="W317" s="2"/>
      <c r="X317" s="2"/>
      <c r="Y317" s="2"/>
      <c r="Z317" s="2"/>
      <c r="AA317" s="2"/>
    </row>
    <row r="318">
      <c r="A318" s="11">
        <v>302.0</v>
      </c>
      <c r="B318" s="17" t="s">
        <v>10663</v>
      </c>
      <c r="C318" s="17" t="s">
        <v>10664</v>
      </c>
      <c r="D318" s="17" t="s">
        <v>10665</v>
      </c>
      <c r="E318" s="10">
        <v>10.0</v>
      </c>
      <c r="F318" s="7">
        <f t="shared" si="2"/>
        <v>90</v>
      </c>
      <c r="G318" s="17" t="s">
        <v>3113</v>
      </c>
      <c r="H318" s="2"/>
      <c r="I318" s="2"/>
      <c r="J318" s="2"/>
      <c r="K318" s="2"/>
      <c r="L318" s="2"/>
      <c r="M318" s="2"/>
      <c r="N318" s="2"/>
      <c r="O318" s="2"/>
      <c r="P318" s="2"/>
      <c r="Q318" s="2"/>
      <c r="R318" s="2"/>
      <c r="S318" s="2"/>
      <c r="T318" s="2"/>
      <c r="U318" s="2"/>
      <c r="V318" s="2"/>
      <c r="W318" s="2"/>
      <c r="X318" s="2"/>
      <c r="Y318" s="2"/>
      <c r="Z318" s="2"/>
      <c r="AA318" s="2"/>
    </row>
    <row r="319">
      <c r="A319" s="11">
        <v>303.0</v>
      </c>
      <c r="B319" s="17" t="s">
        <v>10666</v>
      </c>
      <c r="C319" s="17" t="s">
        <v>10667</v>
      </c>
      <c r="D319" s="17" t="s">
        <v>10668</v>
      </c>
      <c r="E319" s="10">
        <v>10.0</v>
      </c>
      <c r="F319" s="7">
        <f t="shared" si="2"/>
        <v>90</v>
      </c>
      <c r="G319" s="17" t="s">
        <v>3113</v>
      </c>
      <c r="H319" s="2"/>
      <c r="I319" s="2"/>
      <c r="J319" s="2"/>
      <c r="K319" s="2"/>
      <c r="L319" s="2"/>
      <c r="M319" s="2"/>
      <c r="N319" s="2"/>
      <c r="O319" s="2"/>
      <c r="P319" s="2"/>
      <c r="Q319" s="2"/>
      <c r="R319" s="2"/>
      <c r="S319" s="2"/>
      <c r="T319" s="2"/>
      <c r="U319" s="2"/>
      <c r="V319" s="2"/>
      <c r="W319" s="2"/>
      <c r="X319" s="2"/>
      <c r="Y319" s="2"/>
      <c r="Z319" s="2"/>
      <c r="AA319" s="2"/>
    </row>
    <row r="320">
      <c r="A320" s="11">
        <v>304.0</v>
      </c>
      <c r="B320" s="17" t="s">
        <v>10669</v>
      </c>
      <c r="C320" s="17" t="s">
        <v>10670</v>
      </c>
      <c r="D320" s="17" t="s">
        <v>10671</v>
      </c>
      <c r="E320" s="10">
        <v>10.0</v>
      </c>
      <c r="F320" s="7">
        <f t="shared" si="2"/>
        <v>90</v>
      </c>
      <c r="G320" s="17" t="s">
        <v>3113</v>
      </c>
      <c r="H320" s="2"/>
      <c r="I320" s="2"/>
      <c r="J320" s="2"/>
      <c r="K320" s="2"/>
      <c r="L320" s="2"/>
      <c r="M320" s="2"/>
      <c r="N320" s="2"/>
      <c r="O320" s="2"/>
      <c r="P320" s="2"/>
      <c r="Q320" s="2"/>
      <c r="R320" s="2"/>
      <c r="S320" s="2"/>
      <c r="T320" s="2"/>
      <c r="U320" s="2"/>
      <c r="V320" s="2"/>
      <c r="W320" s="2"/>
      <c r="X320" s="2"/>
      <c r="Y320" s="2"/>
      <c r="Z320" s="2"/>
      <c r="AA320" s="2"/>
    </row>
    <row r="321">
      <c r="A321" s="11">
        <v>305.0</v>
      </c>
      <c r="B321" s="17" t="s">
        <v>10672</v>
      </c>
      <c r="C321" s="17" t="s">
        <v>10673</v>
      </c>
      <c r="D321" s="17" t="s">
        <v>10674</v>
      </c>
      <c r="E321" s="10">
        <v>10.0</v>
      </c>
      <c r="F321" s="7">
        <f t="shared" si="2"/>
        <v>90</v>
      </c>
      <c r="G321" s="17" t="s">
        <v>3113</v>
      </c>
      <c r="H321" s="2"/>
      <c r="I321" s="2"/>
      <c r="J321" s="2"/>
      <c r="K321" s="2"/>
      <c r="L321" s="2"/>
      <c r="M321" s="2"/>
      <c r="N321" s="2"/>
      <c r="O321" s="2"/>
      <c r="P321" s="2"/>
      <c r="Q321" s="2"/>
      <c r="R321" s="2"/>
      <c r="S321" s="2"/>
      <c r="T321" s="2"/>
      <c r="U321" s="2"/>
      <c r="V321" s="2"/>
      <c r="W321" s="2"/>
      <c r="X321" s="2"/>
      <c r="Y321" s="2"/>
      <c r="Z321" s="2"/>
      <c r="AA321" s="2"/>
    </row>
    <row r="322">
      <c r="A322" s="11">
        <v>306.0</v>
      </c>
      <c r="B322" s="17" t="s">
        <v>10675</v>
      </c>
      <c r="C322" s="17" t="s">
        <v>10676</v>
      </c>
      <c r="D322" s="17" t="s">
        <v>10677</v>
      </c>
      <c r="E322" s="10">
        <v>10.0</v>
      </c>
      <c r="F322" s="7">
        <f t="shared" si="2"/>
        <v>90</v>
      </c>
      <c r="G322" s="17" t="s">
        <v>3113</v>
      </c>
      <c r="H322" s="2"/>
      <c r="I322" s="2"/>
      <c r="J322" s="2"/>
      <c r="K322" s="2"/>
      <c r="L322" s="2"/>
      <c r="M322" s="2"/>
      <c r="N322" s="2"/>
      <c r="O322" s="2"/>
      <c r="P322" s="2"/>
      <c r="Q322" s="2"/>
      <c r="R322" s="2"/>
      <c r="S322" s="2"/>
      <c r="T322" s="2"/>
      <c r="U322" s="2"/>
      <c r="V322" s="2"/>
      <c r="W322" s="2"/>
      <c r="X322" s="2"/>
      <c r="Y322" s="2"/>
      <c r="Z322" s="2"/>
      <c r="AA322" s="2"/>
    </row>
    <row r="323">
      <c r="A323" s="11">
        <v>307.0</v>
      </c>
      <c r="B323" s="17" t="s">
        <v>10678</v>
      </c>
      <c r="C323" s="17" t="s">
        <v>10679</v>
      </c>
      <c r="D323" s="17" t="s">
        <v>10680</v>
      </c>
      <c r="E323" s="10">
        <v>10.0</v>
      </c>
      <c r="F323" s="7">
        <f t="shared" si="2"/>
        <v>90</v>
      </c>
      <c r="G323" s="17" t="s">
        <v>3113</v>
      </c>
      <c r="H323" s="2"/>
      <c r="I323" s="2"/>
      <c r="J323" s="2"/>
      <c r="K323" s="2"/>
      <c r="L323" s="2"/>
      <c r="M323" s="2"/>
      <c r="N323" s="2"/>
      <c r="O323" s="2"/>
      <c r="P323" s="2"/>
      <c r="Q323" s="2"/>
      <c r="R323" s="2"/>
      <c r="S323" s="2"/>
      <c r="T323" s="2"/>
      <c r="U323" s="2"/>
      <c r="V323" s="2"/>
      <c r="W323" s="2"/>
      <c r="X323" s="2"/>
      <c r="Y323" s="2"/>
      <c r="Z323" s="2"/>
      <c r="AA323" s="2"/>
    </row>
    <row r="324">
      <c r="A324" s="11">
        <v>308.0</v>
      </c>
      <c r="B324" s="17" t="s">
        <v>10681</v>
      </c>
      <c r="C324" s="17" t="s">
        <v>10682</v>
      </c>
      <c r="D324" s="17" t="s">
        <v>10683</v>
      </c>
      <c r="E324" s="10">
        <v>10.0</v>
      </c>
      <c r="F324" s="7">
        <f t="shared" si="2"/>
        <v>90</v>
      </c>
      <c r="G324" s="17" t="s">
        <v>3113</v>
      </c>
      <c r="H324" s="2"/>
      <c r="I324" s="2"/>
      <c r="J324" s="2"/>
      <c r="K324" s="2"/>
      <c r="L324" s="2"/>
      <c r="M324" s="2"/>
      <c r="N324" s="2"/>
      <c r="O324" s="2"/>
      <c r="P324" s="2"/>
      <c r="Q324" s="2"/>
      <c r="R324" s="2"/>
      <c r="S324" s="2"/>
      <c r="T324" s="2"/>
      <c r="U324" s="2"/>
      <c r="V324" s="2"/>
      <c r="W324" s="2"/>
      <c r="X324" s="2"/>
      <c r="Y324" s="2"/>
      <c r="Z324" s="2"/>
      <c r="AA324" s="2"/>
    </row>
    <row r="325">
      <c r="A325" s="11">
        <v>309.0</v>
      </c>
      <c r="B325" s="17" t="s">
        <v>10684</v>
      </c>
      <c r="C325" s="17" t="s">
        <v>10685</v>
      </c>
      <c r="D325" s="17" t="s">
        <v>10686</v>
      </c>
      <c r="E325" s="10">
        <v>10.0</v>
      </c>
      <c r="F325" s="7">
        <f t="shared" si="2"/>
        <v>90</v>
      </c>
      <c r="G325" s="17" t="s">
        <v>3113</v>
      </c>
      <c r="H325" s="2"/>
      <c r="I325" s="2"/>
      <c r="J325" s="2"/>
      <c r="K325" s="2"/>
      <c r="L325" s="2"/>
      <c r="M325" s="2"/>
      <c r="N325" s="2"/>
      <c r="O325" s="2"/>
      <c r="P325" s="2"/>
      <c r="Q325" s="2"/>
      <c r="R325" s="2"/>
      <c r="S325" s="2"/>
      <c r="T325" s="2"/>
      <c r="U325" s="2"/>
      <c r="V325" s="2"/>
      <c r="W325" s="2"/>
      <c r="X325" s="2"/>
      <c r="Y325" s="2"/>
      <c r="Z325" s="2"/>
      <c r="AA325" s="2"/>
    </row>
    <row r="326">
      <c r="A326" s="11">
        <v>310.0</v>
      </c>
      <c r="B326" s="17" t="s">
        <v>10687</v>
      </c>
      <c r="C326" s="17" t="s">
        <v>10688</v>
      </c>
      <c r="D326" s="17" t="s">
        <v>10689</v>
      </c>
      <c r="E326" s="10">
        <v>10.0</v>
      </c>
      <c r="F326" s="7">
        <f t="shared" si="2"/>
        <v>90</v>
      </c>
      <c r="G326" s="17" t="s">
        <v>3113</v>
      </c>
      <c r="H326" s="2"/>
      <c r="I326" s="2"/>
      <c r="J326" s="2"/>
      <c r="K326" s="2"/>
      <c r="L326" s="2"/>
      <c r="M326" s="2"/>
      <c r="N326" s="2"/>
      <c r="O326" s="2"/>
      <c r="P326" s="2"/>
      <c r="Q326" s="2"/>
      <c r="R326" s="2"/>
      <c r="S326" s="2"/>
      <c r="T326" s="2"/>
      <c r="U326" s="2"/>
      <c r="V326" s="2"/>
      <c r="W326" s="2"/>
      <c r="X326" s="2"/>
      <c r="Y326" s="2"/>
      <c r="Z326" s="2"/>
      <c r="AA326" s="2"/>
    </row>
    <row r="327">
      <c r="A327" s="11">
        <v>311.0</v>
      </c>
      <c r="B327" s="17" t="s">
        <v>10687</v>
      </c>
      <c r="C327" s="17" t="s">
        <v>10690</v>
      </c>
      <c r="D327" s="17" t="s">
        <v>10691</v>
      </c>
      <c r="E327" s="10">
        <v>10.0</v>
      </c>
      <c r="F327" s="7">
        <f t="shared" si="2"/>
        <v>90</v>
      </c>
      <c r="G327" s="17" t="s">
        <v>3113</v>
      </c>
      <c r="H327" s="2"/>
      <c r="I327" s="2"/>
      <c r="J327" s="2"/>
      <c r="K327" s="2"/>
      <c r="L327" s="2"/>
      <c r="M327" s="2"/>
      <c r="N327" s="2"/>
      <c r="O327" s="2"/>
      <c r="P327" s="2"/>
      <c r="Q327" s="2"/>
      <c r="R327" s="2"/>
      <c r="S327" s="2"/>
      <c r="T327" s="2"/>
      <c r="U327" s="2"/>
      <c r="V327" s="2"/>
      <c r="W327" s="2"/>
      <c r="X327" s="2"/>
      <c r="Y327" s="2"/>
      <c r="Z327" s="2"/>
      <c r="AA327" s="2"/>
    </row>
    <row r="328">
      <c r="A328" s="11">
        <v>312.0</v>
      </c>
      <c r="B328" s="17" t="s">
        <v>10692</v>
      </c>
      <c r="C328" s="17" t="s">
        <v>10693</v>
      </c>
      <c r="D328" s="17" t="s">
        <v>10694</v>
      </c>
      <c r="E328" s="10">
        <v>10.0</v>
      </c>
      <c r="F328" s="7">
        <f t="shared" si="2"/>
        <v>90</v>
      </c>
      <c r="G328" s="17" t="s">
        <v>3113</v>
      </c>
      <c r="H328" s="2"/>
      <c r="I328" s="2"/>
      <c r="J328" s="2"/>
      <c r="K328" s="2"/>
      <c r="L328" s="2"/>
      <c r="M328" s="2"/>
      <c r="N328" s="2"/>
      <c r="O328" s="2"/>
      <c r="P328" s="2"/>
      <c r="Q328" s="2"/>
      <c r="R328" s="2"/>
      <c r="S328" s="2"/>
      <c r="T328" s="2"/>
      <c r="U328" s="2"/>
      <c r="V328" s="2"/>
      <c r="W328" s="2"/>
      <c r="X328" s="2"/>
      <c r="Y328" s="2"/>
      <c r="Z328" s="2"/>
      <c r="AA328" s="2"/>
    </row>
    <row r="329">
      <c r="A329" s="11">
        <v>313.0</v>
      </c>
      <c r="B329" s="17" t="s">
        <v>10692</v>
      </c>
      <c r="C329" s="17" t="s">
        <v>10695</v>
      </c>
      <c r="D329" s="17" t="s">
        <v>10696</v>
      </c>
      <c r="E329" s="10">
        <v>10.0</v>
      </c>
      <c r="F329" s="7">
        <f t="shared" si="2"/>
        <v>90</v>
      </c>
      <c r="G329" s="17" t="s">
        <v>3113</v>
      </c>
      <c r="H329" s="2"/>
      <c r="I329" s="2"/>
      <c r="J329" s="2"/>
      <c r="K329" s="2"/>
      <c r="L329" s="2"/>
      <c r="M329" s="2"/>
      <c r="N329" s="2"/>
      <c r="O329" s="2"/>
      <c r="P329" s="2"/>
      <c r="Q329" s="2"/>
      <c r="R329" s="2"/>
      <c r="S329" s="2"/>
      <c r="T329" s="2"/>
      <c r="U329" s="2"/>
      <c r="V329" s="2"/>
      <c r="W329" s="2"/>
      <c r="X329" s="2"/>
      <c r="Y329" s="2"/>
      <c r="Z329" s="2"/>
      <c r="AA329" s="2"/>
    </row>
    <row r="330">
      <c r="A330" s="11">
        <v>314.0</v>
      </c>
      <c r="B330" s="17" t="s">
        <v>10697</v>
      </c>
      <c r="C330" s="17" t="s">
        <v>10698</v>
      </c>
      <c r="D330" s="17" t="s">
        <v>10699</v>
      </c>
      <c r="E330" s="10">
        <v>10.0</v>
      </c>
      <c r="F330" s="7">
        <f t="shared" si="2"/>
        <v>90</v>
      </c>
      <c r="G330" s="17" t="s">
        <v>3113</v>
      </c>
      <c r="H330" s="2"/>
      <c r="I330" s="2"/>
      <c r="J330" s="2"/>
      <c r="K330" s="2"/>
      <c r="L330" s="2"/>
      <c r="M330" s="2"/>
      <c r="N330" s="2"/>
      <c r="O330" s="2"/>
      <c r="P330" s="2"/>
      <c r="Q330" s="2"/>
      <c r="R330" s="2"/>
      <c r="S330" s="2"/>
      <c r="T330" s="2"/>
      <c r="U330" s="2"/>
      <c r="V330" s="2"/>
      <c r="W330" s="2"/>
      <c r="X330" s="2"/>
      <c r="Y330" s="2"/>
      <c r="Z330" s="2"/>
      <c r="AA330" s="2"/>
    </row>
    <row r="331">
      <c r="A331" s="11">
        <v>315.0</v>
      </c>
      <c r="B331" s="17" t="s">
        <v>10700</v>
      </c>
      <c r="C331" s="17" t="s">
        <v>10701</v>
      </c>
      <c r="D331" s="17" t="s">
        <v>10702</v>
      </c>
      <c r="E331" s="10">
        <v>10.0</v>
      </c>
      <c r="F331" s="7">
        <f t="shared" si="2"/>
        <v>90</v>
      </c>
      <c r="G331" s="17" t="s">
        <v>3113</v>
      </c>
      <c r="H331" s="2"/>
      <c r="I331" s="2"/>
      <c r="J331" s="2"/>
      <c r="K331" s="2"/>
      <c r="L331" s="2"/>
      <c r="M331" s="2"/>
      <c r="N331" s="2"/>
      <c r="O331" s="2"/>
      <c r="P331" s="2"/>
      <c r="Q331" s="2"/>
      <c r="R331" s="2"/>
      <c r="S331" s="2"/>
      <c r="T331" s="2"/>
      <c r="U331" s="2"/>
      <c r="V331" s="2"/>
      <c r="W331" s="2"/>
      <c r="X331" s="2"/>
      <c r="Y331" s="2"/>
      <c r="Z331" s="2"/>
      <c r="AA331" s="2"/>
    </row>
    <row r="332">
      <c r="A332" s="11">
        <v>316.0</v>
      </c>
      <c r="B332" s="17" t="s">
        <v>10703</v>
      </c>
      <c r="C332" s="17" t="s">
        <v>10704</v>
      </c>
      <c r="D332" s="17" t="s">
        <v>10705</v>
      </c>
      <c r="E332" s="10">
        <v>10.0</v>
      </c>
      <c r="F332" s="7">
        <f t="shared" si="2"/>
        <v>90</v>
      </c>
      <c r="G332" s="17" t="s">
        <v>3113</v>
      </c>
      <c r="H332" s="2"/>
      <c r="I332" s="2"/>
      <c r="J332" s="2"/>
      <c r="K332" s="2"/>
      <c r="L332" s="2"/>
      <c r="M332" s="2"/>
      <c r="N332" s="2"/>
      <c r="O332" s="2"/>
      <c r="P332" s="2"/>
      <c r="Q332" s="2"/>
      <c r="R332" s="2"/>
      <c r="S332" s="2"/>
      <c r="T332" s="2"/>
      <c r="U332" s="2"/>
      <c r="V332" s="2"/>
      <c r="W332" s="2"/>
      <c r="X332" s="2"/>
      <c r="Y332" s="2"/>
      <c r="Z332" s="2"/>
      <c r="AA332" s="2"/>
    </row>
    <row r="333">
      <c r="A333" s="11">
        <v>317.0</v>
      </c>
      <c r="B333" s="17" t="s">
        <v>10706</v>
      </c>
      <c r="C333" s="17" t="s">
        <v>10707</v>
      </c>
      <c r="D333" s="17" t="s">
        <v>10708</v>
      </c>
      <c r="E333" s="10">
        <v>10.0</v>
      </c>
      <c r="F333" s="7">
        <f t="shared" si="2"/>
        <v>90</v>
      </c>
      <c r="G333" s="17" t="s">
        <v>3113</v>
      </c>
      <c r="H333" s="2"/>
      <c r="I333" s="2"/>
      <c r="J333" s="2"/>
      <c r="K333" s="2"/>
      <c r="L333" s="2"/>
      <c r="M333" s="2"/>
      <c r="N333" s="2"/>
      <c r="O333" s="2"/>
      <c r="P333" s="2"/>
      <c r="Q333" s="2"/>
      <c r="R333" s="2"/>
      <c r="S333" s="2"/>
      <c r="T333" s="2"/>
      <c r="U333" s="2"/>
      <c r="V333" s="2"/>
      <c r="W333" s="2"/>
      <c r="X333" s="2"/>
      <c r="Y333" s="2"/>
      <c r="Z333" s="2"/>
      <c r="AA333" s="2"/>
    </row>
    <row r="334">
      <c r="A334" s="11">
        <v>318.0</v>
      </c>
      <c r="B334" s="17" t="s">
        <v>10709</v>
      </c>
      <c r="C334" s="17" t="s">
        <v>10710</v>
      </c>
      <c r="D334" s="17" t="s">
        <v>10711</v>
      </c>
      <c r="E334" s="10">
        <v>10.0</v>
      </c>
      <c r="F334" s="7">
        <f t="shared" si="2"/>
        <v>90</v>
      </c>
      <c r="G334" s="17" t="s">
        <v>3113</v>
      </c>
      <c r="H334" s="2"/>
      <c r="I334" s="2"/>
      <c r="J334" s="2"/>
      <c r="K334" s="2"/>
      <c r="L334" s="2"/>
      <c r="M334" s="2"/>
      <c r="N334" s="2"/>
      <c r="O334" s="2"/>
      <c r="P334" s="2"/>
      <c r="Q334" s="2"/>
      <c r="R334" s="2"/>
      <c r="S334" s="2"/>
      <c r="T334" s="2"/>
      <c r="U334" s="2"/>
      <c r="V334" s="2"/>
      <c r="W334" s="2"/>
      <c r="X334" s="2"/>
      <c r="Y334" s="2"/>
      <c r="Z334" s="2"/>
      <c r="AA334" s="2"/>
    </row>
    <row r="335">
      <c r="A335" s="11">
        <v>319.0</v>
      </c>
      <c r="B335" s="17" t="s">
        <v>10712</v>
      </c>
      <c r="C335" s="17" t="s">
        <v>10713</v>
      </c>
      <c r="D335" s="17" t="s">
        <v>10714</v>
      </c>
      <c r="E335" s="10">
        <v>10.0</v>
      </c>
      <c r="F335" s="7">
        <f t="shared" si="2"/>
        <v>90</v>
      </c>
      <c r="G335" s="17" t="s">
        <v>3113</v>
      </c>
      <c r="H335" s="2"/>
      <c r="I335" s="2"/>
      <c r="J335" s="2"/>
      <c r="K335" s="2"/>
      <c r="L335" s="2"/>
      <c r="M335" s="2"/>
      <c r="N335" s="2"/>
      <c r="O335" s="2"/>
      <c r="P335" s="2"/>
      <c r="Q335" s="2"/>
      <c r="R335" s="2"/>
      <c r="S335" s="2"/>
      <c r="T335" s="2"/>
      <c r="U335" s="2"/>
      <c r="V335" s="2"/>
      <c r="W335" s="2"/>
      <c r="X335" s="2"/>
      <c r="Y335" s="2"/>
      <c r="Z335" s="2"/>
      <c r="AA335" s="2"/>
    </row>
    <row r="336">
      <c r="A336" s="11">
        <v>320.0</v>
      </c>
      <c r="B336" s="17" t="s">
        <v>10715</v>
      </c>
      <c r="C336" s="17" t="s">
        <v>10716</v>
      </c>
      <c r="D336" s="17" t="s">
        <v>10717</v>
      </c>
      <c r="E336" s="10">
        <v>10.0</v>
      </c>
      <c r="F336" s="7">
        <f t="shared" si="2"/>
        <v>90</v>
      </c>
      <c r="G336" s="17" t="s">
        <v>3113</v>
      </c>
      <c r="H336" s="2"/>
      <c r="I336" s="2"/>
      <c r="J336" s="2"/>
      <c r="K336" s="2"/>
      <c r="L336" s="2"/>
      <c r="M336" s="2"/>
      <c r="N336" s="2"/>
      <c r="O336" s="2"/>
      <c r="P336" s="2"/>
      <c r="Q336" s="2"/>
      <c r="R336" s="2"/>
      <c r="S336" s="2"/>
      <c r="T336" s="2"/>
      <c r="U336" s="2"/>
      <c r="V336" s="2"/>
      <c r="W336" s="2"/>
      <c r="X336" s="2"/>
      <c r="Y336" s="2"/>
      <c r="Z336" s="2"/>
      <c r="AA336" s="2"/>
    </row>
    <row r="337">
      <c r="A337" s="11">
        <v>321.0</v>
      </c>
      <c r="B337" s="17" t="s">
        <v>10718</v>
      </c>
      <c r="C337" s="17" t="s">
        <v>10719</v>
      </c>
      <c r="D337" s="17" t="s">
        <v>10720</v>
      </c>
      <c r="E337" s="10">
        <v>10.0</v>
      </c>
      <c r="F337" s="7">
        <f t="shared" si="2"/>
        <v>90</v>
      </c>
      <c r="G337" s="17" t="s">
        <v>3113</v>
      </c>
      <c r="H337" s="2"/>
      <c r="I337" s="2"/>
      <c r="J337" s="2"/>
      <c r="K337" s="2"/>
      <c r="L337" s="2"/>
      <c r="M337" s="2"/>
      <c r="N337" s="2"/>
      <c r="O337" s="2"/>
      <c r="P337" s="2"/>
      <c r="Q337" s="2"/>
      <c r="R337" s="2"/>
      <c r="S337" s="2"/>
      <c r="T337" s="2"/>
      <c r="U337" s="2"/>
      <c r="V337" s="2"/>
      <c r="W337" s="2"/>
      <c r="X337" s="2"/>
      <c r="Y337" s="2"/>
      <c r="Z337" s="2"/>
      <c r="AA337" s="2"/>
    </row>
    <row r="338">
      <c r="A338" s="11">
        <v>322.0</v>
      </c>
      <c r="B338" s="17" t="s">
        <v>10721</v>
      </c>
      <c r="C338" s="17" t="s">
        <v>10722</v>
      </c>
      <c r="D338" s="17" t="s">
        <v>10723</v>
      </c>
      <c r="E338" s="10">
        <v>10.0</v>
      </c>
      <c r="F338" s="7">
        <f t="shared" si="2"/>
        <v>90</v>
      </c>
      <c r="G338" s="17" t="s">
        <v>3113</v>
      </c>
      <c r="H338" s="2"/>
      <c r="I338" s="2"/>
      <c r="J338" s="2"/>
      <c r="K338" s="2"/>
      <c r="L338" s="2"/>
      <c r="M338" s="2"/>
      <c r="N338" s="2"/>
      <c r="O338" s="2"/>
      <c r="P338" s="2"/>
      <c r="Q338" s="2"/>
      <c r="R338" s="2"/>
      <c r="S338" s="2"/>
      <c r="T338" s="2"/>
      <c r="U338" s="2"/>
      <c r="V338" s="2"/>
      <c r="W338" s="2"/>
      <c r="X338" s="2"/>
      <c r="Y338" s="2"/>
      <c r="Z338" s="2"/>
      <c r="AA338" s="2"/>
    </row>
    <row r="339">
      <c r="A339" s="11">
        <v>323.0</v>
      </c>
      <c r="B339" s="17" t="s">
        <v>10724</v>
      </c>
      <c r="C339" s="17" t="s">
        <v>10725</v>
      </c>
      <c r="D339" s="17" t="s">
        <v>10726</v>
      </c>
      <c r="E339" s="10">
        <v>10.0</v>
      </c>
      <c r="F339" s="7">
        <f t="shared" si="2"/>
        <v>90</v>
      </c>
      <c r="G339" s="17" t="s">
        <v>3113</v>
      </c>
      <c r="H339" s="2"/>
      <c r="I339" s="2"/>
      <c r="J339" s="2"/>
      <c r="K339" s="2"/>
      <c r="L339" s="2"/>
      <c r="M339" s="2"/>
      <c r="N339" s="2"/>
      <c r="O339" s="2"/>
      <c r="P339" s="2"/>
      <c r="Q339" s="2"/>
      <c r="R339" s="2"/>
      <c r="S339" s="2"/>
      <c r="T339" s="2"/>
      <c r="U339" s="2"/>
      <c r="V339" s="2"/>
      <c r="W339" s="2"/>
      <c r="X339" s="2"/>
      <c r="Y339" s="2"/>
      <c r="Z339" s="2"/>
      <c r="AA339" s="2"/>
    </row>
    <row r="340">
      <c r="A340" s="11">
        <v>324.0</v>
      </c>
      <c r="B340" s="17" t="s">
        <v>10727</v>
      </c>
      <c r="C340" s="17" t="s">
        <v>10728</v>
      </c>
      <c r="D340" s="17" t="s">
        <v>10729</v>
      </c>
      <c r="E340" s="10">
        <v>10.0</v>
      </c>
      <c r="F340" s="7">
        <f t="shared" si="2"/>
        <v>90</v>
      </c>
      <c r="G340" s="17" t="s">
        <v>3113</v>
      </c>
      <c r="H340" s="2"/>
      <c r="I340" s="2"/>
      <c r="J340" s="2"/>
      <c r="K340" s="2"/>
      <c r="L340" s="2"/>
      <c r="M340" s="2"/>
      <c r="N340" s="2"/>
      <c r="O340" s="2"/>
      <c r="P340" s="2"/>
      <c r="Q340" s="2"/>
      <c r="R340" s="2"/>
      <c r="S340" s="2"/>
      <c r="T340" s="2"/>
      <c r="U340" s="2"/>
      <c r="V340" s="2"/>
      <c r="W340" s="2"/>
      <c r="X340" s="2"/>
      <c r="Y340" s="2"/>
      <c r="Z340" s="2"/>
      <c r="AA340" s="2"/>
    </row>
    <row r="341">
      <c r="A341" s="11">
        <v>325.0</v>
      </c>
      <c r="B341" s="17" t="s">
        <v>10730</v>
      </c>
      <c r="C341" s="17" t="s">
        <v>10731</v>
      </c>
      <c r="D341" s="17" t="s">
        <v>10732</v>
      </c>
      <c r="E341" s="10">
        <v>10.0</v>
      </c>
      <c r="F341" s="7">
        <f t="shared" si="2"/>
        <v>90</v>
      </c>
      <c r="G341" s="17" t="s">
        <v>3113</v>
      </c>
      <c r="H341" s="2"/>
      <c r="I341" s="2"/>
      <c r="J341" s="2"/>
      <c r="K341" s="2"/>
      <c r="L341" s="2"/>
      <c r="M341" s="2"/>
      <c r="N341" s="2"/>
      <c r="O341" s="2"/>
      <c r="P341" s="2"/>
      <c r="Q341" s="2"/>
      <c r="R341" s="2"/>
      <c r="S341" s="2"/>
      <c r="T341" s="2"/>
      <c r="U341" s="2"/>
      <c r="V341" s="2"/>
      <c r="W341" s="2"/>
      <c r="X341" s="2"/>
      <c r="Y341" s="2"/>
      <c r="Z341" s="2"/>
      <c r="AA341" s="2"/>
    </row>
    <row r="342">
      <c r="A342" s="11">
        <v>326.0</v>
      </c>
      <c r="B342" s="17" t="s">
        <v>10733</v>
      </c>
      <c r="C342" s="17" t="s">
        <v>10734</v>
      </c>
      <c r="D342" s="17" t="s">
        <v>10735</v>
      </c>
      <c r="E342" s="10">
        <v>10.0</v>
      </c>
      <c r="F342" s="7">
        <f t="shared" si="2"/>
        <v>90</v>
      </c>
      <c r="G342" s="17" t="s">
        <v>3113</v>
      </c>
      <c r="H342" s="2"/>
      <c r="I342" s="2"/>
      <c r="J342" s="2"/>
      <c r="K342" s="2"/>
      <c r="L342" s="2"/>
      <c r="M342" s="2"/>
      <c r="N342" s="2"/>
      <c r="O342" s="2"/>
      <c r="P342" s="2"/>
      <c r="Q342" s="2"/>
      <c r="R342" s="2"/>
      <c r="S342" s="2"/>
      <c r="T342" s="2"/>
      <c r="U342" s="2"/>
      <c r="V342" s="2"/>
      <c r="W342" s="2"/>
      <c r="X342" s="2"/>
      <c r="Y342" s="2"/>
      <c r="Z342" s="2"/>
      <c r="AA342" s="2"/>
    </row>
    <row r="343">
      <c r="A343" s="11">
        <v>327.0</v>
      </c>
      <c r="B343" s="17" t="s">
        <v>10736</v>
      </c>
      <c r="C343" s="17" t="s">
        <v>10737</v>
      </c>
      <c r="D343" s="17" t="s">
        <v>10738</v>
      </c>
      <c r="E343" s="10">
        <v>10.0</v>
      </c>
      <c r="F343" s="7">
        <f t="shared" si="2"/>
        <v>90</v>
      </c>
      <c r="G343" s="17" t="s">
        <v>3113</v>
      </c>
      <c r="H343" s="2"/>
      <c r="I343" s="2"/>
      <c r="J343" s="2"/>
      <c r="K343" s="2"/>
      <c r="L343" s="2"/>
      <c r="M343" s="2"/>
      <c r="N343" s="2"/>
      <c r="O343" s="2"/>
      <c r="P343" s="2"/>
      <c r="Q343" s="2"/>
      <c r="R343" s="2"/>
      <c r="S343" s="2"/>
      <c r="T343" s="2"/>
      <c r="U343" s="2"/>
      <c r="V343" s="2"/>
      <c r="W343" s="2"/>
      <c r="X343" s="2"/>
      <c r="Y343" s="2"/>
      <c r="Z343" s="2"/>
      <c r="AA343" s="2"/>
    </row>
    <row r="344">
      <c r="A344" s="11">
        <v>328.0</v>
      </c>
      <c r="B344" s="17" t="s">
        <v>10739</v>
      </c>
      <c r="C344" s="17" t="s">
        <v>10740</v>
      </c>
      <c r="D344" s="17" t="s">
        <v>10741</v>
      </c>
      <c r="E344" s="10">
        <v>10.0</v>
      </c>
      <c r="F344" s="7">
        <f t="shared" si="2"/>
        <v>90</v>
      </c>
      <c r="G344" s="17" t="s">
        <v>3113</v>
      </c>
      <c r="H344" s="2"/>
      <c r="I344" s="2"/>
      <c r="J344" s="2"/>
      <c r="K344" s="2"/>
      <c r="L344" s="2"/>
      <c r="M344" s="2"/>
      <c r="N344" s="2"/>
      <c r="O344" s="2"/>
      <c r="P344" s="2"/>
      <c r="Q344" s="2"/>
      <c r="R344" s="2"/>
      <c r="S344" s="2"/>
      <c r="T344" s="2"/>
      <c r="U344" s="2"/>
      <c r="V344" s="2"/>
      <c r="W344" s="2"/>
      <c r="X344" s="2"/>
      <c r="Y344" s="2"/>
      <c r="Z344" s="2"/>
      <c r="AA344" s="2"/>
    </row>
    <row r="345">
      <c r="A345" s="11">
        <v>329.0</v>
      </c>
      <c r="B345" s="17" t="s">
        <v>10742</v>
      </c>
      <c r="C345" s="17" t="s">
        <v>10743</v>
      </c>
      <c r="D345" s="17" t="s">
        <v>10744</v>
      </c>
      <c r="E345" s="10">
        <v>10.0</v>
      </c>
      <c r="F345" s="7">
        <f t="shared" si="2"/>
        <v>90</v>
      </c>
      <c r="G345" s="17" t="s">
        <v>3113</v>
      </c>
      <c r="H345" s="2"/>
      <c r="I345" s="2"/>
      <c r="J345" s="2"/>
      <c r="K345" s="2"/>
      <c r="L345" s="2"/>
      <c r="M345" s="2"/>
      <c r="N345" s="2"/>
      <c r="O345" s="2"/>
      <c r="P345" s="2"/>
      <c r="Q345" s="2"/>
      <c r="R345" s="2"/>
      <c r="S345" s="2"/>
      <c r="T345" s="2"/>
      <c r="U345" s="2"/>
      <c r="V345" s="2"/>
      <c r="W345" s="2"/>
      <c r="X345" s="2"/>
      <c r="Y345" s="2"/>
      <c r="Z345" s="2"/>
      <c r="AA345" s="2"/>
    </row>
    <row r="346">
      <c r="A346" s="11">
        <v>330.0</v>
      </c>
      <c r="B346" s="17" t="s">
        <v>10745</v>
      </c>
      <c r="C346" s="17" t="s">
        <v>10746</v>
      </c>
      <c r="D346" s="17" t="s">
        <v>10747</v>
      </c>
      <c r="E346" s="10">
        <v>10.0</v>
      </c>
      <c r="F346" s="7">
        <f t="shared" si="2"/>
        <v>90</v>
      </c>
      <c r="G346" s="17" t="s">
        <v>3113</v>
      </c>
      <c r="H346" s="2"/>
      <c r="I346" s="2"/>
      <c r="J346" s="2"/>
      <c r="K346" s="2"/>
      <c r="L346" s="2"/>
      <c r="M346" s="2"/>
      <c r="N346" s="2"/>
      <c r="O346" s="2"/>
      <c r="P346" s="2"/>
      <c r="Q346" s="2"/>
      <c r="R346" s="2"/>
      <c r="S346" s="2"/>
      <c r="T346" s="2"/>
      <c r="U346" s="2"/>
      <c r="V346" s="2"/>
      <c r="W346" s="2"/>
      <c r="X346" s="2"/>
      <c r="Y346" s="2"/>
      <c r="Z346" s="2"/>
      <c r="AA346" s="2"/>
    </row>
    <row r="347">
      <c r="A347" s="11">
        <v>331.0</v>
      </c>
      <c r="B347" s="17" t="s">
        <v>10748</v>
      </c>
      <c r="C347" s="17" t="s">
        <v>10749</v>
      </c>
      <c r="D347" s="17" t="s">
        <v>10750</v>
      </c>
      <c r="E347" s="10">
        <v>10.0</v>
      </c>
      <c r="F347" s="7">
        <f t="shared" si="2"/>
        <v>90</v>
      </c>
      <c r="G347" s="17" t="s">
        <v>3113</v>
      </c>
      <c r="H347" s="2"/>
      <c r="I347" s="2"/>
      <c r="J347" s="2"/>
      <c r="K347" s="2"/>
      <c r="L347" s="2"/>
      <c r="M347" s="2"/>
      <c r="N347" s="2"/>
      <c r="O347" s="2"/>
      <c r="P347" s="2"/>
      <c r="Q347" s="2"/>
      <c r="R347" s="2"/>
      <c r="S347" s="2"/>
      <c r="T347" s="2"/>
      <c r="U347" s="2"/>
      <c r="V347" s="2"/>
      <c r="W347" s="2"/>
      <c r="X347" s="2"/>
      <c r="Y347" s="2"/>
      <c r="Z347" s="2"/>
      <c r="AA347" s="2"/>
    </row>
    <row r="348">
      <c r="A348" s="11">
        <v>332.0</v>
      </c>
      <c r="B348" s="17" t="s">
        <v>10751</v>
      </c>
      <c r="C348" s="17" t="s">
        <v>10752</v>
      </c>
      <c r="D348" s="17" t="s">
        <v>10753</v>
      </c>
      <c r="E348" s="10">
        <v>10.0</v>
      </c>
      <c r="F348" s="7">
        <f t="shared" si="2"/>
        <v>90</v>
      </c>
      <c r="G348" s="17" t="s">
        <v>3113</v>
      </c>
      <c r="H348" s="2"/>
      <c r="I348" s="2"/>
      <c r="J348" s="2"/>
      <c r="K348" s="2"/>
      <c r="L348" s="2"/>
      <c r="M348" s="2"/>
      <c r="N348" s="2"/>
      <c r="O348" s="2"/>
      <c r="P348" s="2"/>
      <c r="Q348" s="2"/>
      <c r="R348" s="2"/>
      <c r="S348" s="2"/>
      <c r="T348" s="2"/>
      <c r="U348" s="2"/>
      <c r="V348" s="2"/>
      <c r="W348" s="2"/>
      <c r="X348" s="2"/>
      <c r="Y348" s="2"/>
      <c r="Z348" s="2"/>
      <c r="AA348" s="2"/>
    </row>
    <row r="349">
      <c r="A349" s="11">
        <v>333.0</v>
      </c>
      <c r="B349" s="17" t="s">
        <v>10754</v>
      </c>
      <c r="C349" s="17" t="s">
        <v>10755</v>
      </c>
      <c r="D349" s="17" t="s">
        <v>10756</v>
      </c>
      <c r="E349" s="10">
        <v>10.0</v>
      </c>
      <c r="F349" s="7">
        <f t="shared" si="2"/>
        <v>90</v>
      </c>
      <c r="G349" s="17" t="s">
        <v>3113</v>
      </c>
      <c r="H349" s="2"/>
      <c r="I349" s="2"/>
      <c r="J349" s="2"/>
      <c r="K349" s="2"/>
      <c r="L349" s="2"/>
      <c r="M349" s="2"/>
      <c r="N349" s="2"/>
      <c r="O349" s="2"/>
      <c r="P349" s="2"/>
      <c r="Q349" s="2"/>
      <c r="R349" s="2"/>
      <c r="S349" s="2"/>
      <c r="T349" s="2"/>
      <c r="U349" s="2"/>
      <c r="V349" s="2"/>
      <c r="W349" s="2"/>
      <c r="X349" s="2"/>
      <c r="Y349" s="2"/>
      <c r="Z349" s="2"/>
      <c r="AA349" s="2"/>
    </row>
    <row r="350">
      <c r="A350" s="11">
        <v>334.0</v>
      </c>
      <c r="B350" s="17" t="s">
        <v>10757</v>
      </c>
      <c r="C350" s="17" t="s">
        <v>10758</v>
      </c>
      <c r="D350" s="17" t="s">
        <v>10759</v>
      </c>
      <c r="E350" s="10">
        <v>10.0</v>
      </c>
      <c r="F350" s="7">
        <f t="shared" si="2"/>
        <v>90</v>
      </c>
      <c r="G350" s="17" t="s">
        <v>3113</v>
      </c>
      <c r="H350" s="2"/>
      <c r="I350" s="2"/>
      <c r="J350" s="2"/>
      <c r="K350" s="2"/>
      <c r="L350" s="2"/>
      <c r="M350" s="2"/>
      <c r="N350" s="2"/>
      <c r="O350" s="2"/>
      <c r="P350" s="2"/>
      <c r="Q350" s="2"/>
      <c r="R350" s="2"/>
      <c r="S350" s="2"/>
      <c r="T350" s="2"/>
      <c r="U350" s="2"/>
      <c r="V350" s="2"/>
      <c r="W350" s="2"/>
      <c r="X350" s="2"/>
      <c r="Y350" s="2"/>
      <c r="Z350" s="2"/>
      <c r="AA350" s="2"/>
    </row>
    <row r="351">
      <c r="A351" s="11">
        <v>335.0</v>
      </c>
      <c r="B351" s="17" t="s">
        <v>10760</v>
      </c>
      <c r="C351" s="17" t="s">
        <v>10761</v>
      </c>
      <c r="D351" s="17" t="s">
        <v>10762</v>
      </c>
      <c r="E351" s="10">
        <v>10.0</v>
      </c>
      <c r="F351" s="7">
        <f t="shared" si="2"/>
        <v>90</v>
      </c>
      <c r="G351" s="17" t="s">
        <v>3113</v>
      </c>
      <c r="H351" s="2"/>
      <c r="I351" s="2"/>
      <c r="J351" s="2"/>
      <c r="K351" s="2"/>
      <c r="L351" s="2"/>
      <c r="M351" s="2"/>
      <c r="N351" s="2"/>
      <c r="O351" s="2"/>
      <c r="P351" s="2"/>
      <c r="Q351" s="2"/>
      <c r="R351" s="2"/>
      <c r="S351" s="2"/>
      <c r="T351" s="2"/>
      <c r="U351" s="2"/>
      <c r="V351" s="2"/>
      <c r="W351" s="2"/>
      <c r="X351" s="2"/>
      <c r="Y351" s="2"/>
      <c r="Z351" s="2"/>
      <c r="AA351" s="2"/>
    </row>
    <row r="352">
      <c r="A352" s="11">
        <v>336.0</v>
      </c>
      <c r="B352" s="17" t="s">
        <v>10763</v>
      </c>
      <c r="C352" s="17" t="s">
        <v>10764</v>
      </c>
      <c r="D352" s="17" t="s">
        <v>10765</v>
      </c>
      <c r="E352" s="10">
        <v>10.0</v>
      </c>
      <c r="F352" s="7">
        <f t="shared" si="2"/>
        <v>90</v>
      </c>
      <c r="G352" s="17" t="s">
        <v>3113</v>
      </c>
      <c r="H352" s="2"/>
      <c r="I352" s="2"/>
      <c r="J352" s="2"/>
      <c r="K352" s="2"/>
      <c r="L352" s="2"/>
      <c r="M352" s="2"/>
      <c r="N352" s="2"/>
      <c r="O352" s="2"/>
      <c r="P352" s="2"/>
      <c r="Q352" s="2"/>
      <c r="R352" s="2"/>
      <c r="S352" s="2"/>
      <c r="T352" s="2"/>
      <c r="U352" s="2"/>
      <c r="V352" s="2"/>
      <c r="W352" s="2"/>
      <c r="X352" s="2"/>
      <c r="Y352" s="2"/>
      <c r="Z352" s="2"/>
      <c r="AA352" s="2"/>
    </row>
    <row r="353">
      <c r="A353" s="11">
        <v>337.0</v>
      </c>
      <c r="B353" s="17" t="s">
        <v>10766</v>
      </c>
      <c r="C353" s="17" t="s">
        <v>10767</v>
      </c>
      <c r="D353" s="17" t="s">
        <v>10768</v>
      </c>
      <c r="E353" s="10">
        <v>10.0</v>
      </c>
      <c r="F353" s="7">
        <f t="shared" si="2"/>
        <v>90</v>
      </c>
      <c r="G353" s="17" t="s">
        <v>3113</v>
      </c>
      <c r="H353" s="2"/>
      <c r="I353" s="2"/>
      <c r="J353" s="2"/>
      <c r="K353" s="2"/>
      <c r="L353" s="2"/>
      <c r="M353" s="2"/>
      <c r="N353" s="2"/>
      <c r="O353" s="2"/>
      <c r="P353" s="2"/>
      <c r="Q353" s="2"/>
      <c r="R353" s="2"/>
      <c r="S353" s="2"/>
      <c r="T353" s="2"/>
      <c r="U353" s="2"/>
      <c r="V353" s="2"/>
      <c r="W353" s="2"/>
      <c r="X353" s="2"/>
      <c r="Y353" s="2"/>
      <c r="Z353" s="2"/>
      <c r="AA353" s="2"/>
    </row>
    <row r="354">
      <c r="A354" s="11">
        <v>338.0</v>
      </c>
      <c r="B354" s="17" t="s">
        <v>10769</v>
      </c>
      <c r="C354" s="17" t="s">
        <v>10770</v>
      </c>
      <c r="D354" s="17" t="s">
        <v>10771</v>
      </c>
      <c r="E354" s="10">
        <v>10.0</v>
      </c>
      <c r="F354" s="7">
        <f t="shared" si="2"/>
        <v>90</v>
      </c>
      <c r="G354" s="17" t="s">
        <v>3113</v>
      </c>
      <c r="H354" s="2"/>
      <c r="I354" s="2"/>
      <c r="J354" s="2"/>
      <c r="K354" s="2"/>
      <c r="L354" s="2"/>
      <c r="M354" s="2"/>
      <c r="N354" s="2"/>
      <c r="O354" s="2"/>
      <c r="P354" s="2"/>
      <c r="Q354" s="2"/>
      <c r="R354" s="2"/>
      <c r="S354" s="2"/>
      <c r="T354" s="2"/>
      <c r="U354" s="2"/>
      <c r="V354" s="2"/>
      <c r="W354" s="2"/>
      <c r="X354" s="2"/>
      <c r="Y354" s="2"/>
      <c r="Z354" s="2"/>
      <c r="AA354" s="2"/>
    </row>
    <row r="355">
      <c r="A355" s="11">
        <v>339.0</v>
      </c>
      <c r="B355" s="17" t="s">
        <v>10772</v>
      </c>
      <c r="C355" s="17" t="s">
        <v>10773</v>
      </c>
      <c r="D355" s="17" t="s">
        <v>10774</v>
      </c>
      <c r="E355" s="10">
        <v>10.0</v>
      </c>
      <c r="F355" s="7">
        <f t="shared" si="2"/>
        <v>90</v>
      </c>
      <c r="G355" s="17" t="s">
        <v>3113</v>
      </c>
      <c r="H355" s="2"/>
      <c r="I355" s="2"/>
      <c r="J355" s="2"/>
      <c r="K355" s="2"/>
      <c r="L355" s="2"/>
      <c r="M355" s="2"/>
      <c r="N355" s="2"/>
      <c r="O355" s="2"/>
      <c r="P355" s="2"/>
      <c r="Q355" s="2"/>
      <c r="R355" s="2"/>
      <c r="S355" s="2"/>
      <c r="T355" s="2"/>
      <c r="U355" s="2"/>
      <c r="V355" s="2"/>
      <c r="W355" s="2"/>
      <c r="X355" s="2"/>
      <c r="Y355" s="2"/>
      <c r="Z355" s="2"/>
      <c r="AA355" s="2"/>
    </row>
    <row r="356">
      <c r="A356" s="11">
        <v>340.0</v>
      </c>
      <c r="B356" s="17" t="s">
        <v>10775</v>
      </c>
      <c r="C356" s="17" t="s">
        <v>10776</v>
      </c>
      <c r="D356" s="17" t="s">
        <v>10777</v>
      </c>
      <c r="E356" s="10">
        <v>10.0</v>
      </c>
      <c r="F356" s="7">
        <f t="shared" si="2"/>
        <v>90</v>
      </c>
      <c r="G356" s="17" t="s">
        <v>3113</v>
      </c>
      <c r="H356" s="2"/>
      <c r="I356" s="2"/>
      <c r="J356" s="2"/>
      <c r="K356" s="2"/>
      <c r="L356" s="2"/>
      <c r="M356" s="2"/>
      <c r="N356" s="2"/>
      <c r="O356" s="2"/>
      <c r="P356" s="2"/>
      <c r="Q356" s="2"/>
      <c r="R356" s="2"/>
      <c r="S356" s="2"/>
      <c r="T356" s="2"/>
      <c r="U356" s="2"/>
      <c r="V356" s="2"/>
      <c r="W356" s="2"/>
      <c r="X356" s="2"/>
      <c r="Y356" s="2"/>
      <c r="Z356" s="2"/>
      <c r="AA356" s="2"/>
    </row>
    <row r="357">
      <c r="A357" s="11">
        <v>341.0</v>
      </c>
      <c r="B357" s="17" t="s">
        <v>10778</v>
      </c>
      <c r="C357" s="17" t="s">
        <v>10779</v>
      </c>
      <c r="D357" s="17" t="s">
        <v>10780</v>
      </c>
      <c r="E357" s="10">
        <v>10.0</v>
      </c>
      <c r="F357" s="7">
        <f t="shared" si="2"/>
        <v>90</v>
      </c>
      <c r="G357" s="17" t="s">
        <v>3113</v>
      </c>
      <c r="H357" s="2"/>
      <c r="I357" s="2"/>
      <c r="J357" s="2"/>
      <c r="K357" s="2"/>
      <c r="L357" s="2"/>
      <c r="M357" s="2"/>
      <c r="N357" s="2"/>
      <c r="O357" s="2"/>
      <c r="P357" s="2"/>
      <c r="Q357" s="2"/>
      <c r="R357" s="2"/>
      <c r="S357" s="2"/>
      <c r="T357" s="2"/>
      <c r="U357" s="2"/>
      <c r="V357" s="2"/>
      <c r="W357" s="2"/>
      <c r="X357" s="2"/>
      <c r="Y357" s="2"/>
      <c r="Z357" s="2"/>
      <c r="AA357" s="2"/>
    </row>
    <row r="358">
      <c r="A358" s="11">
        <v>342.0</v>
      </c>
      <c r="B358" s="17" t="s">
        <v>10778</v>
      </c>
      <c r="C358" s="17" t="s">
        <v>10781</v>
      </c>
      <c r="D358" s="17" t="s">
        <v>10782</v>
      </c>
      <c r="E358" s="10">
        <v>10.0</v>
      </c>
      <c r="F358" s="7">
        <f t="shared" si="2"/>
        <v>90</v>
      </c>
      <c r="G358" s="17" t="s">
        <v>3113</v>
      </c>
      <c r="H358" s="2"/>
      <c r="I358" s="2"/>
      <c r="J358" s="2"/>
      <c r="K358" s="2"/>
      <c r="L358" s="2"/>
      <c r="M358" s="2"/>
      <c r="N358" s="2"/>
      <c r="O358" s="2"/>
      <c r="P358" s="2"/>
      <c r="Q358" s="2"/>
      <c r="R358" s="2"/>
      <c r="S358" s="2"/>
      <c r="T358" s="2"/>
      <c r="U358" s="2"/>
      <c r="V358" s="2"/>
      <c r="W358" s="2"/>
      <c r="X358" s="2"/>
      <c r="Y358" s="2"/>
      <c r="Z358" s="2"/>
      <c r="AA358" s="2"/>
    </row>
    <row r="359">
      <c r="A359" s="11">
        <v>343.0</v>
      </c>
      <c r="B359" s="17" t="s">
        <v>10778</v>
      </c>
      <c r="C359" s="17" t="s">
        <v>10783</v>
      </c>
      <c r="D359" s="17" t="s">
        <v>10784</v>
      </c>
      <c r="E359" s="10">
        <v>10.0</v>
      </c>
      <c r="F359" s="7">
        <f t="shared" si="2"/>
        <v>90</v>
      </c>
      <c r="G359" s="17" t="s">
        <v>3113</v>
      </c>
      <c r="H359" s="2"/>
      <c r="I359" s="2"/>
      <c r="J359" s="2"/>
      <c r="K359" s="2"/>
      <c r="L359" s="2"/>
      <c r="M359" s="2"/>
      <c r="N359" s="2"/>
      <c r="O359" s="2"/>
      <c r="P359" s="2"/>
      <c r="Q359" s="2"/>
      <c r="R359" s="2"/>
      <c r="S359" s="2"/>
      <c r="T359" s="2"/>
      <c r="U359" s="2"/>
      <c r="V359" s="2"/>
      <c r="W359" s="2"/>
      <c r="X359" s="2"/>
      <c r="Y359" s="2"/>
      <c r="Z359" s="2"/>
      <c r="AA359" s="2"/>
    </row>
    <row r="360">
      <c r="A360" s="11">
        <v>344.0</v>
      </c>
      <c r="B360" s="17" t="s">
        <v>10785</v>
      </c>
      <c r="C360" s="17" t="s">
        <v>10786</v>
      </c>
      <c r="D360" s="17" t="s">
        <v>10787</v>
      </c>
      <c r="E360" s="10">
        <v>10.0</v>
      </c>
      <c r="F360" s="7">
        <f t="shared" si="2"/>
        <v>90</v>
      </c>
      <c r="G360" s="17" t="s">
        <v>3113</v>
      </c>
      <c r="H360" s="2"/>
      <c r="I360" s="2"/>
      <c r="J360" s="2"/>
      <c r="K360" s="2"/>
      <c r="L360" s="2"/>
      <c r="M360" s="2"/>
      <c r="N360" s="2"/>
      <c r="O360" s="2"/>
      <c r="P360" s="2"/>
      <c r="Q360" s="2"/>
      <c r="R360" s="2"/>
      <c r="S360" s="2"/>
      <c r="T360" s="2"/>
      <c r="U360" s="2"/>
      <c r="V360" s="2"/>
      <c r="W360" s="2"/>
      <c r="X360" s="2"/>
      <c r="Y360" s="2"/>
      <c r="Z360" s="2"/>
      <c r="AA360" s="2"/>
    </row>
    <row r="361">
      <c r="A361" s="11">
        <v>345.0</v>
      </c>
      <c r="B361" s="17" t="s">
        <v>10788</v>
      </c>
      <c r="C361" s="17" t="s">
        <v>10789</v>
      </c>
      <c r="D361" s="17" t="s">
        <v>10790</v>
      </c>
      <c r="E361" s="10">
        <v>10.0</v>
      </c>
      <c r="F361" s="7">
        <f t="shared" si="2"/>
        <v>90</v>
      </c>
      <c r="G361" s="17" t="s">
        <v>3113</v>
      </c>
      <c r="H361" s="2"/>
      <c r="I361" s="2"/>
      <c r="J361" s="2"/>
      <c r="K361" s="2"/>
      <c r="L361" s="2"/>
      <c r="M361" s="2"/>
      <c r="N361" s="2"/>
      <c r="O361" s="2"/>
      <c r="P361" s="2"/>
      <c r="Q361" s="2"/>
      <c r="R361" s="2"/>
      <c r="S361" s="2"/>
      <c r="T361" s="2"/>
      <c r="U361" s="2"/>
      <c r="V361" s="2"/>
      <c r="W361" s="2"/>
      <c r="X361" s="2"/>
      <c r="Y361" s="2"/>
      <c r="Z361" s="2"/>
      <c r="AA361" s="2"/>
    </row>
    <row r="362">
      <c r="A362" s="11">
        <v>346.0</v>
      </c>
      <c r="B362" s="17" t="s">
        <v>10791</v>
      </c>
      <c r="C362" s="17" t="s">
        <v>10792</v>
      </c>
      <c r="D362" s="17" t="s">
        <v>10790</v>
      </c>
      <c r="E362" s="10">
        <v>10.0</v>
      </c>
      <c r="F362" s="7">
        <f t="shared" si="2"/>
        <v>90</v>
      </c>
      <c r="G362" s="17" t="s">
        <v>3113</v>
      </c>
      <c r="H362" s="2"/>
      <c r="I362" s="2"/>
      <c r="J362" s="2"/>
      <c r="K362" s="2"/>
      <c r="L362" s="2"/>
      <c r="M362" s="2"/>
      <c r="N362" s="2"/>
      <c r="O362" s="2"/>
      <c r="P362" s="2"/>
      <c r="Q362" s="2"/>
      <c r="R362" s="2"/>
      <c r="S362" s="2"/>
      <c r="T362" s="2"/>
      <c r="U362" s="2"/>
      <c r="V362" s="2"/>
      <c r="W362" s="2"/>
      <c r="X362" s="2"/>
      <c r="Y362" s="2"/>
      <c r="Z362" s="2"/>
      <c r="AA362" s="2"/>
    </row>
    <row r="363">
      <c r="A363" s="11">
        <v>347.0</v>
      </c>
      <c r="B363" s="17" t="s">
        <v>10793</v>
      </c>
      <c r="C363" s="17" t="s">
        <v>10794</v>
      </c>
      <c r="D363" s="17" t="s">
        <v>10795</v>
      </c>
      <c r="E363" s="10">
        <v>10.0</v>
      </c>
      <c r="F363" s="7">
        <f t="shared" si="2"/>
        <v>90</v>
      </c>
      <c r="G363" s="17" t="s">
        <v>3113</v>
      </c>
      <c r="H363" s="2"/>
      <c r="I363" s="2"/>
      <c r="J363" s="2"/>
      <c r="K363" s="2"/>
      <c r="L363" s="2"/>
      <c r="M363" s="2"/>
      <c r="N363" s="2"/>
      <c r="O363" s="2"/>
      <c r="P363" s="2"/>
      <c r="Q363" s="2"/>
      <c r="R363" s="2"/>
      <c r="S363" s="2"/>
      <c r="T363" s="2"/>
      <c r="U363" s="2"/>
      <c r="V363" s="2"/>
      <c r="W363" s="2"/>
      <c r="X363" s="2"/>
      <c r="Y363" s="2"/>
      <c r="Z363" s="2"/>
      <c r="AA363" s="2"/>
    </row>
    <row r="364">
      <c r="A364" s="11"/>
      <c r="D364" s="22"/>
      <c r="F364" s="7"/>
      <c r="G364" s="2"/>
      <c r="H364" s="2"/>
      <c r="I364" s="2"/>
      <c r="J364" s="2"/>
      <c r="K364" s="2"/>
      <c r="L364" s="2"/>
      <c r="M364" s="2"/>
      <c r="N364" s="2"/>
      <c r="O364" s="2"/>
      <c r="P364" s="2"/>
      <c r="Q364" s="2"/>
      <c r="R364" s="2"/>
      <c r="S364" s="2"/>
      <c r="T364" s="2"/>
      <c r="U364" s="2"/>
      <c r="V364" s="2"/>
      <c r="W364" s="2"/>
      <c r="X364" s="2"/>
      <c r="Y364" s="2"/>
      <c r="Z364" s="2"/>
      <c r="AA364" s="2"/>
    </row>
    <row r="365">
      <c r="G365" s="2"/>
      <c r="H365" s="2"/>
      <c r="I365" s="2"/>
      <c r="J365" s="2"/>
      <c r="K365" s="2"/>
      <c r="L365" s="2"/>
      <c r="M365" s="2"/>
      <c r="N365" s="2"/>
      <c r="O365" s="2"/>
      <c r="P365" s="2"/>
      <c r="Q365" s="2"/>
      <c r="R365" s="2"/>
      <c r="S365" s="2"/>
      <c r="T365" s="2"/>
      <c r="U365" s="2"/>
      <c r="V365" s="2"/>
      <c r="W365" s="2"/>
      <c r="X365" s="2"/>
      <c r="Y365" s="2"/>
      <c r="Z365" s="2"/>
      <c r="AA365" s="2"/>
    </row>
    <row r="366">
      <c r="G366" s="2"/>
      <c r="H366" s="2"/>
      <c r="I366" s="2"/>
      <c r="J366" s="2"/>
      <c r="K366" s="2"/>
      <c r="L366" s="2"/>
      <c r="M366" s="2"/>
      <c r="N366" s="2"/>
      <c r="O366" s="2"/>
      <c r="P366" s="2"/>
      <c r="Q366" s="2"/>
      <c r="R366" s="2"/>
      <c r="S366" s="2"/>
      <c r="T366" s="2"/>
      <c r="U366" s="2"/>
      <c r="V366" s="2"/>
      <c r="W366" s="2"/>
      <c r="X366" s="2"/>
      <c r="Y366" s="2"/>
      <c r="Z366" s="2"/>
      <c r="AA366" s="2"/>
    </row>
    <row r="367">
      <c r="A367" s="14" t="s">
        <v>10796</v>
      </c>
      <c r="F367" s="12"/>
      <c r="G367" s="2"/>
      <c r="H367" s="2"/>
      <c r="I367" s="2"/>
      <c r="J367" s="2"/>
      <c r="K367" s="2"/>
      <c r="L367" s="2"/>
      <c r="M367" s="2"/>
      <c r="N367" s="2"/>
      <c r="O367" s="2"/>
      <c r="P367" s="2"/>
      <c r="Q367" s="2"/>
      <c r="R367" s="2"/>
      <c r="S367" s="2"/>
      <c r="T367" s="2"/>
      <c r="U367" s="2"/>
      <c r="V367" s="2"/>
      <c r="W367" s="2"/>
      <c r="X367" s="2"/>
      <c r="Y367" s="2"/>
      <c r="Z367" s="2"/>
      <c r="AA367" s="2"/>
    </row>
    <row r="368">
      <c r="A368" s="4" t="s">
        <v>2</v>
      </c>
      <c r="B368" s="4" t="s">
        <v>3</v>
      </c>
      <c r="C368" s="4" t="s">
        <v>4</v>
      </c>
      <c r="D368" s="5" t="s">
        <v>2569</v>
      </c>
      <c r="E368" s="4" t="s">
        <v>6</v>
      </c>
      <c r="F368" s="12"/>
      <c r="G368" s="2"/>
      <c r="H368" s="2"/>
      <c r="I368" s="2"/>
      <c r="J368" s="2"/>
      <c r="K368" s="2"/>
      <c r="L368" s="2"/>
      <c r="M368" s="2"/>
      <c r="N368" s="2"/>
      <c r="O368" s="2"/>
      <c r="P368" s="2"/>
      <c r="Q368" s="2"/>
      <c r="R368" s="2"/>
      <c r="S368" s="2"/>
      <c r="T368" s="2"/>
      <c r="U368" s="2"/>
      <c r="V368" s="2"/>
      <c r="W368" s="2"/>
      <c r="X368" s="2"/>
      <c r="Y368" s="2"/>
      <c r="Z368" s="2"/>
      <c r="AA368" s="2"/>
    </row>
    <row r="369">
      <c r="A369" s="12">
        <v>1.0</v>
      </c>
      <c r="B369" s="17" t="s">
        <v>10797</v>
      </c>
      <c r="C369" s="17" t="s">
        <v>10798</v>
      </c>
      <c r="D369" s="12">
        <v>10.0</v>
      </c>
      <c r="E369" s="12">
        <f t="shared" ref="E369:E416" si="3">100-D369</f>
        <v>90</v>
      </c>
      <c r="F369" s="12"/>
      <c r="G369" s="2"/>
      <c r="H369" s="2"/>
      <c r="I369" s="2"/>
      <c r="J369" s="2"/>
      <c r="K369" s="2"/>
      <c r="L369" s="2"/>
      <c r="M369" s="2"/>
      <c r="N369" s="2"/>
      <c r="O369" s="2"/>
      <c r="P369" s="2"/>
      <c r="Q369" s="2"/>
      <c r="R369" s="2"/>
      <c r="S369" s="2"/>
      <c r="T369" s="2"/>
      <c r="U369" s="2"/>
      <c r="V369" s="2"/>
      <c r="W369" s="2"/>
      <c r="X369" s="2"/>
      <c r="Y369" s="2"/>
      <c r="Z369" s="2"/>
      <c r="AA369" s="2"/>
    </row>
    <row r="370">
      <c r="A370" s="12">
        <v>2.0</v>
      </c>
      <c r="B370" s="17" t="s">
        <v>10799</v>
      </c>
      <c r="C370" s="17" t="s">
        <v>10800</v>
      </c>
      <c r="D370" s="12">
        <v>10.0</v>
      </c>
      <c r="E370" s="12">
        <f t="shared" si="3"/>
        <v>90</v>
      </c>
      <c r="F370" s="12"/>
      <c r="G370" s="2"/>
      <c r="H370" s="2"/>
      <c r="I370" s="2"/>
      <c r="J370" s="2"/>
      <c r="K370" s="2"/>
      <c r="L370" s="2"/>
      <c r="M370" s="2"/>
      <c r="N370" s="2"/>
      <c r="O370" s="2"/>
      <c r="P370" s="2"/>
      <c r="Q370" s="2"/>
      <c r="R370" s="2"/>
      <c r="S370" s="2"/>
      <c r="T370" s="2"/>
      <c r="U370" s="2"/>
      <c r="V370" s="2"/>
      <c r="W370" s="2"/>
      <c r="X370" s="2"/>
      <c r="Y370" s="2"/>
      <c r="Z370" s="2"/>
      <c r="AA370" s="2"/>
    </row>
    <row r="371">
      <c r="A371" s="12">
        <v>3.0</v>
      </c>
      <c r="B371" s="17" t="s">
        <v>10801</v>
      </c>
      <c r="C371" s="17" t="s">
        <v>10802</v>
      </c>
      <c r="D371" s="12">
        <v>10.0</v>
      </c>
      <c r="E371" s="12">
        <f t="shared" si="3"/>
        <v>90</v>
      </c>
      <c r="F371" s="12"/>
      <c r="G371" s="2"/>
      <c r="H371" s="2"/>
      <c r="I371" s="2"/>
      <c r="J371" s="2"/>
      <c r="K371" s="2"/>
      <c r="L371" s="2"/>
      <c r="M371" s="2"/>
      <c r="N371" s="2"/>
      <c r="O371" s="2"/>
      <c r="P371" s="2"/>
      <c r="Q371" s="2"/>
      <c r="R371" s="2"/>
      <c r="S371" s="2"/>
      <c r="T371" s="2"/>
      <c r="U371" s="2"/>
      <c r="V371" s="2"/>
      <c r="W371" s="2"/>
      <c r="X371" s="2"/>
      <c r="Y371" s="2"/>
      <c r="Z371" s="2"/>
      <c r="AA371" s="2"/>
    </row>
    <row r="372">
      <c r="A372" s="12">
        <v>4.0</v>
      </c>
      <c r="B372" s="17" t="s">
        <v>10803</v>
      </c>
      <c r="C372" s="17" t="s">
        <v>10804</v>
      </c>
      <c r="D372" s="12">
        <v>10.0</v>
      </c>
      <c r="E372" s="12">
        <f t="shared" si="3"/>
        <v>90</v>
      </c>
      <c r="F372" s="12"/>
      <c r="G372" s="2"/>
      <c r="H372" s="2"/>
      <c r="I372" s="2"/>
      <c r="J372" s="2"/>
      <c r="K372" s="2"/>
      <c r="L372" s="2"/>
      <c r="M372" s="2"/>
      <c r="N372" s="2"/>
      <c r="O372" s="2"/>
      <c r="P372" s="2"/>
      <c r="Q372" s="2"/>
      <c r="R372" s="2"/>
      <c r="S372" s="2"/>
      <c r="T372" s="2"/>
      <c r="U372" s="2"/>
      <c r="V372" s="2"/>
      <c r="W372" s="2"/>
      <c r="X372" s="2"/>
      <c r="Y372" s="2"/>
      <c r="Z372" s="2"/>
      <c r="AA372" s="2"/>
    </row>
    <row r="373">
      <c r="A373" s="12">
        <v>5.0</v>
      </c>
      <c r="B373" s="17" t="s">
        <v>10805</v>
      </c>
      <c r="C373" s="17" t="s">
        <v>10806</v>
      </c>
      <c r="D373" s="12">
        <v>10.0</v>
      </c>
      <c r="E373" s="12">
        <f t="shared" si="3"/>
        <v>90</v>
      </c>
      <c r="F373" s="12"/>
      <c r="G373" s="2"/>
      <c r="H373" s="2"/>
      <c r="I373" s="2"/>
      <c r="J373" s="2"/>
      <c r="K373" s="2"/>
      <c r="L373" s="2"/>
      <c r="M373" s="2"/>
      <c r="N373" s="2"/>
      <c r="O373" s="2"/>
      <c r="P373" s="2"/>
      <c r="Q373" s="2"/>
      <c r="R373" s="2"/>
      <c r="S373" s="2"/>
      <c r="T373" s="2"/>
      <c r="U373" s="2"/>
      <c r="V373" s="2"/>
      <c r="W373" s="2"/>
      <c r="X373" s="2"/>
      <c r="Y373" s="2"/>
      <c r="Z373" s="2"/>
      <c r="AA373" s="2"/>
    </row>
    <row r="374">
      <c r="A374" s="12">
        <v>6.0</v>
      </c>
      <c r="B374" s="17" t="s">
        <v>10807</v>
      </c>
      <c r="C374" s="17" t="s">
        <v>10808</v>
      </c>
      <c r="D374" s="12">
        <v>10.0</v>
      </c>
      <c r="E374" s="12">
        <f t="shared" si="3"/>
        <v>90</v>
      </c>
      <c r="F374" s="12"/>
      <c r="G374" s="2"/>
      <c r="H374" s="2"/>
      <c r="I374" s="2"/>
      <c r="J374" s="2"/>
      <c r="K374" s="2"/>
      <c r="L374" s="2"/>
      <c r="M374" s="2"/>
      <c r="N374" s="2"/>
      <c r="O374" s="2"/>
      <c r="P374" s="2"/>
      <c r="Q374" s="2"/>
      <c r="R374" s="2"/>
      <c r="S374" s="2"/>
      <c r="T374" s="2"/>
      <c r="U374" s="2"/>
      <c r="V374" s="2"/>
      <c r="W374" s="2"/>
      <c r="X374" s="2"/>
      <c r="Y374" s="2"/>
      <c r="Z374" s="2"/>
      <c r="AA374" s="2"/>
    </row>
    <row r="375">
      <c r="A375" s="12">
        <v>7.0</v>
      </c>
      <c r="B375" s="17" t="s">
        <v>10809</v>
      </c>
      <c r="C375" s="17" t="s">
        <v>10810</v>
      </c>
      <c r="D375" s="12">
        <v>10.0</v>
      </c>
      <c r="E375" s="12">
        <f t="shared" si="3"/>
        <v>90</v>
      </c>
      <c r="F375" s="12"/>
      <c r="G375" s="2"/>
      <c r="H375" s="2"/>
      <c r="I375" s="2"/>
      <c r="J375" s="2"/>
      <c r="K375" s="2"/>
      <c r="L375" s="2"/>
      <c r="M375" s="2"/>
      <c r="N375" s="2"/>
      <c r="O375" s="2"/>
      <c r="P375" s="2"/>
      <c r="Q375" s="2"/>
      <c r="R375" s="2"/>
      <c r="S375" s="2"/>
      <c r="T375" s="2"/>
      <c r="U375" s="2"/>
      <c r="V375" s="2"/>
      <c r="W375" s="2"/>
      <c r="X375" s="2"/>
      <c r="Y375" s="2"/>
      <c r="Z375" s="2"/>
      <c r="AA375" s="2"/>
    </row>
    <row r="376">
      <c r="A376" s="12">
        <v>8.0</v>
      </c>
      <c r="B376" s="17" t="s">
        <v>10811</v>
      </c>
      <c r="C376" s="17" t="s">
        <v>10812</v>
      </c>
      <c r="D376" s="12">
        <v>10.0</v>
      </c>
      <c r="E376" s="12">
        <f t="shared" si="3"/>
        <v>90</v>
      </c>
      <c r="F376" s="12"/>
      <c r="G376" s="2"/>
      <c r="H376" s="2"/>
      <c r="I376" s="2"/>
      <c r="J376" s="2"/>
      <c r="K376" s="2"/>
      <c r="L376" s="2"/>
      <c r="M376" s="2"/>
      <c r="N376" s="2"/>
      <c r="O376" s="2"/>
      <c r="P376" s="2"/>
      <c r="Q376" s="2"/>
      <c r="R376" s="2"/>
      <c r="S376" s="2"/>
      <c r="T376" s="2"/>
      <c r="U376" s="2"/>
      <c r="V376" s="2"/>
      <c r="W376" s="2"/>
      <c r="X376" s="2"/>
      <c r="Y376" s="2"/>
      <c r="Z376" s="2"/>
      <c r="AA376" s="2"/>
    </row>
    <row r="377">
      <c r="A377" s="12">
        <v>9.0</v>
      </c>
      <c r="B377" s="17" t="s">
        <v>10813</v>
      </c>
      <c r="C377" s="17" t="s">
        <v>10814</v>
      </c>
      <c r="D377" s="12">
        <v>10.0</v>
      </c>
      <c r="E377" s="12">
        <f t="shared" si="3"/>
        <v>90</v>
      </c>
      <c r="F377" s="12"/>
      <c r="G377" s="2"/>
      <c r="H377" s="2"/>
      <c r="I377" s="2"/>
      <c r="J377" s="2"/>
      <c r="K377" s="2"/>
      <c r="L377" s="2"/>
      <c r="M377" s="2"/>
      <c r="N377" s="2"/>
      <c r="O377" s="2"/>
      <c r="P377" s="2"/>
      <c r="Q377" s="2"/>
      <c r="R377" s="2"/>
      <c r="S377" s="2"/>
      <c r="T377" s="2"/>
      <c r="U377" s="2"/>
      <c r="V377" s="2"/>
      <c r="W377" s="2"/>
      <c r="X377" s="2"/>
      <c r="Y377" s="2"/>
      <c r="Z377" s="2"/>
      <c r="AA377" s="2"/>
    </row>
    <row r="378">
      <c r="A378" s="12">
        <v>10.0</v>
      </c>
      <c r="B378" s="17" t="s">
        <v>10815</v>
      </c>
      <c r="C378" s="17" t="s">
        <v>10816</v>
      </c>
      <c r="D378" s="12">
        <v>10.0</v>
      </c>
      <c r="E378" s="12">
        <f t="shared" si="3"/>
        <v>90</v>
      </c>
      <c r="F378" s="12"/>
      <c r="G378" s="2"/>
      <c r="H378" s="2"/>
      <c r="I378" s="2"/>
      <c r="J378" s="2"/>
      <c r="K378" s="2"/>
      <c r="L378" s="2"/>
      <c r="M378" s="2"/>
      <c r="N378" s="2"/>
      <c r="O378" s="2"/>
      <c r="P378" s="2"/>
      <c r="Q378" s="2"/>
      <c r="R378" s="2"/>
      <c r="S378" s="2"/>
      <c r="T378" s="2"/>
      <c r="U378" s="2"/>
      <c r="V378" s="2"/>
      <c r="W378" s="2"/>
      <c r="X378" s="2"/>
      <c r="Y378" s="2"/>
      <c r="Z378" s="2"/>
      <c r="AA378" s="2"/>
    </row>
    <row r="379">
      <c r="A379" s="12">
        <v>11.0</v>
      </c>
      <c r="B379" s="17" t="s">
        <v>10817</v>
      </c>
      <c r="C379" s="17" t="s">
        <v>10818</v>
      </c>
      <c r="D379" s="12">
        <v>10.0</v>
      </c>
      <c r="E379" s="12">
        <f t="shared" si="3"/>
        <v>90</v>
      </c>
      <c r="F379" s="12"/>
      <c r="G379" s="2"/>
      <c r="H379" s="2"/>
      <c r="I379" s="2"/>
      <c r="J379" s="2"/>
      <c r="K379" s="2"/>
      <c r="L379" s="2"/>
      <c r="M379" s="2"/>
      <c r="N379" s="2"/>
      <c r="O379" s="2"/>
      <c r="P379" s="2"/>
      <c r="Q379" s="2"/>
      <c r="R379" s="2"/>
      <c r="S379" s="2"/>
      <c r="T379" s="2"/>
      <c r="U379" s="2"/>
      <c r="V379" s="2"/>
      <c r="W379" s="2"/>
      <c r="X379" s="2"/>
      <c r="Y379" s="2"/>
      <c r="Z379" s="2"/>
      <c r="AA379" s="2"/>
    </row>
    <row r="380">
      <c r="A380" s="12">
        <v>12.0</v>
      </c>
      <c r="B380" s="17" t="s">
        <v>10819</v>
      </c>
      <c r="C380" s="17" t="s">
        <v>10820</v>
      </c>
      <c r="D380" s="12">
        <v>10.0</v>
      </c>
      <c r="E380" s="12">
        <f t="shared" si="3"/>
        <v>90</v>
      </c>
      <c r="F380" s="12"/>
      <c r="G380" s="2"/>
      <c r="H380" s="2"/>
      <c r="I380" s="2"/>
      <c r="J380" s="2"/>
      <c r="K380" s="2"/>
      <c r="L380" s="2"/>
      <c r="M380" s="2"/>
      <c r="N380" s="2"/>
      <c r="O380" s="2"/>
      <c r="P380" s="2"/>
      <c r="Q380" s="2"/>
      <c r="R380" s="2"/>
      <c r="S380" s="2"/>
      <c r="T380" s="2"/>
      <c r="U380" s="2"/>
      <c r="V380" s="2"/>
      <c r="W380" s="2"/>
      <c r="X380" s="2"/>
      <c r="Y380" s="2"/>
      <c r="Z380" s="2"/>
      <c r="AA380" s="2"/>
    </row>
    <row r="381">
      <c r="A381" s="12">
        <v>13.0</v>
      </c>
      <c r="B381" s="17" t="s">
        <v>10821</v>
      </c>
      <c r="C381" s="17" t="s">
        <v>10822</v>
      </c>
      <c r="D381" s="12">
        <v>10.0</v>
      </c>
      <c r="E381" s="12">
        <f t="shared" si="3"/>
        <v>90</v>
      </c>
      <c r="F381" s="12"/>
      <c r="G381" s="2"/>
      <c r="H381" s="2"/>
      <c r="I381" s="2"/>
      <c r="J381" s="2"/>
      <c r="K381" s="2"/>
      <c r="L381" s="2"/>
      <c r="M381" s="2"/>
      <c r="N381" s="2"/>
      <c r="O381" s="2"/>
      <c r="P381" s="2"/>
      <c r="Q381" s="2"/>
      <c r="R381" s="2"/>
      <c r="S381" s="2"/>
      <c r="T381" s="2"/>
      <c r="U381" s="2"/>
      <c r="V381" s="2"/>
      <c r="W381" s="2"/>
      <c r="X381" s="2"/>
      <c r="Y381" s="2"/>
      <c r="Z381" s="2"/>
      <c r="AA381" s="2"/>
    </row>
    <row r="382">
      <c r="A382" s="12">
        <v>14.0</v>
      </c>
      <c r="B382" s="17" t="s">
        <v>10823</v>
      </c>
      <c r="C382" s="17" t="s">
        <v>10824</v>
      </c>
      <c r="D382" s="12">
        <v>10.0</v>
      </c>
      <c r="E382" s="12">
        <f t="shared" si="3"/>
        <v>90</v>
      </c>
      <c r="F382" s="12"/>
      <c r="G382" s="2"/>
      <c r="H382" s="2"/>
      <c r="I382" s="2"/>
      <c r="J382" s="2"/>
      <c r="K382" s="2"/>
      <c r="L382" s="2"/>
      <c r="M382" s="2"/>
      <c r="N382" s="2"/>
      <c r="O382" s="2"/>
      <c r="P382" s="2"/>
      <c r="Q382" s="2"/>
      <c r="R382" s="2"/>
      <c r="S382" s="2"/>
      <c r="T382" s="2"/>
      <c r="U382" s="2"/>
      <c r="V382" s="2"/>
      <c r="W382" s="2"/>
      <c r="X382" s="2"/>
      <c r="Y382" s="2"/>
      <c r="Z382" s="2"/>
      <c r="AA382" s="2"/>
    </row>
    <row r="383">
      <c r="A383" s="12">
        <v>15.0</v>
      </c>
      <c r="B383" s="17" t="s">
        <v>10825</v>
      </c>
      <c r="C383" s="17" t="s">
        <v>10826</v>
      </c>
      <c r="D383" s="12">
        <v>10.0</v>
      </c>
      <c r="E383" s="12">
        <f t="shared" si="3"/>
        <v>90</v>
      </c>
      <c r="F383" s="12"/>
      <c r="G383" s="2"/>
      <c r="H383" s="2"/>
      <c r="I383" s="2"/>
      <c r="J383" s="2"/>
      <c r="K383" s="2"/>
      <c r="L383" s="2"/>
      <c r="M383" s="2"/>
      <c r="N383" s="2"/>
      <c r="O383" s="2"/>
      <c r="P383" s="2"/>
      <c r="Q383" s="2"/>
      <c r="R383" s="2"/>
      <c r="S383" s="2"/>
      <c r="T383" s="2"/>
      <c r="U383" s="2"/>
      <c r="V383" s="2"/>
      <c r="W383" s="2"/>
      <c r="X383" s="2"/>
      <c r="Y383" s="2"/>
      <c r="Z383" s="2"/>
      <c r="AA383" s="2"/>
    </row>
    <row r="384">
      <c r="A384" s="12">
        <v>16.0</v>
      </c>
      <c r="B384" s="17" t="s">
        <v>10827</v>
      </c>
      <c r="C384" s="17" t="s">
        <v>10828</v>
      </c>
      <c r="D384" s="12">
        <v>10.0</v>
      </c>
      <c r="E384" s="12">
        <f t="shared" si="3"/>
        <v>90</v>
      </c>
      <c r="F384" s="12"/>
      <c r="G384" s="2"/>
      <c r="H384" s="2"/>
      <c r="I384" s="2"/>
      <c r="J384" s="2"/>
      <c r="K384" s="2"/>
      <c r="L384" s="2"/>
      <c r="M384" s="2"/>
      <c r="N384" s="2"/>
      <c r="O384" s="2"/>
      <c r="P384" s="2"/>
      <c r="Q384" s="2"/>
      <c r="R384" s="2"/>
      <c r="S384" s="2"/>
      <c r="T384" s="2"/>
      <c r="U384" s="2"/>
      <c r="V384" s="2"/>
      <c r="W384" s="2"/>
      <c r="X384" s="2"/>
      <c r="Y384" s="2"/>
      <c r="Z384" s="2"/>
      <c r="AA384" s="2"/>
    </row>
    <row r="385">
      <c r="A385" s="12">
        <v>17.0</v>
      </c>
      <c r="B385" s="17" t="s">
        <v>10829</v>
      </c>
      <c r="C385" s="17" t="s">
        <v>10830</v>
      </c>
      <c r="D385" s="12">
        <v>10.0</v>
      </c>
      <c r="E385" s="12">
        <f t="shared" si="3"/>
        <v>90</v>
      </c>
      <c r="F385" s="12"/>
      <c r="G385" s="2"/>
      <c r="H385" s="2"/>
      <c r="I385" s="2"/>
      <c r="J385" s="2"/>
      <c r="K385" s="2"/>
      <c r="L385" s="2"/>
      <c r="M385" s="2"/>
      <c r="N385" s="2"/>
      <c r="O385" s="2"/>
      <c r="P385" s="2"/>
      <c r="Q385" s="2"/>
      <c r="R385" s="2"/>
      <c r="S385" s="2"/>
      <c r="T385" s="2"/>
      <c r="U385" s="2"/>
      <c r="V385" s="2"/>
      <c r="W385" s="2"/>
      <c r="X385" s="2"/>
      <c r="Y385" s="2"/>
      <c r="Z385" s="2"/>
      <c r="AA385" s="2"/>
    </row>
    <row r="386">
      <c r="A386" s="12">
        <v>18.0</v>
      </c>
      <c r="B386" s="17" t="s">
        <v>10831</v>
      </c>
      <c r="C386" s="17" t="s">
        <v>10832</v>
      </c>
      <c r="D386" s="12">
        <v>10.0</v>
      </c>
      <c r="E386" s="12">
        <f t="shared" si="3"/>
        <v>90</v>
      </c>
      <c r="F386" s="12"/>
      <c r="G386" s="2"/>
      <c r="H386" s="2"/>
      <c r="I386" s="2"/>
      <c r="J386" s="2"/>
      <c r="K386" s="2"/>
      <c r="L386" s="2"/>
      <c r="M386" s="2"/>
      <c r="N386" s="2"/>
      <c r="O386" s="2"/>
      <c r="P386" s="2"/>
      <c r="Q386" s="2"/>
      <c r="R386" s="2"/>
      <c r="S386" s="2"/>
      <c r="T386" s="2"/>
      <c r="U386" s="2"/>
      <c r="V386" s="2"/>
      <c r="W386" s="2"/>
      <c r="X386" s="2"/>
      <c r="Y386" s="2"/>
      <c r="Z386" s="2"/>
      <c r="AA386" s="2"/>
    </row>
    <row r="387">
      <c r="A387" s="12">
        <v>19.0</v>
      </c>
      <c r="B387" s="17" t="s">
        <v>10833</v>
      </c>
      <c r="C387" s="17" t="s">
        <v>10834</v>
      </c>
      <c r="D387" s="12">
        <v>10.0</v>
      </c>
      <c r="E387" s="12">
        <f t="shared" si="3"/>
        <v>90</v>
      </c>
      <c r="F387" s="12"/>
      <c r="G387" s="2"/>
      <c r="H387" s="2"/>
      <c r="I387" s="2"/>
      <c r="J387" s="2"/>
      <c r="K387" s="2"/>
      <c r="L387" s="2"/>
      <c r="M387" s="2"/>
      <c r="N387" s="2"/>
      <c r="O387" s="2"/>
      <c r="P387" s="2"/>
      <c r="Q387" s="2"/>
      <c r="R387" s="2"/>
      <c r="S387" s="2"/>
      <c r="T387" s="2"/>
      <c r="U387" s="2"/>
      <c r="V387" s="2"/>
      <c r="W387" s="2"/>
      <c r="X387" s="2"/>
      <c r="Y387" s="2"/>
      <c r="Z387" s="2"/>
      <c r="AA387" s="2"/>
    </row>
    <row r="388">
      <c r="A388" s="12">
        <v>20.0</v>
      </c>
      <c r="B388" s="17" t="s">
        <v>10835</v>
      </c>
      <c r="C388" s="17" t="s">
        <v>10836</v>
      </c>
      <c r="D388" s="12">
        <v>10.0</v>
      </c>
      <c r="E388" s="12">
        <f t="shared" si="3"/>
        <v>90</v>
      </c>
      <c r="F388" s="12"/>
      <c r="G388" s="2"/>
      <c r="H388" s="2"/>
      <c r="I388" s="2"/>
      <c r="J388" s="2"/>
      <c r="K388" s="2"/>
      <c r="L388" s="2"/>
      <c r="M388" s="2"/>
      <c r="N388" s="2"/>
      <c r="O388" s="2"/>
      <c r="P388" s="2"/>
      <c r="Q388" s="2"/>
      <c r="R388" s="2"/>
      <c r="S388" s="2"/>
      <c r="T388" s="2"/>
      <c r="U388" s="2"/>
      <c r="V388" s="2"/>
      <c r="W388" s="2"/>
      <c r="X388" s="2"/>
      <c r="Y388" s="2"/>
      <c r="Z388" s="2"/>
      <c r="AA388" s="2"/>
    </row>
    <row r="389">
      <c r="A389" s="12">
        <v>21.0</v>
      </c>
      <c r="B389" s="17" t="s">
        <v>10837</v>
      </c>
      <c r="C389" s="17" t="s">
        <v>10838</v>
      </c>
      <c r="D389" s="12">
        <v>10.0</v>
      </c>
      <c r="E389" s="12">
        <f t="shared" si="3"/>
        <v>90</v>
      </c>
      <c r="F389" s="12"/>
      <c r="G389" s="2"/>
      <c r="H389" s="2"/>
      <c r="I389" s="2"/>
      <c r="J389" s="2"/>
      <c r="K389" s="2"/>
      <c r="L389" s="2"/>
      <c r="M389" s="2"/>
      <c r="N389" s="2"/>
      <c r="O389" s="2"/>
      <c r="P389" s="2"/>
      <c r="Q389" s="2"/>
      <c r="R389" s="2"/>
      <c r="S389" s="2"/>
      <c r="T389" s="2"/>
      <c r="U389" s="2"/>
      <c r="V389" s="2"/>
      <c r="W389" s="2"/>
      <c r="X389" s="2"/>
      <c r="Y389" s="2"/>
      <c r="Z389" s="2"/>
      <c r="AA389" s="2"/>
    </row>
    <row r="390">
      <c r="A390" s="12">
        <v>22.0</v>
      </c>
      <c r="B390" s="17" t="s">
        <v>10839</v>
      </c>
      <c r="C390" s="17" t="s">
        <v>10840</v>
      </c>
      <c r="D390" s="12">
        <v>10.0</v>
      </c>
      <c r="E390" s="12">
        <f t="shared" si="3"/>
        <v>90</v>
      </c>
      <c r="F390" s="12"/>
      <c r="G390" s="2"/>
      <c r="H390" s="2"/>
      <c r="I390" s="2"/>
      <c r="J390" s="2"/>
      <c r="K390" s="2"/>
      <c r="L390" s="2"/>
      <c r="M390" s="2"/>
      <c r="N390" s="2"/>
      <c r="O390" s="2"/>
      <c r="P390" s="2"/>
      <c r="Q390" s="2"/>
      <c r="R390" s="2"/>
      <c r="S390" s="2"/>
      <c r="T390" s="2"/>
      <c r="U390" s="2"/>
      <c r="V390" s="2"/>
      <c r="W390" s="2"/>
      <c r="X390" s="2"/>
      <c r="Y390" s="2"/>
      <c r="Z390" s="2"/>
      <c r="AA390" s="2"/>
    </row>
    <row r="391">
      <c r="A391" s="12">
        <v>23.0</v>
      </c>
      <c r="B391" s="17" t="s">
        <v>10841</v>
      </c>
      <c r="C391" s="17" t="s">
        <v>10842</v>
      </c>
      <c r="D391" s="12">
        <v>10.0</v>
      </c>
      <c r="E391" s="12">
        <f t="shared" si="3"/>
        <v>90</v>
      </c>
      <c r="F391" s="12"/>
      <c r="G391" s="2"/>
      <c r="H391" s="2"/>
      <c r="I391" s="2"/>
      <c r="J391" s="2"/>
      <c r="K391" s="2"/>
      <c r="L391" s="2"/>
      <c r="M391" s="2"/>
      <c r="N391" s="2"/>
      <c r="O391" s="2"/>
      <c r="P391" s="2"/>
      <c r="Q391" s="2"/>
      <c r="R391" s="2"/>
      <c r="S391" s="2"/>
      <c r="T391" s="2"/>
      <c r="U391" s="2"/>
      <c r="V391" s="2"/>
      <c r="W391" s="2"/>
      <c r="X391" s="2"/>
      <c r="Y391" s="2"/>
      <c r="Z391" s="2"/>
      <c r="AA391" s="2"/>
    </row>
    <row r="392">
      <c r="A392" s="12">
        <v>24.0</v>
      </c>
      <c r="B392" s="17" t="s">
        <v>10843</v>
      </c>
      <c r="C392" s="17" t="s">
        <v>10844</v>
      </c>
      <c r="D392" s="12">
        <v>10.0</v>
      </c>
      <c r="E392" s="12">
        <f t="shared" si="3"/>
        <v>90</v>
      </c>
      <c r="F392" s="12"/>
      <c r="G392" s="2"/>
      <c r="H392" s="2"/>
      <c r="I392" s="2"/>
      <c r="J392" s="2"/>
      <c r="K392" s="2"/>
      <c r="L392" s="2"/>
      <c r="M392" s="2"/>
      <c r="N392" s="2"/>
      <c r="O392" s="2"/>
      <c r="P392" s="2"/>
      <c r="Q392" s="2"/>
      <c r="R392" s="2"/>
      <c r="S392" s="2"/>
      <c r="T392" s="2"/>
      <c r="U392" s="2"/>
      <c r="V392" s="2"/>
      <c r="W392" s="2"/>
      <c r="X392" s="2"/>
      <c r="Y392" s="2"/>
      <c r="Z392" s="2"/>
      <c r="AA392" s="2"/>
    </row>
    <row r="393">
      <c r="A393" s="12">
        <v>25.0</v>
      </c>
      <c r="B393" s="17" t="s">
        <v>10845</v>
      </c>
      <c r="C393" s="17" t="s">
        <v>10846</v>
      </c>
      <c r="D393" s="12">
        <v>10.0</v>
      </c>
      <c r="E393" s="12">
        <f t="shared" si="3"/>
        <v>90</v>
      </c>
      <c r="F393" s="12"/>
      <c r="G393" s="2"/>
      <c r="H393" s="2"/>
      <c r="I393" s="2"/>
      <c r="J393" s="2"/>
      <c r="K393" s="2"/>
      <c r="L393" s="2"/>
      <c r="M393" s="2"/>
      <c r="N393" s="2"/>
      <c r="O393" s="2"/>
      <c r="P393" s="2"/>
      <c r="Q393" s="2"/>
      <c r="R393" s="2"/>
      <c r="S393" s="2"/>
      <c r="T393" s="2"/>
      <c r="U393" s="2"/>
      <c r="V393" s="2"/>
      <c r="W393" s="2"/>
      <c r="X393" s="2"/>
      <c r="Y393" s="2"/>
      <c r="Z393" s="2"/>
      <c r="AA393" s="2"/>
    </row>
    <row r="394">
      <c r="A394" s="12">
        <v>26.0</v>
      </c>
      <c r="B394" s="17" t="s">
        <v>10847</v>
      </c>
      <c r="C394" s="17" t="s">
        <v>10848</v>
      </c>
      <c r="D394" s="12">
        <v>10.0</v>
      </c>
      <c r="E394" s="12">
        <f t="shared" si="3"/>
        <v>90</v>
      </c>
      <c r="F394" s="12"/>
      <c r="G394" s="2"/>
      <c r="H394" s="2"/>
      <c r="I394" s="2"/>
      <c r="J394" s="2"/>
      <c r="K394" s="2"/>
      <c r="L394" s="2"/>
      <c r="M394" s="2"/>
      <c r="N394" s="2"/>
      <c r="O394" s="2"/>
      <c r="P394" s="2"/>
      <c r="Q394" s="2"/>
      <c r="R394" s="2"/>
      <c r="S394" s="2"/>
      <c r="T394" s="2"/>
      <c r="U394" s="2"/>
      <c r="V394" s="2"/>
      <c r="W394" s="2"/>
      <c r="X394" s="2"/>
      <c r="Y394" s="2"/>
      <c r="Z394" s="2"/>
      <c r="AA394" s="2"/>
    </row>
    <row r="395">
      <c r="A395" s="12">
        <v>27.0</v>
      </c>
      <c r="B395" s="17" t="s">
        <v>10849</v>
      </c>
      <c r="C395" s="17" t="s">
        <v>10850</v>
      </c>
      <c r="D395" s="12">
        <v>10.0</v>
      </c>
      <c r="E395" s="12">
        <f t="shared" si="3"/>
        <v>90</v>
      </c>
      <c r="F395" s="12"/>
      <c r="G395" s="2"/>
      <c r="H395" s="2"/>
      <c r="I395" s="2"/>
      <c r="J395" s="2"/>
      <c r="K395" s="2"/>
      <c r="L395" s="2"/>
      <c r="M395" s="2"/>
      <c r="N395" s="2"/>
      <c r="O395" s="2"/>
      <c r="P395" s="2"/>
      <c r="Q395" s="2"/>
      <c r="R395" s="2"/>
      <c r="S395" s="2"/>
      <c r="T395" s="2"/>
      <c r="U395" s="2"/>
      <c r="V395" s="2"/>
      <c r="W395" s="2"/>
      <c r="X395" s="2"/>
      <c r="Y395" s="2"/>
      <c r="Z395" s="2"/>
      <c r="AA395" s="2"/>
    </row>
    <row r="396">
      <c r="A396" s="12">
        <v>28.0</v>
      </c>
      <c r="B396" s="17" t="s">
        <v>10851</v>
      </c>
      <c r="C396" s="17" t="s">
        <v>10852</v>
      </c>
      <c r="D396" s="12">
        <v>10.0</v>
      </c>
      <c r="E396" s="12">
        <f t="shared" si="3"/>
        <v>90</v>
      </c>
      <c r="F396" s="12"/>
      <c r="G396" s="2"/>
      <c r="H396" s="2"/>
      <c r="I396" s="2"/>
      <c r="J396" s="2"/>
      <c r="K396" s="2"/>
      <c r="L396" s="2"/>
      <c r="M396" s="2"/>
      <c r="N396" s="2"/>
      <c r="O396" s="2"/>
      <c r="P396" s="2"/>
      <c r="Q396" s="2"/>
      <c r="R396" s="2"/>
      <c r="S396" s="2"/>
      <c r="T396" s="2"/>
      <c r="U396" s="2"/>
      <c r="V396" s="2"/>
      <c r="W396" s="2"/>
      <c r="X396" s="2"/>
      <c r="Y396" s="2"/>
      <c r="Z396" s="2"/>
      <c r="AA396" s="2"/>
    </row>
    <row r="397">
      <c r="A397" s="12">
        <v>29.0</v>
      </c>
      <c r="B397" s="17" t="s">
        <v>10853</v>
      </c>
      <c r="C397" s="17" t="s">
        <v>10854</v>
      </c>
      <c r="D397" s="12">
        <v>10.0</v>
      </c>
      <c r="E397" s="12">
        <f t="shared" si="3"/>
        <v>90</v>
      </c>
      <c r="F397" s="12"/>
      <c r="G397" s="2"/>
      <c r="H397" s="2"/>
      <c r="I397" s="2"/>
      <c r="J397" s="2"/>
      <c r="K397" s="2"/>
      <c r="L397" s="2"/>
      <c r="M397" s="2"/>
      <c r="N397" s="2"/>
      <c r="O397" s="2"/>
      <c r="P397" s="2"/>
      <c r="Q397" s="2"/>
      <c r="R397" s="2"/>
      <c r="S397" s="2"/>
      <c r="T397" s="2"/>
      <c r="U397" s="2"/>
      <c r="V397" s="2"/>
      <c r="W397" s="2"/>
      <c r="X397" s="2"/>
      <c r="Y397" s="2"/>
      <c r="Z397" s="2"/>
      <c r="AA397" s="2"/>
    </row>
    <row r="398">
      <c r="A398" s="12">
        <v>30.0</v>
      </c>
      <c r="B398" s="17" t="s">
        <v>10855</v>
      </c>
      <c r="C398" s="17" t="s">
        <v>10856</v>
      </c>
      <c r="D398" s="12">
        <v>10.0</v>
      </c>
      <c r="E398" s="12">
        <f t="shared" si="3"/>
        <v>90</v>
      </c>
      <c r="F398" s="12"/>
      <c r="G398" s="2"/>
      <c r="H398" s="2"/>
      <c r="I398" s="2"/>
      <c r="J398" s="2"/>
      <c r="K398" s="2"/>
      <c r="L398" s="2"/>
      <c r="M398" s="2"/>
      <c r="N398" s="2"/>
      <c r="O398" s="2"/>
      <c r="P398" s="2"/>
      <c r="Q398" s="2"/>
      <c r="R398" s="2"/>
      <c r="S398" s="2"/>
      <c r="T398" s="2"/>
      <c r="U398" s="2"/>
      <c r="V398" s="2"/>
      <c r="W398" s="2"/>
      <c r="X398" s="2"/>
      <c r="Y398" s="2"/>
      <c r="Z398" s="2"/>
      <c r="AA398" s="2"/>
    </row>
    <row r="399">
      <c r="A399" s="12">
        <v>31.0</v>
      </c>
      <c r="B399" s="17" t="s">
        <v>10857</v>
      </c>
      <c r="C399" s="17" t="s">
        <v>10858</v>
      </c>
      <c r="D399" s="12">
        <v>10.0</v>
      </c>
      <c r="E399" s="12">
        <f t="shared" si="3"/>
        <v>90</v>
      </c>
      <c r="F399" s="12"/>
      <c r="G399" s="2"/>
      <c r="H399" s="2"/>
      <c r="I399" s="2"/>
      <c r="J399" s="2"/>
      <c r="K399" s="2"/>
      <c r="L399" s="2"/>
      <c r="M399" s="2"/>
      <c r="N399" s="2"/>
      <c r="O399" s="2"/>
      <c r="P399" s="2"/>
      <c r="Q399" s="2"/>
      <c r="R399" s="2"/>
      <c r="S399" s="2"/>
      <c r="T399" s="2"/>
      <c r="U399" s="2"/>
      <c r="V399" s="2"/>
      <c r="W399" s="2"/>
      <c r="X399" s="2"/>
      <c r="Y399" s="2"/>
      <c r="Z399" s="2"/>
      <c r="AA399" s="2"/>
    </row>
    <row r="400">
      <c r="A400" s="12">
        <v>32.0</v>
      </c>
      <c r="B400" s="17" t="s">
        <v>10859</v>
      </c>
      <c r="C400" s="17" t="s">
        <v>10860</v>
      </c>
      <c r="D400" s="12">
        <v>10.0</v>
      </c>
      <c r="E400" s="12">
        <f t="shared" si="3"/>
        <v>90</v>
      </c>
      <c r="F400" s="12"/>
      <c r="G400" s="2"/>
      <c r="H400" s="2"/>
      <c r="I400" s="2"/>
      <c r="J400" s="2"/>
      <c r="K400" s="2"/>
      <c r="L400" s="2"/>
      <c r="M400" s="2"/>
      <c r="N400" s="2"/>
      <c r="O400" s="2"/>
      <c r="P400" s="2"/>
      <c r="Q400" s="2"/>
      <c r="R400" s="2"/>
      <c r="S400" s="2"/>
      <c r="T400" s="2"/>
      <c r="U400" s="2"/>
      <c r="V400" s="2"/>
      <c r="W400" s="2"/>
      <c r="X400" s="2"/>
      <c r="Y400" s="2"/>
      <c r="Z400" s="2"/>
      <c r="AA400" s="2"/>
    </row>
    <row r="401">
      <c r="A401" s="12">
        <v>33.0</v>
      </c>
      <c r="B401" s="17" t="s">
        <v>10861</v>
      </c>
      <c r="C401" s="17" t="s">
        <v>10862</v>
      </c>
      <c r="D401" s="12">
        <v>10.0</v>
      </c>
      <c r="E401" s="12">
        <f t="shared" si="3"/>
        <v>90</v>
      </c>
      <c r="F401" s="12"/>
      <c r="G401" s="2"/>
      <c r="H401" s="2"/>
      <c r="I401" s="2"/>
      <c r="J401" s="2"/>
      <c r="K401" s="2"/>
      <c r="L401" s="2"/>
      <c r="M401" s="2"/>
      <c r="N401" s="2"/>
      <c r="O401" s="2"/>
      <c r="P401" s="2"/>
      <c r="Q401" s="2"/>
      <c r="R401" s="2"/>
      <c r="S401" s="2"/>
      <c r="T401" s="2"/>
      <c r="U401" s="2"/>
      <c r="V401" s="2"/>
      <c r="W401" s="2"/>
      <c r="X401" s="2"/>
      <c r="Y401" s="2"/>
      <c r="Z401" s="2"/>
      <c r="AA401" s="2"/>
    </row>
    <row r="402">
      <c r="A402" s="12">
        <v>34.0</v>
      </c>
      <c r="B402" s="17" t="s">
        <v>10863</v>
      </c>
      <c r="C402" s="17" t="s">
        <v>10864</v>
      </c>
      <c r="D402" s="12">
        <v>10.0</v>
      </c>
      <c r="E402" s="12">
        <f t="shared" si="3"/>
        <v>90</v>
      </c>
      <c r="F402" s="12"/>
      <c r="G402" s="2"/>
      <c r="H402" s="2"/>
      <c r="I402" s="2"/>
      <c r="J402" s="2"/>
      <c r="K402" s="2"/>
      <c r="L402" s="2"/>
      <c r="M402" s="2"/>
      <c r="N402" s="2"/>
      <c r="O402" s="2"/>
      <c r="P402" s="2"/>
      <c r="Q402" s="2"/>
      <c r="R402" s="2"/>
      <c r="S402" s="2"/>
      <c r="T402" s="2"/>
      <c r="U402" s="2"/>
      <c r="V402" s="2"/>
      <c r="W402" s="2"/>
      <c r="X402" s="2"/>
      <c r="Y402" s="2"/>
      <c r="Z402" s="2"/>
      <c r="AA402" s="2"/>
    </row>
    <row r="403">
      <c r="A403" s="12">
        <v>35.0</v>
      </c>
      <c r="B403" s="17" t="s">
        <v>10865</v>
      </c>
      <c r="C403" s="17" t="s">
        <v>10866</v>
      </c>
      <c r="D403" s="12">
        <v>10.0</v>
      </c>
      <c r="E403" s="12">
        <f t="shared" si="3"/>
        <v>90</v>
      </c>
      <c r="F403" s="12"/>
      <c r="G403" s="2"/>
      <c r="H403" s="2"/>
      <c r="I403" s="2"/>
      <c r="J403" s="2"/>
      <c r="K403" s="2"/>
      <c r="L403" s="2"/>
      <c r="M403" s="2"/>
      <c r="N403" s="2"/>
      <c r="O403" s="2"/>
      <c r="P403" s="2"/>
      <c r="Q403" s="2"/>
      <c r="R403" s="2"/>
      <c r="S403" s="2"/>
      <c r="T403" s="2"/>
      <c r="U403" s="2"/>
      <c r="V403" s="2"/>
      <c r="W403" s="2"/>
      <c r="X403" s="2"/>
      <c r="Y403" s="2"/>
      <c r="Z403" s="2"/>
      <c r="AA403" s="2"/>
    </row>
    <row r="404">
      <c r="A404" s="12">
        <v>36.0</v>
      </c>
      <c r="B404" s="17" t="s">
        <v>10867</v>
      </c>
      <c r="C404" s="17" t="s">
        <v>10868</v>
      </c>
      <c r="D404" s="12">
        <v>10.0</v>
      </c>
      <c r="E404" s="12">
        <f t="shared" si="3"/>
        <v>90</v>
      </c>
      <c r="F404" s="12"/>
      <c r="G404" s="2"/>
      <c r="H404" s="2"/>
      <c r="I404" s="2"/>
      <c r="J404" s="2"/>
      <c r="K404" s="2"/>
      <c r="L404" s="2"/>
      <c r="M404" s="2"/>
      <c r="N404" s="2"/>
      <c r="O404" s="2"/>
      <c r="P404" s="2"/>
      <c r="Q404" s="2"/>
      <c r="R404" s="2"/>
      <c r="S404" s="2"/>
      <c r="T404" s="2"/>
      <c r="U404" s="2"/>
      <c r="V404" s="2"/>
      <c r="W404" s="2"/>
      <c r="X404" s="2"/>
      <c r="Y404" s="2"/>
      <c r="Z404" s="2"/>
      <c r="AA404" s="2"/>
    </row>
    <row r="405">
      <c r="A405" s="12">
        <v>37.0</v>
      </c>
      <c r="B405" s="17" t="s">
        <v>10869</v>
      </c>
      <c r="C405" s="17" t="s">
        <v>10870</v>
      </c>
      <c r="D405" s="12">
        <v>10.0</v>
      </c>
      <c r="E405" s="12">
        <f t="shared" si="3"/>
        <v>90</v>
      </c>
      <c r="F405" s="12"/>
      <c r="G405" s="2"/>
      <c r="H405" s="2"/>
      <c r="I405" s="2"/>
      <c r="J405" s="2"/>
      <c r="K405" s="2"/>
      <c r="L405" s="2"/>
      <c r="M405" s="2"/>
      <c r="N405" s="2"/>
      <c r="O405" s="2"/>
      <c r="P405" s="2"/>
      <c r="Q405" s="2"/>
      <c r="R405" s="2"/>
      <c r="S405" s="2"/>
      <c r="T405" s="2"/>
      <c r="U405" s="2"/>
      <c r="V405" s="2"/>
      <c r="W405" s="2"/>
      <c r="X405" s="2"/>
      <c r="Y405" s="2"/>
      <c r="Z405" s="2"/>
      <c r="AA405" s="2"/>
    </row>
    <row r="406">
      <c r="A406" s="12">
        <v>38.0</v>
      </c>
      <c r="B406" s="17" t="s">
        <v>10871</v>
      </c>
      <c r="C406" s="17" t="s">
        <v>10872</v>
      </c>
      <c r="D406" s="12">
        <v>10.0</v>
      </c>
      <c r="E406" s="12">
        <f t="shared" si="3"/>
        <v>90</v>
      </c>
      <c r="F406" s="12"/>
      <c r="G406" s="2"/>
      <c r="H406" s="2"/>
      <c r="I406" s="2"/>
      <c r="J406" s="2"/>
      <c r="K406" s="2"/>
      <c r="L406" s="2"/>
      <c r="M406" s="2"/>
      <c r="N406" s="2"/>
      <c r="O406" s="2"/>
      <c r="P406" s="2"/>
      <c r="Q406" s="2"/>
      <c r="R406" s="2"/>
      <c r="S406" s="2"/>
      <c r="T406" s="2"/>
      <c r="U406" s="2"/>
      <c r="V406" s="2"/>
      <c r="W406" s="2"/>
      <c r="X406" s="2"/>
      <c r="Y406" s="2"/>
      <c r="Z406" s="2"/>
      <c r="AA406" s="2"/>
    </row>
    <row r="407">
      <c r="A407" s="12">
        <v>39.0</v>
      </c>
      <c r="B407" s="17" t="s">
        <v>10873</v>
      </c>
      <c r="C407" s="17" t="s">
        <v>10874</v>
      </c>
      <c r="D407" s="12">
        <v>10.0</v>
      </c>
      <c r="E407" s="12">
        <f t="shared" si="3"/>
        <v>90</v>
      </c>
      <c r="F407" s="12"/>
      <c r="G407" s="2"/>
      <c r="H407" s="2"/>
      <c r="I407" s="2"/>
      <c r="J407" s="2"/>
      <c r="K407" s="2"/>
      <c r="L407" s="2"/>
      <c r="M407" s="2"/>
      <c r="N407" s="2"/>
      <c r="O407" s="2"/>
      <c r="P407" s="2"/>
      <c r="Q407" s="2"/>
      <c r="R407" s="2"/>
      <c r="S407" s="2"/>
      <c r="T407" s="2"/>
      <c r="U407" s="2"/>
      <c r="V407" s="2"/>
      <c r="W407" s="2"/>
      <c r="X407" s="2"/>
      <c r="Y407" s="2"/>
      <c r="Z407" s="2"/>
      <c r="AA407" s="2"/>
    </row>
    <row r="408">
      <c r="A408" s="12">
        <v>40.0</v>
      </c>
      <c r="B408" s="17" t="s">
        <v>10875</v>
      </c>
      <c r="C408" s="17" t="s">
        <v>10876</v>
      </c>
      <c r="D408" s="12">
        <v>10.0</v>
      </c>
      <c r="E408" s="12">
        <f t="shared" si="3"/>
        <v>90</v>
      </c>
      <c r="F408" s="12"/>
      <c r="G408" s="2"/>
      <c r="H408" s="2"/>
      <c r="I408" s="2"/>
      <c r="J408" s="2"/>
      <c r="K408" s="2"/>
      <c r="L408" s="2"/>
      <c r="M408" s="2"/>
      <c r="N408" s="2"/>
      <c r="O408" s="2"/>
      <c r="P408" s="2"/>
      <c r="Q408" s="2"/>
      <c r="R408" s="2"/>
      <c r="S408" s="2"/>
      <c r="T408" s="2"/>
      <c r="U408" s="2"/>
      <c r="V408" s="2"/>
      <c r="W408" s="2"/>
      <c r="X408" s="2"/>
      <c r="Y408" s="2"/>
      <c r="Z408" s="2"/>
      <c r="AA408" s="2"/>
    </row>
    <row r="409">
      <c r="A409" s="12">
        <v>41.0</v>
      </c>
      <c r="B409" s="17" t="s">
        <v>10877</v>
      </c>
      <c r="C409" s="17" t="s">
        <v>10878</v>
      </c>
      <c r="D409" s="12">
        <v>10.0</v>
      </c>
      <c r="E409" s="12">
        <f t="shared" si="3"/>
        <v>90</v>
      </c>
      <c r="F409" s="12"/>
      <c r="G409" s="2"/>
      <c r="H409" s="2"/>
      <c r="I409" s="2"/>
      <c r="J409" s="2"/>
      <c r="K409" s="2"/>
      <c r="L409" s="2"/>
      <c r="M409" s="2"/>
      <c r="N409" s="2"/>
      <c r="O409" s="2"/>
      <c r="P409" s="2"/>
      <c r="Q409" s="2"/>
      <c r="R409" s="2"/>
      <c r="S409" s="2"/>
      <c r="T409" s="2"/>
      <c r="U409" s="2"/>
      <c r="V409" s="2"/>
      <c r="W409" s="2"/>
      <c r="X409" s="2"/>
      <c r="Y409" s="2"/>
      <c r="Z409" s="2"/>
      <c r="AA409" s="2"/>
    </row>
    <row r="410">
      <c r="A410" s="12">
        <v>42.0</v>
      </c>
      <c r="B410" s="17" t="s">
        <v>10879</v>
      </c>
      <c r="C410" s="17" t="s">
        <v>10880</v>
      </c>
      <c r="D410" s="12">
        <v>10.0</v>
      </c>
      <c r="E410" s="12">
        <f t="shared" si="3"/>
        <v>90</v>
      </c>
      <c r="F410" s="12"/>
      <c r="G410" s="2"/>
      <c r="H410" s="2"/>
      <c r="I410" s="2"/>
      <c r="J410" s="2"/>
      <c r="K410" s="2"/>
      <c r="L410" s="2"/>
      <c r="M410" s="2"/>
      <c r="N410" s="2"/>
      <c r="O410" s="2"/>
      <c r="P410" s="2"/>
      <c r="Q410" s="2"/>
      <c r="R410" s="2"/>
      <c r="S410" s="2"/>
      <c r="T410" s="2"/>
      <c r="U410" s="2"/>
      <c r="V410" s="2"/>
      <c r="W410" s="2"/>
      <c r="X410" s="2"/>
      <c r="Y410" s="2"/>
      <c r="Z410" s="2"/>
      <c r="AA410" s="2"/>
    </row>
    <row r="411">
      <c r="A411" s="11">
        <v>43.0</v>
      </c>
      <c r="B411" s="17" t="s">
        <v>10881</v>
      </c>
      <c r="C411" s="17" t="s">
        <v>10882</v>
      </c>
      <c r="D411" s="11">
        <v>10.0</v>
      </c>
      <c r="E411" s="12">
        <f t="shared" si="3"/>
        <v>90</v>
      </c>
      <c r="F411" s="12"/>
      <c r="G411" s="2"/>
      <c r="H411" s="2"/>
      <c r="I411" s="2"/>
      <c r="J411" s="2"/>
      <c r="K411" s="2"/>
      <c r="L411" s="2"/>
      <c r="M411" s="2"/>
      <c r="N411" s="2"/>
      <c r="O411" s="2"/>
      <c r="P411" s="2"/>
      <c r="Q411" s="2"/>
      <c r="R411" s="2"/>
      <c r="S411" s="2"/>
      <c r="T411" s="2"/>
      <c r="U411" s="2"/>
      <c r="V411" s="2"/>
      <c r="W411" s="2"/>
      <c r="X411" s="2"/>
      <c r="Y411" s="2"/>
      <c r="Z411" s="2"/>
      <c r="AA411" s="2"/>
    </row>
    <row r="412">
      <c r="A412" s="11">
        <v>44.0</v>
      </c>
      <c r="B412" s="17" t="s">
        <v>10883</v>
      </c>
      <c r="C412" s="17" t="s">
        <v>10884</v>
      </c>
      <c r="D412" s="11">
        <v>10.0</v>
      </c>
      <c r="E412" s="12">
        <f t="shared" si="3"/>
        <v>90</v>
      </c>
      <c r="F412" s="12"/>
      <c r="G412" s="2"/>
      <c r="H412" s="2"/>
      <c r="I412" s="2"/>
      <c r="J412" s="2"/>
      <c r="K412" s="2"/>
      <c r="L412" s="2"/>
      <c r="M412" s="2"/>
      <c r="N412" s="2"/>
      <c r="O412" s="2"/>
      <c r="P412" s="2"/>
      <c r="Q412" s="2"/>
      <c r="R412" s="2"/>
      <c r="S412" s="2"/>
      <c r="T412" s="2"/>
      <c r="U412" s="2"/>
      <c r="V412" s="2"/>
      <c r="W412" s="2"/>
      <c r="X412" s="2"/>
      <c r="Y412" s="2"/>
      <c r="Z412" s="2"/>
      <c r="AA412" s="2"/>
    </row>
    <row r="413">
      <c r="A413" s="11">
        <v>45.0</v>
      </c>
      <c r="B413" s="17" t="s">
        <v>10885</v>
      </c>
      <c r="C413" s="17" t="s">
        <v>10886</v>
      </c>
      <c r="D413" s="11">
        <v>10.0</v>
      </c>
      <c r="E413" s="12">
        <f t="shared" si="3"/>
        <v>90</v>
      </c>
      <c r="F413" s="12"/>
      <c r="G413" s="2"/>
      <c r="H413" s="2"/>
      <c r="I413" s="2"/>
      <c r="J413" s="2"/>
      <c r="K413" s="2"/>
      <c r="L413" s="2"/>
      <c r="M413" s="2"/>
      <c r="N413" s="2"/>
      <c r="O413" s="2"/>
      <c r="P413" s="2"/>
      <c r="Q413" s="2"/>
      <c r="R413" s="2"/>
      <c r="S413" s="2"/>
      <c r="T413" s="2"/>
      <c r="U413" s="2"/>
      <c r="V413" s="2"/>
      <c r="W413" s="2"/>
      <c r="X413" s="2"/>
      <c r="Y413" s="2"/>
      <c r="Z413" s="2"/>
      <c r="AA413" s="2"/>
    </row>
    <row r="414">
      <c r="A414" s="11">
        <v>46.0</v>
      </c>
      <c r="B414" s="17" t="s">
        <v>10887</v>
      </c>
      <c r="C414" s="17" t="s">
        <v>10888</v>
      </c>
      <c r="D414" s="11">
        <v>10.0</v>
      </c>
      <c r="E414" s="12">
        <f t="shared" si="3"/>
        <v>90</v>
      </c>
      <c r="F414" s="12"/>
      <c r="G414" s="2"/>
      <c r="H414" s="2"/>
      <c r="I414" s="2"/>
      <c r="J414" s="2"/>
      <c r="K414" s="2"/>
      <c r="L414" s="2"/>
      <c r="M414" s="2"/>
      <c r="N414" s="2"/>
      <c r="O414" s="2"/>
      <c r="P414" s="2"/>
      <c r="Q414" s="2"/>
      <c r="R414" s="2"/>
      <c r="S414" s="2"/>
      <c r="T414" s="2"/>
      <c r="U414" s="2"/>
      <c r="V414" s="2"/>
      <c r="W414" s="2"/>
      <c r="X414" s="2"/>
      <c r="Y414" s="2"/>
      <c r="Z414" s="2"/>
      <c r="AA414" s="2"/>
    </row>
    <row r="415">
      <c r="A415" s="11">
        <v>47.0</v>
      </c>
      <c r="B415" s="17" t="s">
        <v>10889</v>
      </c>
      <c r="C415" s="17" t="s">
        <v>10890</v>
      </c>
      <c r="D415" s="11">
        <v>10.0</v>
      </c>
      <c r="E415" s="12">
        <f t="shared" si="3"/>
        <v>90</v>
      </c>
      <c r="F415" s="12"/>
      <c r="G415" s="2"/>
      <c r="H415" s="2"/>
      <c r="I415" s="2"/>
      <c r="J415" s="2"/>
      <c r="K415" s="2"/>
      <c r="L415" s="2"/>
      <c r="M415" s="2"/>
      <c r="N415" s="2"/>
      <c r="O415" s="2"/>
      <c r="P415" s="2"/>
      <c r="Q415" s="2"/>
      <c r="R415" s="2"/>
      <c r="S415" s="2"/>
      <c r="T415" s="2"/>
      <c r="U415" s="2"/>
      <c r="V415" s="2"/>
      <c r="W415" s="2"/>
      <c r="X415" s="2"/>
      <c r="Y415" s="2"/>
      <c r="Z415" s="2"/>
      <c r="AA415" s="2"/>
    </row>
    <row r="416">
      <c r="A416" s="11">
        <v>48.0</v>
      </c>
      <c r="B416" s="17" t="s">
        <v>10891</v>
      </c>
      <c r="C416" s="17" t="s">
        <v>10892</v>
      </c>
      <c r="D416" s="11">
        <v>10.0</v>
      </c>
      <c r="E416" s="12">
        <f t="shared" si="3"/>
        <v>90</v>
      </c>
      <c r="F416" s="12"/>
      <c r="G416" s="2"/>
      <c r="H416" s="2"/>
      <c r="I416" s="2"/>
      <c r="J416" s="2"/>
      <c r="K416" s="2"/>
      <c r="L416" s="2"/>
      <c r="M416" s="2"/>
      <c r="N416" s="2"/>
      <c r="O416" s="2"/>
      <c r="P416" s="2"/>
      <c r="Q416" s="2"/>
      <c r="R416" s="2"/>
      <c r="S416" s="2"/>
      <c r="T416" s="2"/>
      <c r="U416" s="2"/>
      <c r="V416" s="2"/>
      <c r="W416" s="2"/>
      <c r="X416" s="2"/>
      <c r="Y416" s="2"/>
      <c r="Z416" s="2"/>
      <c r="AA416" s="2"/>
    </row>
    <row r="417">
      <c r="A417" s="11">
        <v>49.0</v>
      </c>
      <c r="B417" s="17" t="s">
        <v>10893</v>
      </c>
      <c r="C417" s="17" t="s">
        <v>10894</v>
      </c>
      <c r="D417" s="11">
        <v>10.0</v>
      </c>
      <c r="E417" s="11">
        <v>90.0</v>
      </c>
      <c r="F417" s="12"/>
      <c r="G417" s="2"/>
      <c r="H417" s="2"/>
      <c r="I417" s="2"/>
      <c r="J417" s="2"/>
      <c r="K417" s="2"/>
      <c r="L417" s="2"/>
      <c r="M417" s="2"/>
      <c r="N417" s="2"/>
      <c r="O417" s="2"/>
      <c r="P417" s="2"/>
      <c r="Q417" s="2"/>
      <c r="R417" s="2"/>
      <c r="S417" s="2"/>
      <c r="T417" s="2"/>
      <c r="U417" s="2"/>
      <c r="V417" s="2"/>
      <c r="W417" s="2"/>
      <c r="X417" s="2"/>
      <c r="Y417" s="2"/>
      <c r="Z417" s="2"/>
      <c r="AA417" s="2"/>
    </row>
    <row r="418">
      <c r="A418" s="11">
        <v>50.0</v>
      </c>
      <c r="B418" s="17" t="s">
        <v>10895</v>
      </c>
      <c r="C418" s="17" t="s">
        <v>10896</v>
      </c>
      <c r="D418" s="11">
        <v>10.0</v>
      </c>
      <c r="E418" s="11">
        <v>90.0</v>
      </c>
      <c r="F418" s="12"/>
      <c r="G418" s="2"/>
      <c r="H418" s="2"/>
      <c r="I418" s="2"/>
      <c r="J418" s="2"/>
      <c r="K418" s="2"/>
      <c r="L418" s="2"/>
      <c r="M418" s="2"/>
      <c r="N418" s="2"/>
      <c r="O418" s="2"/>
      <c r="P418" s="2"/>
      <c r="Q418" s="2"/>
      <c r="R418" s="2"/>
      <c r="S418" s="2"/>
      <c r="T418" s="2"/>
      <c r="U418" s="2"/>
      <c r="V418" s="2"/>
      <c r="W418" s="2"/>
      <c r="X418" s="2"/>
      <c r="Y418" s="2"/>
      <c r="Z418" s="2"/>
      <c r="AA418" s="2"/>
    </row>
    <row r="419">
      <c r="A419" s="11">
        <v>51.0</v>
      </c>
      <c r="B419" s="17" t="s">
        <v>10897</v>
      </c>
      <c r="C419" s="17" t="s">
        <v>10898</v>
      </c>
      <c r="D419" s="11">
        <v>10.0</v>
      </c>
      <c r="E419" s="11">
        <v>90.0</v>
      </c>
      <c r="F419" s="12"/>
      <c r="G419" s="2"/>
      <c r="H419" s="2"/>
      <c r="I419" s="2"/>
      <c r="J419" s="2"/>
      <c r="K419" s="2"/>
      <c r="L419" s="2"/>
      <c r="M419" s="2"/>
      <c r="N419" s="2"/>
      <c r="O419" s="2"/>
      <c r="P419" s="2"/>
      <c r="Q419" s="2"/>
      <c r="R419" s="2"/>
      <c r="S419" s="2"/>
      <c r="T419" s="2"/>
      <c r="U419" s="2"/>
      <c r="V419" s="2"/>
      <c r="W419" s="2"/>
      <c r="X419" s="2"/>
      <c r="Y419" s="2"/>
      <c r="Z419" s="2"/>
      <c r="AA419" s="2"/>
    </row>
    <row r="420">
      <c r="A420" s="11">
        <v>52.0</v>
      </c>
      <c r="B420" s="17" t="s">
        <v>10899</v>
      </c>
      <c r="C420" s="17" t="s">
        <v>10900</v>
      </c>
      <c r="D420" s="11">
        <v>10.0</v>
      </c>
      <c r="E420" s="11">
        <v>90.0</v>
      </c>
      <c r="F420" s="12"/>
      <c r="G420" s="2"/>
      <c r="H420" s="2"/>
      <c r="I420" s="2"/>
      <c r="J420" s="2"/>
      <c r="K420" s="2"/>
      <c r="L420" s="2"/>
      <c r="M420" s="2"/>
      <c r="N420" s="2"/>
      <c r="O420" s="2"/>
      <c r="P420" s="2"/>
      <c r="Q420" s="2"/>
      <c r="R420" s="2"/>
      <c r="S420" s="2"/>
      <c r="T420" s="2"/>
      <c r="U420" s="2"/>
      <c r="V420" s="2"/>
      <c r="W420" s="2"/>
      <c r="X420" s="2"/>
      <c r="Y420" s="2"/>
      <c r="Z420" s="2"/>
      <c r="AA420" s="2"/>
    </row>
    <row r="421">
      <c r="A421" s="11">
        <v>53.0</v>
      </c>
      <c r="B421" s="17" t="s">
        <v>10901</v>
      </c>
      <c r="C421" s="17" t="s">
        <v>10902</v>
      </c>
      <c r="D421" s="11">
        <v>10.0</v>
      </c>
      <c r="E421" s="11">
        <v>90.0</v>
      </c>
      <c r="F421" s="12"/>
      <c r="G421" s="2"/>
      <c r="H421" s="2"/>
      <c r="I421" s="2"/>
      <c r="J421" s="2"/>
      <c r="K421" s="2"/>
      <c r="L421" s="2"/>
      <c r="M421" s="2"/>
      <c r="N421" s="2"/>
      <c r="O421" s="2"/>
      <c r="P421" s="2"/>
      <c r="Q421" s="2"/>
      <c r="R421" s="2"/>
      <c r="S421" s="2"/>
      <c r="T421" s="2"/>
      <c r="U421" s="2"/>
      <c r="V421" s="2"/>
      <c r="W421" s="2"/>
      <c r="X421" s="2"/>
      <c r="Y421" s="2"/>
      <c r="Z421" s="2"/>
      <c r="AA421" s="2"/>
    </row>
    <row r="422">
      <c r="A422" s="11">
        <v>54.0</v>
      </c>
      <c r="B422" s="17" t="s">
        <v>10903</v>
      </c>
      <c r="C422" s="17" t="s">
        <v>10904</v>
      </c>
      <c r="D422" s="11">
        <v>10.0</v>
      </c>
      <c r="E422" s="11">
        <v>90.0</v>
      </c>
      <c r="F422" s="12"/>
      <c r="G422" s="2"/>
      <c r="H422" s="2"/>
      <c r="I422" s="2"/>
      <c r="J422" s="2"/>
      <c r="K422" s="2"/>
      <c r="L422" s="2"/>
      <c r="M422" s="2"/>
      <c r="N422" s="2"/>
      <c r="O422" s="2"/>
      <c r="P422" s="2"/>
      <c r="Q422" s="2"/>
      <c r="R422" s="2"/>
      <c r="S422" s="2"/>
      <c r="T422" s="2"/>
      <c r="U422" s="2"/>
      <c r="V422" s="2"/>
      <c r="W422" s="2"/>
      <c r="X422" s="2"/>
      <c r="Y422" s="2"/>
      <c r="Z422" s="2"/>
      <c r="AA422" s="2"/>
    </row>
    <row r="423">
      <c r="A423" s="11">
        <v>55.0</v>
      </c>
      <c r="B423" s="17" t="s">
        <v>10905</v>
      </c>
      <c r="C423" s="17" t="s">
        <v>10906</v>
      </c>
      <c r="D423" s="11">
        <v>10.0</v>
      </c>
      <c r="E423" s="11">
        <v>90.0</v>
      </c>
      <c r="F423" s="12"/>
      <c r="G423" s="2"/>
      <c r="H423" s="2"/>
      <c r="I423" s="2"/>
      <c r="J423" s="2"/>
      <c r="K423" s="2"/>
      <c r="L423" s="2"/>
      <c r="M423" s="2"/>
      <c r="N423" s="2"/>
      <c r="O423" s="2"/>
      <c r="P423" s="2"/>
      <c r="Q423" s="2"/>
      <c r="R423" s="2"/>
      <c r="S423" s="2"/>
      <c r="T423" s="2"/>
      <c r="U423" s="2"/>
      <c r="V423" s="2"/>
      <c r="W423" s="2"/>
      <c r="X423" s="2"/>
      <c r="Y423" s="2"/>
      <c r="Z423" s="2"/>
      <c r="AA423" s="2"/>
    </row>
    <row r="424">
      <c r="A424" s="11">
        <v>56.0</v>
      </c>
      <c r="B424" s="17" t="s">
        <v>10907</v>
      </c>
      <c r="C424" s="17" t="s">
        <v>10908</v>
      </c>
      <c r="D424" s="11">
        <v>10.0</v>
      </c>
      <c r="E424" s="11">
        <v>90.0</v>
      </c>
      <c r="F424" s="12"/>
      <c r="G424" s="2"/>
      <c r="H424" s="2"/>
      <c r="I424" s="2"/>
      <c r="J424" s="2"/>
      <c r="K424" s="2"/>
      <c r="L424" s="2"/>
      <c r="M424" s="2"/>
      <c r="N424" s="2"/>
      <c r="O424" s="2"/>
      <c r="P424" s="2"/>
      <c r="Q424" s="2"/>
      <c r="R424" s="2"/>
      <c r="S424" s="2"/>
      <c r="T424" s="2"/>
      <c r="U424" s="2"/>
      <c r="V424" s="2"/>
      <c r="W424" s="2"/>
      <c r="X424" s="2"/>
      <c r="Y424" s="2"/>
      <c r="Z424" s="2"/>
      <c r="AA424" s="2"/>
    </row>
    <row r="425">
      <c r="A425" s="11">
        <v>57.0</v>
      </c>
      <c r="B425" s="17" t="s">
        <v>10909</v>
      </c>
      <c r="C425" s="17" t="s">
        <v>10910</v>
      </c>
      <c r="D425" s="11">
        <v>10.0</v>
      </c>
      <c r="E425" s="11">
        <v>90.0</v>
      </c>
      <c r="F425" s="12"/>
      <c r="G425" s="2"/>
      <c r="H425" s="2"/>
      <c r="I425" s="2"/>
      <c r="J425" s="2"/>
      <c r="K425" s="2"/>
      <c r="L425" s="2"/>
      <c r="M425" s="2"/>
      <c r="N425" s="2"/>
      <c r="O425" s="2"/>
      <c r="P425" s="2"/>
      <c r="Q425" s="2"/>
      <c r="R425" s="2"/>
      <c r="S425" s="2"/>
      <c r="T425" s="2"/>
      <c r="U425" s="2"/>
      <c r="V425" s="2"/>
      <c r="W425" s="2"/>
      <c r="X425" s="2"/>
      <c r="Y425" s="2"/>
      <c r="Z425" s="2"/>
      <c r="AA425" s="2"/>
    </row>
    <row r="426">
      <c r="A426" s="11">
        <v>58.0</v>
      </c>
      <c r="B426" s="17" t="s">
        <v>10911</v>
      </c>
      <c r="C426" s="17" t="s">
        <v>10912</v>
      </c>
      <c r="D426" s="11">
        <v>10.0</v>
      </c>
      <c r="E426" s="11">
        <v>90.0</v>
      </c>
      <c r="F426" s="12"/>
      <c r="G426" s="2"/>
      <c r="H426" s="2"/>
      <c r="I426" s="2"/>
      <c r="J426" s="2"/>
      <c r="K426" s="2"/>
      <c r="L426" s="2"/>
      <c r="M426" s="2"/>
      <c r="N426" s="2"/>
      <c r="O426" s="2"/>
      <c r="P426" s="2"/>
      <c r="Q426" s="2"/>
      <c r="R426" s="2"/>
      <c r="S426" s="2"/>
      <c r="T426" s="2"/>
      <c r="U426" s="2"/>
      <c r="V426" s="2"/>
      <c r="W426" s="2"/>
      <c r="X426" s="2"/>
      <c r="Y426" s="2"/>
      <c r="Z426" s="2"/>
      <c r="AA426" s="2"/>
    </row>
    <row r="427">
      <c r="A427" s="10">
        <v>59.0</v>
      </c>
      <c r="B427" s="17" t="s">
        <v>10913</v>
      </c>
      <c r="C427" s="17" t="s">
        <v>10914</v>
      </c>
      <c r="D427" s="11">
        <v>10.0</v>
      </c>
      <c r="E427" s="11">
        <v>90.0</v>
      </c>
      <c r="F427" s="12"/>
      <c r="G427" s="2"/>
      <c r="H427" s="2"/>
      <c r="I427" s="2"/>
      <c r="J427" s="2"/>
      <c r="K427" s="2"/>
      <c r="L427" s="2"/>
      <c r="M427" s="2"/>
      <c r="N427" s="2"/>
      <c r="O427" s="2"/>
      <c r="P427" s="2"/>
      <c r="Q427" s="2"/>
      <c r="R427" s="2"/>
      <c r="S427" s="2"/>
      <c r="T427" s="2"/>
      <c r="U427" s="2"/>
      <c r="V427" s="2"/>
      <c r="W427" s="2"/>
      <c r="X427" s="2"/>
      <c r="Y427" s="2"/>
      <c r="Z427" s="2"/>
      <c r="AA427" s="2"/>
    </row>
    <row r="428">
      <c r="A428" s="11">
        <v>60.0</v>
      </c>
      <c r="B428" s="17" t="s">
        <v>10915</v>
      </c>
      <c r="C428" s="17" t="s">
        <v>10916</v>
      </c>
      <c r="D428" s="11">
        <v>10.0</v>
      </c>
      <c r="E428" s="11">
        <v>90.0</v>
      </c>
      <c r="F428" s="12"/>
      <c r="G428" s="2"/>
      <c r="H428" s="2"/>
      <c r="I428" s="2"/>
      <c r="J428" s="2"/>
      <c r="K428" s="2"/>
      <c r="L428" s="2"/>
      <c r="M428" s="2"/>
      <c r="N428" s="2"/>
      <c r="O428" s="2"/>
      <c r="P428" s="2"/>
      <c r="Q428" s="2"/>
      <c r="R428" s="2"/>
      <c r="S428" s="2"/>
      <c r="T428" s="2"/>
      <c r="U428" s="2"/>
      <c r="V428" s="2"/>
      <c r="W428" s="2"/>
      <c r="X428" s="2"/>
      <c r="Y428" s="2"/>
      <c r="Z428" s="2"/>
      <c r="AA428" s="2"/>
    </row>
    <row r="429">
      <c r="A429" s="14"/>
      <c r="B429" s="14"/>
      <c r="C429" s="14"/>
      <c r="D429" s="14"/>
      <c r="E429" s="14"/>
      <c r="F429" s="12"/>
      <c r="G429" s="2"/>
      <c r="H429" s="2"/>
      <c r="I429" s="2"/>
      <c r="J429" s="2"/>
      <c r="K429" s="2"/>
      <c r="L429" s="2"/>
      <c r="M429" s="2"/>
      <c r="N429" s="2"/>
      <c r="O429" s="2"/>
      <c r="P429" s="2"/>
      <c r="Q429" s="2"/>
      <c r="R429" s="2"/>
      <c r="S429" s="2"/>
      <c r="T429" s="2"/>
      <c r="U429" s="2"/>
      <c r="V429" s="2"/>
      <c r="W429" s="2"/>
      <c r="X429" s="2"/>
      <c r="Y429" s="2"/>
      <c r="Z429" s="2"/>
      <c r="AA429" s="2"/>
    </row>
    <row r="430">
      <c r="A430" s="14"/>
      <c r="B430" s="14"/>
      <c r="C430" s="14"/>
      <c r="D430" s="14"/>
      <c r="E430" s="14"/>
      <c r="F430" s="12"/>
      <c r="G430" s="2"/>
      <c r="H430" s="2"/>
      <c r="I430" s="2"/>
      <c r="J430" s="2"/>
      <c r="K430" s="2"/>
      <c r="L430" s="2"/>
      <c r="M430" s="2"/>
      <c r="N430" s="2"/>
      <c r="O430" s="2"/>
      <c r="P430" s="2"/>
      <c r="Q430" s="2"/>
      <c r="R430" s="2"/>
      <c r="S430" s="2"/>
      <c r="T430" s="2"/>
      <c r="U430" s="2"/>
      <c r="V430" s="2"/>
      <c r="W430" s="2"/>
      <c r="X430" s="2"/>
      <c r="Y430" s="2"/>
      <c r="Z430" s="2"/>
      <c r="AA430" s="2"/>
    </row>
    <row r="431">
      <c r="A431" s="14" t="s">
        <v>10917</v>
      </c>
      <c r="F431" s="12"/>
      <c r="G431" s="2"/>
      <c r="H431" s="2"/>
      <c r="I431" s="2"/>
      <c r="J431" s="2"/>
      <c r="K431" s="2"/>
      <c r="L431" s="2"/>
      <c r="M431" s="2"/>
      <c r="N431" s="2"/>
      <c r="O431" s="2"/>
      <c r="P431" s="2"/>
      <c r="Q431" s="2"/>
      <c r="R431" s="2"/>
      <c r="S431" s="2"/>
      <c r="T431" s="2"/>
      <c r="U431" s="2"/>
      <c r="V431" s="2"/>
      <c r="W431" s="2"/>
      <c r="X431" s="2"/>
      <c r="Y431" s="2"/>
      <c r="Z431" s="2"/>
      <c r="AA431" s="2"/>
    </row>
    <row r="432">
      <c r="A432" s="4" t="s">
        <v>2</v>
      </c>
      <c r="B432" s="4" t="s">
        <v>3</v>
      </c>
      <c r="C432" s="4" t="s">
        <v>4</v>
      </c>
      <c r="D432" s="5" t="s">
        <v>2569</v>
      </c>
      <c r="E432" s="4" t="s">
        <v>6</v>
      </c>
      <c r="F432" s="12"/>
      <c r="G432" s="2"/>
      <c r="H432" s="2"/>
      <c r="I432" s="2"/>
      <c r="J432" s="2"/>
      <c r="K432" s="2"/>
      <c r="L432" s="2"/>
      <c r="M432" s="2"/>
      <c r="N432" s="2"/>
      <c r="O432" s="2"/>
      <c r="P432" s="2"/>
      <c r="Q432" s="2"/>
      <c r="R432" s="2"/>
      <c r="S432" s="2"/>
      <c r="T432" s="2"/>
      <c r="U432" s="2"/>
      <c r="V432" s="2"/>
      <c r="W432" s="2"/>
      <c r="X432" s="2"/>
      <c r="Y432" s="2"/>
      <c r="Z432" s="2"/>
      <c r="AA432" s="2"/>
    </row>
    <row r="433">
      <c r="A433" s="12">
        <v>1.0</v>
      </c>
      <c r="B433" s="17" t="s">
        <v>10918</v>
      </c>
      <c r="C433" s="17" t="s">
        <v>10919</v>
      </c>
      <c r="D433" s="16">
        <v>10.0</v>
      </c>
      <c r="E433" s="12">
        <f t="shared" ref="E433:E526" si="4">100-D433</f>
        <v>90</v>
      </c>
      <c r="F433" s="12"/>
      <c r="G433" s="2"/>
      <c r="H433" s="2"/>
      <c r="I433" s="2"/>
      <c r="J433" s="2"/>
      <c r="K433" s="2"/>
      <c r="L433" s="2"/>
      <c r="M433" s="2"/>
      <c r="N433" s="2"/>
      <c r="O433" s="2"/>
      <c r="P433" s="2"/>
      <c r="Q433" s="2"/>
      <c r="R433" s="2"/>
      <c r="S433" s="2"/>
      <c r="T433" s="2"/>
      <c r="U433" s="2"/>
      <c r="V433" s="2"/>
      <c r="W433" s="2"/>
      <c r="X433" s="2"/>
      <c r="Y433" s="2"/>
      <c r="Z433" s="2"/>
      <c r="AA433" s="2"/>
    </row>
    <row r="434">
      <c r="A434" s="12">
        <v>2.0</v>
      </c>
      <c r="B434" s="17" t="s">
        <v>10920</v>
      </c>
      <c r="C434" s="17" t="s">
        <v>10921</v>
      </c>
      <c r="D434" s="16">
        <v>10.0</v>
      </c>
      <c r="E434" s="12">
        <f t="shared" si="4"/>
        <v>90</v>
      </c>
      <c r="F434" s="12"/>
      <c r="G434" s="2"/>
      <c r="H434" s="2"/>
      <c r="I434" s="2"/>
      <c r="J434" s="2"/>
      <c r="K434" s="2"/>
      <c r="L434" s="2"/>
      <c r="M434" s="2"/>
      <c r="N434" s="2"/>
      <c r="O434" s="2"/>
      <c r="P434" s="2"/>
      <c r="Q434" s="2"/>
      <c r="R434" s="2"/>
      <c r="S434" s="2"/>
      <c r="T434" s="2"/>
      <c r="U434" s="2"/>
      <c r="V434" s="2"/>
      <c r="W434" s="2"/>
      <c r="X434" s="2"/>
      <c r="Y434" s="2"/>
      <c r="Z434" s="2"/>
      <c r="AA434" s="2"/>
    </row>
    <row r="435">
      <c r="A435" s="12">
        <v>3.0</v>
      </c>
      <c r="B435" s="17" t="s">
        <v>10922</v>
      </c>
      <c r="C435" s="17" t="s">
        <v>10923</v>
      </c>
      <c r="D435" s="16">
        <v>10.0</v>
      </c>
      <c r="E435" s="12">
        <f t="shared" si="4"/>
        <v>90</v>
      </c>
      <c r="F435" s="12"/>
      <c r="G435" s="2"/>
      <c r="H435" s="2"/>
      <c r="I435" s="2"/>
      <c r="J435" s="2"/>
      <c r="K435" s="2"/>
      <c r="L435" s="2"/>
      <c r="M435" s="2"/>
      <c r="N435" s="2"/>
      <c r="O435" s="2"/>
      <c r="P435" s="2"/>
      <c r="Q435" s="2"/>
      <c r="R435" s="2"/>
      <c r="S435" s="2"/>
      <c r="T435" s="2"/>
      <c r="U435" s="2"/>
      <c r="V435" s="2"/>
      <c r="W435" s="2"/>
      <c r="X435" s="2"/>
      <c r="Y435" s="2"/>
      <c r="Z435" s="2"/>
      <c r="AA435" s="2"/>
    </row>
    <row r="436">
      <c r="A436" s="12">
        <v>4.0</v>
      </c>
      <c r="B436" s="17" t="s">
        <v>10924</v>
      </c>
      <c r="C436" s="17" t="s">
        <v>10925</v>
      </c>
      <c r="D436" s="16">
        <v>10.0</v>
      </c>
      <c r="E436" s="12">
        <f t="shared" si="4"/>
        <v>90</v>
      </c>
      <c r="F436" s="12"/>
      <c r="G436" s="2"/>
      <c r="H436" s="2"/>
      <c r="I436" s="2"/>
      <c r="J436" s="2"/>
      <c r="K436" s="2"/>
      <c r="L436" s="2"/>
      <c r="M436" s="2"/>
      <c r="N436" s="2"/>
      <c r="O436" s="2"/>
      <c r="P436" s="2"/>
      <c r="Q436" s="2"/>
      <c r="R436" s="2"/>
      <c r="S436" s="2"/>
      <c r="T436" s="2"/>
      <c r="U436" s="2"/>
      <c r="V436" s="2"/>
      <c r="W436" s="2"/>
      <c r="X436" s="2"/>
      <c r="Y436" s="2"/>
      <c r="Z436" s="2"/>
      <c r="AA436" s="2"/>
    </row>
    <row r="437">
      <c r="A437" s="12">
        <v>5.0</v>
      </c>
      <c r="B437" s="17" t="s">
        <v>10926</v>
      </c>
      <c r="C437" s="17" t="s">
        <v>10927</v>
      </c>
      <c r="D437" s="16">
        <v>10.0</v>
      </c>
      <c r="E437" s="12">
        <f t="shared" si="4"/>
        <v>90</v>
      </c>
      <c r="F437" s="12"/>
      <c r="G437" s="2"/>
      <c r="H437" s="2"/>
      <c r="I437" s="2"/>
      <c r="J437" s="2"/>
      <c r="K437" s="2"/>
      <c r="L437" s="2"/>
      <c r="M437" s="2"/>
      <c r="N437" s="2"/>
      <c r="O437" s="2"/>
      <c r="P437" s="2"/>
      <c r="Q437" s="2"/>
      <c r="R437" s="2"/>
      <c r="S437" s="2"/>
      <c r="T437" s="2"/>
      <c r="U437" s="2"/>
      <c r="V437" s="2"/>
      <c r="W437" s="2"/>
      <c r="X437" s="2"/>
      <c r="Y437" s="2"/>
      <c r="Z437" s="2"/>
      <c r="AA437" s="2"/>
    </row>
    <row r="438">
      <c r="A438" s="12">
        <v>6.0</v>
      </c>
      <c r="B438" s="17" t="s">
        <v>10928</v>
      </c>
      <c r="C438" s="17" t="s">
        <v>10929</v>
      </c>
      <c r="D438" s="16">
        <v>10.0</v>
      </c>
      <c r="E438" s="12">
        <f t="shared" si="4"/>
        <v>90</v>
      </c>
      <c r="F438" s="12"/>
      <c r="G438" s="2"/>
      <c r="H438" s="2"/>
      <c r="I438" s="2"/>
      <c r="J438" s="2"/>
      <c r="K438" s="2"/>
      <c r="L438" s="2"/>
      <c r="M438" s="2"/>
      <c r="N438" s="2"/>
      <c r="O438" s="2"/>
      <c r="P438" s="2"/>
      <c r="Q438" s="2"/>
      <c r="R438" s="2"/>
      <c r="S438" s="2"/>
      <c r="T438" s="2"/>
      <c r="U438" s="2"/>
      <c r="V438" s="2"/>
      <c r="W438" s="2"/>
      <c r="X438" s="2"/>
      <c r="Y438" s="2"/>
      <c r="Z438" s="2"/>
      <c r="AA438" s="2"/>
    </row>
    <row r="439">
      <c r="A439" s="12">
        <v>7.0</v>
      </c>
      <c r="B439" s="17" t="s">
        <v>10930</v>
      </c>
      <c r="C439" s="17" t="s">
        <v>10931</v>
      </c>
      <c r="D439" s="16">
        <v>10.0</v>
      </c>
      <c r="E439" s="12">
        <f t="shared" si="4"/>
        <v>90</v>
      </c>
      <c r="F439" s="12"/>
      <c r="G439" s="2"/>
      <c r="H439" s="2"/>
      <c r="I439" s="2"/>
      <c r="J439" s="2"/>
      <c r="K439" s="2"/>
      <c r="L439" s="2"/>
      <c r="M439" s="2"/>
      <c r="N439" s="2"/>
      <c r="O439" s="2"/>
      <c r="P439" s="2"/>
      <c r="Q439" s="2"/>
      <c r="R439" s="2"/>
      <c r="S439" s="2"/>
      <c r="T439" s="2"/>
      <c r="U439" s="2"/>
      <c r="V439" s="2"/>
      <c r="W439" s="2"/>
      <c r="X439" s="2"/>
      <c r="Y439" s="2"/>
      <c r="Z439" s="2"/>
      <c r="AA439" s="2"/>
    </row>
    <row r="440">
      <c r="A440" s="12">
        <v>8.0</v>
      </c>
      <c r="B440" s="17" t="s">
        <v>10932</v>
      </c>
      <c r="C440" s="17" t="s">
        <v>10933</v>
      </c>
      <c r="D440" s="16">
        <v>10.0</v>
      </c>
      <c r="E440" s="12">
        <f t="shared" si="4"/>
        <v>90</v>
      </c>
      <c r="F440" s="12"/>
      <c r="G440" s="2"/>
      <c r="H440" s="2"/>
      <c r="I440" s="2"/>
      <c r="J440" s="2"/>
      <c r="K440" s="2"/>
      <c r="L440" s="2"/>
      <c r="M440" s="2"/>
      <c r="N440" s="2"/>
      <c r="O440" s="2"/>
      <c r="P440" s="2"/>
      <c r="Q440" s="2"/>
      <c r="R440" s="2"/>
      <c r="S440" s="2"/>
      <c r="T440" s="2"/>
      <c r="U440" s="2"/>
      <c r="V440" s="2"/>
      <c r="W440" s="2"/>
      <c r="X440" s="2"/>
      <c r="Y440" s="2"/>
      <c r="Z440" s="2"/>
      <c r="AA440" s="2"/>
    </row>
    <row r="441">
      <c r="A441" s="12">
        <v>9.0</v>
      </c>
      <c r="B441" s="17" t="s">
        <v>10934</v>
      </c>
      <c r="C441" s="17" t="s">
        <v>10935</v>
      </c>
      <c r="D441" s="16">
        <v>10.0</v>
      </c>
      <c r="E441" s="12">
        <f t="shared" si="4"/>
        <v>90</v>
      </c>
      <c r="F441" s="12"/>
      <c r="G441" s="2"/>
      <c r="H441" s="2"/>
      <c r="I441" s="2"/>
      <c r="J441" s="2"/>
      <c r="K441" s="2"/>
      <c r="L441" s="2"/>
      <c r="M441" s="2"/>
      <c r="N441" s="2"/>
      <c r="O441" s="2"/>
      <c r="P441" s="2"/>
      <c r="Q441" s="2"/>
      <c r="R441" s="2"/>
      <c r="S441" s="2"/>
      <c r="T441" s="2"/>
      <c r="U441" s="2"/>
      <c r="V441" s="2"/>
      <c r="W441" s="2"/>
      <c r="X441" s="2"/>
      <c r="Y441" s="2"/>
      <c r="Z441" s="2"/>
      <c r="AA441" s="2"/>
    </row>
    <row r="442">
      <c r="A442" s="12">
        <v>10.0</v>
      </c>
      <c r="B442" s="17" t="s">
        <v>10936</v>
      </c>
      <c r="C442" s="17" t="s">
        <v>10937</v>
      </c>
      <c r="D442" s="16">
        <v>10.0</v>
      </c>
      <c r="E442" s="12">
        <f t="shared" si="4"/>
        <v>90</v>
      </c>
      <c r="F442" s="12"/>
      <c r="G442" s="2"/>
      <c r="H442" s="2"/>
      <c r="I442" s="2"/>
      <c r="J442" s="2"/>
      <c r="K442" s="2"/>
      <c r="L442" s="2"/>
      <c r="M442" s="2"/>
      <c r="N442" s="2"/>
      <c r="O442" s="2"/>
      <c r="P442" s="2"/>
      <c r="Q442" s="2"/>
      <c r="R442" s="2"/>
      <c r="S442" s="2"/>
      <c r="T442" s="2"/>
      <c r="U442" s="2"/>
      <c r="V442" s="2"/>
      <c r="W442" s="2"/>
      <c r="X442" s="2"/>
      <c r="Y442" s="2"/>
      <c r="Z442" s="2"/>
      <c r="AA442" s="2"/>
    </row>
    <row r="443">
      <c r="A443" s="12">
        <v>11.0</v>
      </c>
      <c r="B443" s="17" t="s">
        <v>10938</v>
      </c>
      <c r="C443" s="17" t="s">
        <v>10939</v>
      </c>
      <c r="D443" s="16">
        <v>10.0</v>
      </c>
      <c r="E443" s="12">
        <f t="shared" si="4"/>
        <v>90</v>
      </c>
      <c r="F443" s="12"/>
      <c r="G443" s="2"/>
      <c r="H443" s="2"/>
      <c r="I443" s="2"/>
      <c r="J443" s="2"/>
      <c r="K443" s="2"/>
      <c r="L443" s="2"/>
      <c r="M443" s="2"/>
      <c r="N443" s="2"/>
      <c r="O443" s="2"/>
      <c r="P443" s="2"/>
      <c r="Q443" s="2"/>
      <c r="R443" s="2"/>
      <c r="S443" s="2"/>
      <c r="T443" s="2"/>
      <c r="U443" s="2"/>
      <c r="V443" s="2"/>
      <c r="W443" s="2"/>
      <c r="X443" s="2"/>
      <c r="Y443" s="2"/>
      <c r="Z443" s="2"/>
      <c r="AA443" s="2"/>
    </row>
    <row r="444">
      <c r="A444" s="12">
        <v>12.0</v>
      </c>
      <c r="B444" s="17" t="s">
        <v>10940</v>
      </c>
      <c r="C444" s="17" t="s">
        <v>10941</v>
      </c>
      <c r="D444" s="16">
        <v>10.0</v>
      </c>
      <c r="E444" s="12">
        <f t="shared" si="4"/>
        <v>90</v>
      </c>
      <c r="F444" s="12"/>
      <c r="G444" s="2"/>
      <c r="H444" s="2"/>
      <c r="I444" s="2"/>
      <c r="J444" s="2"/>
      <c r="K444" s="2"/>
      <c r="L444" s="2"/>
      <c r="M444" s="2"/>
      <c r="N444" s="2"/>
      <c r="O444" s="2"/>
      <c r="P444" s="2"/>
      <c r="Q444" s="2"/>
      <c r="R444" s="2"/>
      <c r="S444" s="2"/>
      <c r="T444" s="2"/>
      <c r="U444" s="2"/>
      <c r="V444" s="2"/>
      <c r="W444" s="2"/>
      <c r="X444" s="2"/>
      <c r="Y444" s="2"/>
      <c r="Z444" s="2"/>
      <c r="AA444" s="2"/>
    </row>
    <row r="445">
      <c r="A445" s="12">
        <v>13.0</v>
      </c>
      <c r="B445" s="17" t="s">
        <v>10942</v>
      </c>
      <c r="C445" s="17" t="s">
        <v>10943</v>
      </c>
      <c r="D445" s="16">
        <v>10.0</v>
      </c>
      <c r="E445" s="12">
        <f t="shared" si="4"/>
        <v>90</v>
      </c>
      <c r="F445" s="12"/>
      <c r="G445" s="2"/>
      <c r="H445" s="2"/>
      <c r="I445" s="2"/>
      <c r="J445" s="2"/>
      <c r="K445" s="2"/>
      <c r="L445" s="2"/>
      <c r="M445" s="2"/>
      <c r="N445" s="2"/>
      <c r="O445" s="2"/>
      <c r="P445" s="2"/>
      <c r="Q445" s="2"/>
      <c r="R445" s="2"/>
      <c r="S445" s="2"/>
      <c r="T445" s="2"/>
      <c r="U445" s="2"/>
      <c r="V445" s="2"/>
      <c r="W445" s="2"/>
      <c r="X445" s="2"/>
      <c r="Y445" s="2"/>
      <c r="Z445" s="2"/>
      <c r="AA445" s="2"/>
    </row>
    <row r="446">
      <c r="A446" s="12">
        <v>14.0</v>
      </c>
      <c r="B446" s="17" t="s">
        <v>10944</v>
      </c>
      <c r="C446" s="17" t="s">
        <v>10945</v>
      </c>
      <c r="D446" s="16">
        <v>10.0</v>
      </c>
      <c r="E446" s="12">
        <f t="shared" si="4"/>
        <v>90</v>
      </c>
      <c r="F446" s="12"/>
      <c r="G446" s="2"/>
      <c r="H446" s="2"/>
      <c r="I446" s="2"/>
      <c r="J446" s="2"/>
      <c r="K446" s="2"/>
      <c r="L446" s="2"/>
      <c r="M446" s="2"/>
      <c r="N446" s="2"/>
      <c r="O446" s="2"/>
      <c r="P446" s="2"/>
      <c r="Q446" s="2"/>
      <c r="R446" s="2"/>
      <c r="S446" s="2"/>
      <c r="T446" s="2"/>
      <c r="U446" s="2"/>
      <c r="V446" s="2"/>
      <c r="W446" s="2"/>
      <c r="X446" s="2"/>
      <c r="Y446" s="2"/>
      <c r="Z446" s="2"/>
      <c r="AA446" s="2"/>
    </row>
    <row r="447">
      <c r="A447" s="12">
        <v>15.0</v>
      </c>
      <c r="B447" s="17" t="s">
        <v>10946</v>
      </c>
      <c r="C447" s="17" t="s">
        <v>10947</v>
      </c>
      <c r="D447" s="16">
        <v>10.0</v>
      </c>
      <c r="E447" s="12">
        <f t="shared" si="4"/>
        <v>90</v>
      </c>
      <c r="F447" s="12"/>
      <c r="G447" s="2"/>
      <c r="H447" s="2"/>
      <c r="I447" s="2"/>
      <c r="J447" s="2"/>
      <c r="K447" s="2"/>
      <c r="L447" s="2"/>
      <c r="M447" s="2"/>
      <c r="N447" s="2"/>
      <c r="O447" s="2"/>
      <c r="P447" s="2"/>
      <c r="Q447" s="2"/>
      <c r="R447" s="2"/>
      <c r="S447" s="2"/>
      <c r="T447" s="2"/>
      <c r="U447" s="2"/>
      <c r="V447" s="2"/>
      <c r="W447" s="2"/>
      <c r="X447" s="2"/>
      <c r="Y447" s="2"/>
      <c r="Z447" s="2"/>
      <c r="AA447" s="2"/>
    </row>
    <row r="448">
      <c r="A448" s="12">
        <v>16.0</v>
      </c>
      <c r="B448" s="17" t="s">
        <v>10948</v>
      </c>
      <c r="C448" s="17" t="s">
        <v>10949</v>
      </c>
      <c r="D448" s="16">
        <v>10.0</v>
      </c>
      <c r="E448" s="12">
        <f t="shared" si="4"/>
        <v>90</v>
      </c>
      <c r="F448" s="12"/>
      <c r="G448" s="2"/>
      <c r="H448" s="2"/>
      <c r="I448" s="2"/>
      <c r="J448" s="2"/>
      <c r="K448" s="2"/>
      <c r="L448" s="2"/>
      <c r="M448" s="2"/>
      <c r="N448" s="2"/>
      <c r="O448" s="2"/>
      <c r="P448" s="2"/>
      <c r="Q448" s="2"/>
      <c r="R448" s="2"/>
      <c r="S448" s="2"/>
      <c r="T448" s="2"/>
      <c r="U448" s="2"/>
      <c r="V448" s="2"/>
      <c r="W448" s="2"/>
      <c r="X448" s="2"/>
      <c r="Y448" s="2"/>
      <c r="Z448" s="2"/>
      <c r="AA448" s="2"/>
    </row>
    <row r="449">
      <c r="A449" s="12">
        <v>17.0</v>
      </c>
      <c r="B449" s="17" t="s">
        <v>10950</v>
      </c>
      <c r="C449" s="17" t="s">
        <v>10951</v>
      </c>
      <c r="D449" s="16">
        <v>10.0</v>
      </c>
      <c r="E449" s="12">
        <f t="shared" si="4"/>
        <v>90</v>
      </c>
      <c r="F449" s="12"/>
      <c r="G449" s="2"/>
      <c r="H449" s="2"/>
      <c r="I449" s="2"/>
      <c r="J449" s="2"/>
      <c r="K449" s="2"/>
      <c r="L449" s="2"/>
      <c r="M449" s="2"/>
      <c r="N449" s="2"/>
      <c r="O449" s="2"/>
      <c r="P449" s="2"/>
      <c r="Q449" s="2"/>
      <c r="R449" s="2"/>
      <c r="S449" s="2"/>
      <c r="T449" s="2"/>
      <c r="U449" s="2"/>
      <c r="V449" s="2"/>
      <c r="W449" s="2"/>
      <c r="X449" s="2"/>
      <c r="Y449" s="2"/>
      <c r="Z449" s="2"/>
      <c r="AA449" s="2"/>
    </row>
    <row r="450">
      <c r="A450" s="12">
        <v>18.0</v>
      </c>
      <c r="B450" s="17" t="s">
        <v>10952</v>
      </c>
      <c r="C450" s="17" t="s">
        <v>10953</v>
      </c>
      <c r="D450" s="16">
        <v>10.0</v>
      </c>
      <c r="E450" s="12">
        <f t="shared" si="4"/>
        <v>90</v>
      </c>
      <c r="F450" s="12"/>
      <c r="G450" s="2"/>
      <c r="H450" s="2"/>
      <c r="I450" s="2"/>
      <c r="J450" s="2"/>
      <c r="K450" s="2"/>
      <c r="L450" s="2"/>
      <c r="M450" s="2"/>
      <c r="N450" s="2"/>
      <c r="O450" s="2"/>
      <c r="P450" s="2"/>
      <c r="Q450" s="2"/>
      <c r="R450" s="2"/>
      <c r="S450" s="2"/>
      <c r="T450" s="2"/>
      <c r="U450" s="2"/>
      <c r="V450" s="2"/>
      <c r="W450" s="2"/>
      <c r="X450" s="2"/>
      <c r="Y450" s="2"/>
      <c r="Z450" s="2"/>
      <c r="AA450" s="2"/>
    </row>
    <row r="451">
      <c r="A451" s="12">
        <v>19.0</v>
      </c>
      <c r="B451" s="17" t="s">
        <v>10954</v>
      </c>
      <c r="C451" s="17" t="s">
        <v>10955</v>
      </c>
      <c r="D451" s="16">
        <v>10.0</v>
      </c>
      <c r="E451" s="12">
        <f t="shared" si="4"/>
        <v>90</v>
      </c>
      <c r="F451" s="12"/>
      <c r="G451" s="2"/>
      <c r="H451" s="2"/>
      <c r="I451" s="2"/>
      <c r="J451" s="2"/>
      <c r="K451" s="2"/>
      <c r="L451" s="2"/>
      <c r="M451" s="2"/>
      <c r="N451" s="2"/>
      <c r="O451" s="2"/>
      <c r="P451" s="2"/>
      <c r="Q451" s="2"/>
      <c r="R451" s="2"/>
      <c r="S451" s="2"/>
      <c r="T451" s="2"/>
      <c r="U451" s="2"/>
      <c r="V451" s="2"/>
      <c r="W451" s="2"/>
      <c r="X451" s="2"/>
      <c r="Y451" s="2"/>
      <c r="Z451" s="2"/>
      <c r="AA451" s="2"/>
    </row>
    <row r="452">
      <c r="A452" s="12">
        <v>20.0</v>
      </c>
      <c r="B452" s="17" t="s">
        <v>10956</v>
      </c>
      <c r="C452" s="17" t="s">
        <v>10957</v>
      </c>
      <c r="D452" s="16">
        <v>10.0</v>
      </c>
      <c r="E452" s="12">
        <f t="shared" si="4"/>
        <v>90</v>
      </c>
      <c r="F452" s="12"/>
      <c r="G452" s="2"/>
      <c r="H452" s="2"/>
      <c r="I452" s="2"/>
      <c r="J452" s="2"/>
      <c r="K452" s="2"/>
      <c r="L452" s="2"/>
      <c r="M452" s="2"/>
      <c r="N452" s="2"/>
      <c r="O452" s="2"/>
      <c r="P452" s="2"/>
      <c r="Q452" s="2"/>
      <c r="R452" s="2"/>
      <c r="S452" s="2"/>
      <c r="T452" s="2"/>
      <c r="U452" s="2"/>
      <c r="V452" s="2"/>
      <c r="W452" s="2"/>
      <c r="X452" s="2"/>
      <c r="Y452" s="2"/>
      <c r="Z452" s="2"/>
      <c r="AA452" s="2"/>
    </row>
    <row r="453">
      <c r="A453" s="12">
        <v>21.0</v>
      </c>
      <c r="B453" s="17" t="s">
        <v>10958</v>
      </c>
      <c r="C453" s="17" t="s">
        <v>10959</v>
      </c>
      <c r="D453" s="16">
        <v>10.0</v>
      </c>
      <c r="E453" s="12">
        <f t="shared" si="4"/>
        <v>90</v>
      </c>
      <c r="F453" s="12"/>
      <c r="G453" s="2"/>
      <c r="H453" s="2"/>
      <c r="I453" s="2"/>
      <c r="J453" s="2"/>
      <c r="K453" s="2"/>
      <c r="L453" s="2"/>
      <c r="M453" s="2"/>
      <c r="N453" s="2"/>
      <c r="O453" s="2"/>
      <c r="P453" s="2"/>
      <c r="Q453" s="2"/>
      <c r="R453" s="2"/>
      <c r="S453" s="2"/>
      <c r="T453" s="2"/>
      <c r="U453" s="2"/>
      <c r="V453" s="2"/>
      <c r="W453" s="2"/>
      <c r="X453" s="2"/>
      <c r="Y453" s="2"/>
      <c r="Z453" s="2"/>
      <c r="AA453" s="2"/>
    </row>
    <row r="454">
      <c r="A454" s="12">
        <v>22.0</v>
      </c>
      <c r="B454" s="17" t="s">
        <v>10960</v>
      </c>
      <c r="C454" s="17" t="s">
        <v>10961</v>
      </c>
      <c r="D454" s="16">
        <v>10.0</v>
      </c>
      <c r="E454" s="12">
        <f t="shared" si="4"/>
        <v>90</v>
      </c>
      <c r="F454" s="12"/>
      <c r="G454" s="2"/>
      <c r="H454" s="2"/>
      <c r="I454" s="2"/>
      <c r="J454" s="2"/>
      <c r="K454" s="2"/>
      <c r="L454" s="2"/>
      <c r="M454" s="2"/>
      <c r="N454" s="2"/>
      <c r="O454" s="2"/>
      <c r="P454" s="2"/>
      <c r="Q454" s="2"/>
      <c r="R454" s="2"/>
      <c r="S454" s="2"/>
      <c r="T454" s="2"/>
      <c r="U454" s="2"/>
      <c r="V454" s="2"/>
      <c r="W454" s="2"/>
      <c r="X454" s="2"/>
      <c r="Y454" s="2"/>
      <c r="Z454" s="2"/>
      <c r="AA454" s="2"/>
    </row>
    <row r="455">
      <c r="A455" s="12">
        <v>23.0</v>
      </c>
      <c r="B455" s="17" t="s">
        <v>10962</v>
      </c>
      <c r="C455" s="17" t="s">
        <v>10963</v>
      </c>
      <c r="D455" s="16">
        <v>10.0</v>
      </c>
      <c r="E455" s="12">
        <f t="shared" si="4"/>
        <v>90</v>
      </c>
      <c r="F455" s="12"/>
      <c r="G455" s="2"/>
      <c r="H455" s="2"/>
      <c r="I455" s="2"/>
      <c r="J455" s="2"/>
      <c r="K455" s="2"/>
      <c r="L455" s="2"/>
      <c r="M455" s="2"/>
      <c r="N455" s="2"/>
      <c r="O455" s="2"/>
      <c r="P455" s="2"/>
      <c r="Q455" s="2"/>
      <c r="R455" s="2"/>
      <c r="S455" s="2"/>
      <c r="T455" s="2"/>
      <c r="U455" s="2"/>
      <c r="V455" s="2"/>
      <c r="W455" s="2"/>
      <c r="X455" s="2"/>
      <c r="Y455" s="2"/>
      <c r="Z455" s="2"/>
      <c r="AA455" s="2"/>
    </row>
    <row r="456">
      <c r="A456" s="12">
        <v>24.0</v>
      </c>
      <c r="B456" s="17" t="s">
        <v>10964</v>
      </c>
      <c r="C456" s="17" t="s">
        <v>10965</v>
      </c>
      <c r="D456" s="16">
        <v>10.0</v>
      </c>
      <c r="E456" s="12">
        <f t="shared" si="4"/>
        <v>90</v>
      </c>
      <c r="F456" s="12"/>
      <c r="G456" s="2"/>
      <c r="H456" s="2"/>
      <c r="I456" s="2"/>
      <c r="J456" s="2"/>
      <c r="K456" s="2"/>
      <c r="L456" s="2"/>
      <c r="M456" s="2"/>
      <c r="N456" s="2"/>
      <c r="O456" s="2"/>
      <c r="P456" s="2"/>
      <c r="Q456" s="2"/>
      <c r="R456" s="2"/>
      <c r="S456" s="2"/>
      <c r="T456" s="2"/>
      <c r="U456" s="2"/>
      <c r="V456" s="2"/>
      <c r="W456" s="2"/>
      <c r="X456" s="2"/>
      <c r="Y456" s="2"/>
      <c r="Z456" s="2"/>
      <c r="AA456" s="2"/>
    </row>
    <row r="457">
      <c r="A457" s="12">
        <v>25.0</v>
      </c>
      <c r="B457" s="17" t="s">
        <v>10966</v>
      </c>
      <c r="C457" s="17" t="s">
        <v>10967</v>
      </c>
      <c r="D457" s="16">
        <v>10.0</v>
      </c>
      <c r="E457" s="12">
        <f t="shared" si="4"/>
        <v>90</v>
      </c>
      <c r="F457" s="12"/>
      <c r="G457" s="2"/>
      <c r="H457" s="2"/>
      <c r="I457" s="2"/>
      <c r="J457" s="2"/>
      <c r="K457" s="2"/>
      <c r="L457" s="2"/>
      <c r="M457" s="2"/>
      <c r="N457" s="2"/>
      <c r="O457" s="2"/>
      <c r="P457" s="2"/>
      <c r="Q457" s="2"/>
      <c r="R457" s="2"/>
      <c r="S457" s="2"/>
      <c r="T457" s="2"/>
      <c r="U457" s="2"/>
      <c r="V457" s="2"/>
      <c r="W457" s="2"/>
      <c r="X457" s="2"/>
      <c r="Y457" s="2"/>
      <c r="Z457" s="2"/>
      <c r="AA457" s="2"/>
    </row>
    <row r="458">
      <c r="A458" s="12">
        <v>26.0</v>
      </c>
      <c r="B458" s="17" t="s">
        <v>10968</v>
      </c>
      <c r="C458" s="17" t="s">
        <v>10969</v>
      </c>
      <c r="D458" s="16">
        <v>10.0</v>
      </c>
      <c r="E458" s="12">
        <f t="shared" si="4"/>
        <v>90</v>
      </c>
      <c r="F458" s="12"/>
      <c r="G458" s="2"/>
      <c r="H458" s="2"/>
      <c r="I458" s="2"/>
      <c r="J458" s="2"/>
      <c r="K458" s="2"/>
      <c r="L458" s="2"/>
      <c r="M458" s="2"/>
      <c r="N458" s="2"/>
      <c r="O458" s="2"/>
      <c r="P458" s="2"/>
      <c r="Q458" s="2"/>
      <c r="R458" s="2"/>
      <c r="S458" s="2"/>
      <c r="T458" s="2"/>
      <c r="U458" s="2"/>
      <c r="V458" s="2"/>
      <c r="W458" s="2"/>
      <c r="X458" s="2"/>
      <c r="Y458" s="2"/>
      <c r="Z458" s="2"/>
      <c r="AA458" s="2"/>
    </row>
    <row r="459">
      <c r="A459" s="12">
        <v>27.0</v>
      </c>
      <c r="B459" s="17" t="s">
        <v>10970</v>
      </c>
      <c r="C459" s="17" t="s">
        <v>10971</v>
      </c>
      <c r="D459" s="16">
        <v>10.0</v>
      </c>
      <c r="E459" s="12">
        <f t="shared" si="4"/>
        <v>90</v>
      </c>
      <c r="F459" s="12"/>
      <c r="G459" s="2"/>
      <c r="H459" s="2"/>
      <c r="I459" s="2"/>
      <c r="J459" s="2"/>
      <c r="K459" s="2"/>
      <c r="L459" s="2"/>
      <c r="M459" s="2"/>
      <c r="N459" s="2"/>
      <c r="O459" s="2"/>
      <c r="P459" s="2"/>
      <c r="Q459" s="2"/>
      <c r="R459" s="2"/>
      <c r="S459" s="2"/>
      <c r="T459" s="2"/>
      <c r="U459" s="2"/>
      <c r="V459" s="2"/>
      <c r="W459" s="2"/>
      <c r="X459" s="2"/>
      <c r="Y459" s="2"/>
      <c r="Z459" s="2"/>
      <c r="AA459" s="2"/>
    </row>
    <row r="460">
      <c r="A460" s="12">
        <v>28.0</v>
      </c>
      <c r="B460" s="17" t="s">
        <v>10972</v>
      </c>
      <c r="C460" s="17" t="s">
        <v>10973</v>
      </c>
      <c r="D460" s="16">
        <v>10.0</v>
      </c>
      <c r="E460" s="12">
        <f t="shared" si="4"/>
        <v>90</v>
      </c>
      <c r="F460" s="12"/>
      <c r="G460" s="2"/>
      <c r="H460" s="2"/>
      <c r="I460" s="2"/>
      <c r="J460" s="2"/>
      <c r="K460" s="2"/>
      <c r="L460" s="2"/>
      <c r="M460" s="2"/>
      <c r="N460" s="2"/>
      <c r="O460" s="2"/>
      <c r="P460" s="2"/>
      <c r="Q460" s="2"/>
      <c r="R460" s="2"/>
      <c r="S460" s="2"/>
      <c r="T460" s="2"/>
      <c r="U460" s="2"/>
      <c r="V460" s="2"/>
      <c r="W460" s="2"/>
      <c r="X460" s="2"/>
      <c r="Y460" s="2"/>
      <c r="Z460" s="2"/>
      <c r="AA460" s="2"/>
    </row>
    <row r="461">
      <c r="A461" s="12">
        <v>29.0</v>
      </c>
      <c r="B461" s="17" t="s">
        <v>10974</v>
      </c>
      <c r="C461" s="17" t="s">
        <v>10975</v>
      </c>
      <c r="D461" s="16">
        <v>10.0</v>
      </c>
      <c r="E461" s="12">
        <f t="shared" si="4"/>
        <v>90</v>
      </c>
      <c r="F461" s="12"/>
      <c r="G461" s="2"/>
      <c r="H461" s="2"/>
      <c r="I461" s="2"/>
      <c r="J461" s="2"/>
      <c r="K461" s="2"/>
      <c r="L461" s="2"/>
      <c r="M461" s="2"/>
      <c r="N461" s="2"/>
      <c r="O461" s="2"/>
      <c r="P461" s="2"/>
      <c r="Q461" s="2"/>
      <c r="R461" s="2"/>
      <c r="S461" s="2"/>
      <c r="T461" s="2"/>
      <c r="U461" s="2"/>
      <c r="V461" s="2"/>
      <c r="W461" s="2"/>
      <c r="X461" s="2"/>
      <c r="Y461" s="2"/>
      <c r="Z461" s="2"/>
      <c r="AA461" s="2"/>
    </row>
    <row r="462">
      <c r="A462" s="12">
        <v>30.0</v>
      </c>
      <c r="B462" s="17" t="s">
        <v>10976</v>
      </c>
      <c r="C462" s="17" t="s">
        <v>10977</v>
      </c>
      <c r="D462" s="16">
        <v>10.0</v>
      </c>
      <c r="E462" s="12">
        <f t="shared" si="4"/>
        <v>90</v>
      </c>
      <c r="F462" s="12"/>
      <c r="G462" s="2"/>
      <c r="H462" s="2"/>
      <c r="I462" s="2"/>
      <c r="J462" s="2"/>
      <c r="K462" s="2"/>
      <c r="L462" s="2"/>
      <c r="M462" s="2"/>
      <c r="N462" s="2"/>
      <c r="O462" s="2"/>
      <c r="P462" s="2"/>
      <c r="Q462" s="2"/>
      <c r="R462" s="2"/>
      <c r="S462" s="2"/>
      <c r="T462" s="2"/>
      <c r="U462" s="2"/>
      <c r="V462" s="2"/>
      <c r="W462" s="2"/>
      <c r="X462" s="2"/>
      <c r="Y462" s="2"/>
      <c r="Z462" s="2"/>
      <c r="AA462" s="2"/>
    </row>
    <row r="463">
      <c r="A463" s="12">
        <v>31.0</v>
      </c>
      <c r="B463" s="17" t="s">
        <v>10978</v>
      </c>
      <c r="C463" s="17" t="s">
        <v>10979</v>
      </c>
      <c r="D463" s="16">
        <v>10.0</v>
      </c>
      <c r="E463" s="12">
        <f t="shared" si="4"/>
        <v>90</v>
      </c>
      <c r="F463" s="12"/>
      <c r="G463" s="2"/>
      <c r="H463" s="2"/>
      <c r="I463" s="2"/>
      <c r="J463" s="2"/>
      <c r="K463" s="2"/>
      <c r="L463" s="2"/>
      <c r="M463" s="2"/>
      <c r="N463" s="2"/>
      <c r="O463" s="2"/>
      <c r="P463" s="2"/>
      <c r="Q463" s="2"/>
      <c r="R463" s="2"/>
      <c r="S463" s="2"/>
      <c r="T463" s="2"/>
      <c r="U463" s="2"/>
      <c r="V463" s="2"/>
      <c r="W463" s="2"/>
      <c r="X463" s="2"/>
      <c r="Y463" s="2"/>
      <c r="Z463" s="2"/>
      <c r="AA463" s="2"/>
    </row>
    <row r="464">
      <c r="A464" s="12">
        <v>32.0</v>
      </c>
      <c r="B464" s="17" t="s">
        <v>10980</v>
      </c>
      <c r="C464" s="17" t="s">
        <v>10981</v>
      </c>
      <c r="D464" s="16">
        <v>10.0</v>
      </c>
      <c r="E464" s="12">
        <f t="shared" si="4"/>
        <v>90</v>
      </c>
      <c r="F464" s="12"/>
      <c r="G464" s="2"/>
      <c r="H464" s="2"/>
      <c r="I464" s="2"/>
      <c r="J464" s="2"/>
      <c r="K464" s="2"/>
      <c r="L464" s="2"/>
      <c r="M464" s="2"/>
      <c r="N464" s="2"/>
      <c r="O464" s="2"/>
      <c r="P464" s="2"/>
      <c r="Q464" s="2"/>
      <c r="R464" s="2"/>
      <c r="S464" s="2"/>
      <c r="T464" s="2"/>
      <c r="U464" s="2"/>
      <c r="V464" s="2"/>
      <c r="W464" s="2"/>
      <c r="X464" s="2"/>
      <c r="Y464" s="2"/>
      <c r="Z464" s="2"/>
      <c r="AA464" s="2"/>
    </row>
    <row r="465">
      <c r="A465" s="12">
        <v>33.0</v>
      </c>
      <c r="B465" s="17" t="s">
        <v>10982</v>
      </c>
      <c r="C465" s="17" t="s">
        <v>10983</v>
      </c>
      <c r="D465" s="16">
        <v>10.0</v>
      </c>
      <c r="E465" s="12">
        <f t="shared" si="4"/>
        <v>90</v>
      </c>
      <c r="F465" s="12"/>
      <c r="G465" s="2"/>
      <c r="H465" s="2"/>
      <c r="I465" s="2"/>
      <c r="J465" s="2"/>
      <c r="K465" s="2"/>
      <c r="L465" s="2"/>
      <c r="M465" s="2"/>
      <c r="N465" s="2"/>
      <c r="O465" s="2"/>
      <c r="P465" s="2"/>
      <c r="Q465" s="2"/>
      <c r="R465" s="2"/>
      <c r="S465" s="2"/>
      <c r="T465" s="2"/>
      <c r="U465" s="2"/>
      <c r="V465" s="2"/>
      <c r="W465" s="2"/>
      <c r="X465" s="2"/>
      <c r="Y465" s="2"/>
      <c r="Z465" s="2"/>
      <c r="AA465" s="2"/>
    </row>
    <row r="466">
      <c r="A466" s="12">
        <v>34.0</v>
      </c>
      <c r="B466" s="17" t="s">
        <v>10984</v>
      </c>
      <c r="C466" s="17" t="s">
        <v>10985</v>
      </c>
      <c r="D466" s="16">
        <v>10.0</v>
      </c>
      <c r="E466" s="12">
        <f t="shared" si="4"/>
        <v>90</v>
      </c>
      <c r="F466" s="12"/>
      <c r="G466" s="2"/>
      <c r="H466" s="2"/>
      <c r="I466" s="2"/>
      <c r="J466" s="2"/>
      <c r="K466" s="2"/>
      <c r="L466" s="2"/>
      <c r="M466" s="2"/>
      <c r="N466" s="2"/>
      <c r="O466" s="2"/>
      <c r="P466" s="2"/>
      <c r="Q466" s="2"/>
      <c r="R466" s="2"/>
      <c r="S466" s="2"/>
      <c r="T466" s="2"/>
      <c r="U466" s="2"/>
      <c r="V466" s="2"/>
      <c r="W466" s="2"/>
      <c r="X466" s="2"/>
      <c r="Y466" s="2"/>
      <c r="Z466" s="2"/>
      <c r="AA466" s="2"/>
    </row>
    <row r="467">
      <c r="A467" s="12">
        <v>35.0</v>
      </c>
      <c r="B467" s="17" t="s">
        <v>10986</v>
      </c>
      <c r="C467" s="17" t="s">
        <v>10987</v>
      </c>
      <c r="D467" s="16">
        <v>10.0</v>
      </c>
      <c r="E467" s="12">
        <f t="shared" si="4"/>
        <v>90</v>
      </c>
      <c r="F467" s="12"/>
      <c r="G467" s="2"/>
      <c r="H467" s="2"/>
      <c r="I467" s="2"/>
      <c r="J467" s="2"/>
      <c r="K467" s="2"/>
      <c r="L467" s="2"/>
      <c r="M467" s="2"/>
      <c r="N467" s="2"/>
      <c r="O467" s="2"/>
      <c r="P467" s="2"/>
      <c r="Q467" s="2"/>
      <c r="R467" s="2"/>
      <c r="S467" s="2"/>
      <c r="T467" s="2"/>
      <c r="U467" s="2"/>
      <c r="V467" s="2"/>
      <c r="W467" s="2"/>
      <c r="X467" s="2"/>
      <c r="Y467" s="2"/>
      <c r="Z467" s="2"/>
      <c r="AA467" s="2"/>
    </row>
    <row r="468">
      <c r="A468" s="12">
        <v>36.0</v>
      </c>
      <c r="B468" s="17" t="s">
        <v>10988</v>
      </c>
      <c r="C468" s="17" t="s">
        <v>10989</v>
      </c>
      <c r="D468" s="16">
        <v>10.0</v>
      </c>
      <c r="E468" s="12">
        <f t="shared" si="4"/>
        <v>90</v>
      </c>
      <c r="F468" s="12"/>
      <c r="G468" s="2"/>
      <c r="H468" s="2"/>
      <c r="I468" s="2"/>
      <c r="J468" s="2"/>
      <c r="K468" s="2"/>
      <c r="L468" s="2"/>
      <c r="M468" s="2"/>
      <c r="N468" s="2"/>
      <c r="O468" s="2"/>
      <c r="P468" s="2"/>
      <c r="Q468" s="2"/>
      <c r="R468" s="2"/>
      <c r="S468" s="2"/>
      <c r="T468" s="2"/>
      <c r="U468" s="2"/>
      <c r="V468" s="2"/>
      <c r="W468" s="2"/>
      <c r="X468" s="2"/>
      <c r="Y468" s="2"/>
      <c r="Z468" s="2"/>
      <c r="AA468" s="2"/>
    </row>
    <row r="469">
      <c r="A469" s="12">
        <v>37.0</v>
      </c>
      <c r="B469" s="17" t="s">
        <v>10990</v>
      </c>
      <c r="C469" s="17" t="s">
        <v>10991</v>
      </c>
      <c r="D469" s="16">
        <v>10.0</v>
      </c>
      <c r="E469" s="12">
        <f t="shared" si="4"/>
        <v>90</v>
      </c>
      <c r="F469" s="12"/>
      <c r="G469" s="2"/>
      <c r="H469" s="2"/>
      <c r="I469" s="2"/>
      <c r="J469" s="2"/>
      <c r="K469" s="2"/>
      <c r="L469" s="2"/>
      <c r="M469" s="2"/>
      <c r="N469" s="2"/>
      <c r="O469" s="2"/>
      <c r="P469" s="2"/>
      <c r="Q469" s="2"/>
      <c r="R469" s="2"/>
      <c r="S469" s="2"/>
      <c r="T469" s="2"/>
      <c r="U469" s="2"/>
      <c r="V469" s="2"/>
      <c r="W469" s="2"/>
      <c r="X469" s="2"/>
      <c r="Y469" s="2"/>
      <c r="Z469" s="2"/>
      <c r="AA469" s="2"/>
    </row>
    <row r="470">
      <c r="A470" s="12">
        <v>38.0</v>
      </c>
      <c r="B470" s="17" t="s">
        <v>10992</v>
      </c>
      <c r="C470" s="17" t="s">
        <v>10993</v>
      </c>
      <c r="D470" s="16">
        <v>10.0</v>
      </c>
      <c r="E470" s="12">
        <f t="shared" si="4"/>
        <v>90</v>
      </c>
      <c r="F470" s="12"/>
      <c r="G470" s="2"/>
      <c r="H470" s="2"/>
      <c r="I470" s="2"/>
      <c r="J470" s="2"/>
      <c r="K470" s="2"/>
      <c r="L470" s="2"/>
      <c r="M470" s="2"/>
      <c r="N470" s="2"/>
      <c r="O470" s="2"/>
      <c r="P470" s="2"/>
      <c r="Q470" s="2"/>
      <c r="R470" s="2"/>
      <c r="S470" s="2"/>
      <c r="T470" s="2"/>
      <c r="U470" s="2"/>
      <c r="V470" s="2"/>
      <c r="W470" s="2"/>
      <c r="X470" s="2"/>
      <c r="Y470" s="2"/>
      <c r="Z470" s="2"/>
      <c r="AA470" s="2"/>
    </row>
    <row r="471">
      <c r="A471" s="12">
        <v>39.0</v>
      </c>
      <c r="B471" s="17" t="s">
        <v>10994</v>
      </c>
      <c r="C471" s="17" t="s">
        <v>10995</v>
      </c>
      <c r="D471" s="16">
        <v>10.0</v>
      </c>
      <c r="E471" s="12">
        <f t="shared" si="4"/>
        <v>90</v>
      </c>
      <c r="F471" s="12"/>
      <c r="G471" s="2"/>
      <c r="H471" s="2"/>
      <c r="I471" s="2"/>
      <c r="J471" s="2"/>
      <c r="K471" s="2"/>
      <c r="L471" s="2"/>
      <c r="M471" s="2"/>
      <c r="N471" s="2"/>
      <c r="O471" s="2"/>
      <c r="P471" s="2"/>
      <c r="Q471" s="2"/>
      <c r="R471" s="2"/>
      <c r="S471" s="2"/>
      <c r="T471" s="2"/>
      <c r="U471" s="2"/>
      <c r="V471" s="2"/>
      <c r="W471" s="2"/>
      <c r="X471" s="2"/>
      <c r="Y471" s="2"/>
      <c r="Z471" s="2"/>
      <c r="AA471" s="2"/>
    </row>
    <row r="472">
      <c r="A472" s="12">
        <v>40.0</v>
      </c>
      <c r="B472" s="17" t="s">
        <v>10996</v>
      </c>
      <c r="C472" s="17" t="s">
        <v>10997</v>
      </c>
      <c r="D472" s="16">
        <v>10.0</v>
      </c>
      <c r="E472" s="12">
        <f t="shared" si="4"/>
        <v>90</v>
      </c>
      <c r="F472" s="12"/>
      <c r="G472" s="2"/>
      <c r="H472" s="2"/>
      <c r="I472" s="2"/>
      <c r="J472" s="2"/>
      <c r="K472" s="2"/>
      <c r="L472" s="2"/>
      <c r="M472" s="2"/>
      <c r="N472" s="2"/>
      <c r="O472" s="2"/>
      <c r="P472" s="2"/>
      <c r="Q472" s="2"/>
      <c r="R472" s="2"/>
      <c r="S472" s="2"/>
      <c r="T472" s="2"/>
      <c r="U472" s="2"/>
      <c r="V472" s="2"/>
      <c r="W472" s="2"/>
      <c r="X472" s="2"/>
      <c r="Y472" s="2"/>
      <c r="Z472" s="2"/>
      <c r="AA472" s="2"/>
    </row>
    <row r="473">
      <c r="A473" s="12">
        <v>41.0</v>
      </c>
      <c r="B473" s="17" t="s">
        <v>10998</v>
      </c>
      <c r="C473" s="17" t="s">
        <v>10999</v>
      </c>
      <c r="D473" s="16">
        <v>10.0</v>
      </c>
      <c r="E473" s="12">
        <f t="shared" si="4"/>
        <v>90</v>
      </c>
      <c r="F473" s="12"/>
      <c r="G473" s="2"/>
      <c r="H473" s="2"/>
      <c r="I473" s="2"/>
      <c r="J473" s="2"/>
      <c r="K473" s="2"/>
      <c r="L473" s="2"/>
      <c r="M473" s="2"/>
      <c r="N473" s="2"/>
      <c r="O473" s="2"/>
      <c r="P473" s="2"/>
      <c r="Q473" s="2"/>
      <c r="R473" s="2"/>
      <c r="S473" s="2"/>
      <c r="T473" s="2"/>
      <c r="U473" s="2"/>
      <c r="V473" s="2"/>
      <c r="W473" s="2"/>
      <c r="X473" s="2"/>
      <c r="Y473" s="2"/>
      <c r="Z473" s="2"/>
      <c r="AA473" s="2"/>
    </row>
    <row r="474">
      <c r="A474" s="12">
        <v>42.0</v>
      </c>
      <c r="B474" s="17" t="s">
        <v>11000</v>
      </c>
      <c r="C474" s="17" t="s">
        <v>11001</v>
      </c>
      <c r="D474" s="16">
        <v>10.0</v>
      </c>
      <c r="E474" s="12">
        <f t="shared" si="4"/>
        <v>90</v>
      </c>
      <c r="F474" s="12"/>
      <c r="G474" s="2"/>
      <c r="H474" s="2"/>
      <c r="I474" s="2"/>
      <c r="J474" s="2"/>
      <c r="K474" s="2"/>
      <c r="L474" s="2"/>
      <c r="M474" s="2"/>
      <c r="N474" s="2"/>
      <c r="O474" s="2"/>
      <c r="P474" s="2"/>
      <c r="Q474" s="2"/>
      <c r="R474" s="2"/>
      <c r="S474" s="2"/>
      <c r="T474" s="2"/>
      <c r="U474" s="2"/>
      <c r="V474" s="2"/>
      <c r="W474" s="2"/>
      <c r="X474" s="2"/>
      <c r="Y474" s="2"/>
      <c r="Z474" s="2"/>
      <c r="AA474" s="2"/>
    </row>
    <row r="475">
      <c r="A475" s="12">
        <v>43.0</v>
      </c>
      <c r="B475" s="17" t="s">
        <v>11002</v>
      </c>
      <c r="C475" s="17" t="s">
        <v>11003</v>
      </c>
      <c r="D475" s="16">
        <v>10.0</v>
      </c>
      <c r="E475" s="12">
        <f t="shared" si="4"/>
        <v>90</v>
      </c>
      <c r="F475" s="12"/>
      <c r="G475" s="2"/>
      <c r="H475" s="2"/>
      <c r="I475" s="2"/>
      <c r="J475" s="2"/>
      <c r="K475" s="2"/>
      <c r="L475" s="2"/>
      <c r="M475" s="2"/>
      <c r="N475" s="2"/>
      <c r="O475" s="2"/>
      <c r="P475" s="2"/>
      <c r="Q475" s="2"/>
      <c r="R475" s="2"/>
      <c r="S475" s="2"/>
      <c r="T475" s="2"/>
      <c r="U475" s="2"/>
      <c r="V475" s="2"/>
      <c r="W475" s="2"/>
      <c r="X475" s="2"/>
      <c r="Y475" s="2"/>
      <c r="Z475" s="2"/>
      <c r="AA475" s="2"/>
    </row>
    <row r="476">
      <c r="A476" s="12">
        <v>44.0</v>
      </c>
      <c r="B476" s="17" t="s">
        <v>11004</v>
      </c>
      <c r="C476" s="17" t="s">
        <v>11005</v>
      </c>
      <c r="D476" s="16">
        <v>10.0</v>
      </c>
      <c r="E476" s="12">
        <f t="shared" si="4"/>
        <v>90</v>
      </c>
      <c r="F476" s="12"/>
      <c r="G476" s="2"/>
      <c r="H476" s="2"/>
      <c r="I476" s="2"/>
      <c r="J476" s="2"/>
      <c r="K476" s="2"/>
      <c r="L476" s="2"/>
      <c r="M476" s="2"/>
      <c r="N476" s="2"/>
      <c r="O476" s="2"/>
      <c r="P476" s="2"/>
      <c r="Q476" s="2"/>
      <c r="R476" s="2"/>
      <c r="S476" s="2"/>
      <c r="T476" s="2"/>
      <c r="U476" s="2"/>
      <c r="V476" s="2"/>
      <c r="W476" s="2"/>
      <c r="X476" s="2"/>
      <c r="Y476" s="2"/>
      <c r="Z476" s="2"/>
      <c r="AA476" s="2"/>
    </row>
    <row r="477">
      <c r="A477" s="12">
        <v>45.0</v>
      </c>
      <c r="B477" s="17" t="s">
        <v>11006</v>
      </c>
      <c r="C477" s="17" t="s">
        <v>11007</v>
      </c>
      <c r="D477" s="16">
        <v>10.0</v>
      </c>
      <c r="E477" s="12">
        <f t="shared" si="4"/>
        <v>90</v>
      </c>
      <c r="F477" s="12"/>
      <c r="G477" s="2"/>
      <c r="H477" s="2"/>
      <c r="I477" s="2"/>
      <c r="J477" s="2"/>
      <c r="K477" s="2"/>
      <c r="L477" s="2"/>
      <c r="M477" s="2"/>
      <c r="N477" s="2"/>
      <c r="O477" s="2"/>
      <c r="P477" s="2"/>
      <c r="Q477" s="2"/>
      <c r="R477" s="2"/>
      <c r="S477" s="2"/>
      <c r="T477" s="2"/>
      <c r="U477" s="2"/>
      <c r="V477" s="2"/>
      <c r="W477" s="2"/>
      <c r="X477" s="2"/>
      <c r="Y477" s="2"/>
      <c r="Z477" s="2"/>
      <c r="AA477" s="2"/>
    </row>
    <row r="478">
      <c r="A478" s="12">
        <v>46.0</v>
      </c>
      <c r="B478" s="17" t="s">
        <v>11008</v>
      </c>
      <c r="C478" s="17" t="s">
        <v>11009</v>
      </c>
      <c r="D478" s="16">
        <v>10.0</v>
      </c>
      <c r="E478" s="12">
        <f t="shared" si="4"/>
        <v>90</v>
      </c>
      <c r="F478" s="12"/>
      <c r="G478" s="2"/>
      <c r="H478" s="2"/>
      <c r="I478" s="2"/>
      <c r="J478" s="2"/>
      <c r="K478" s="2"/>
      <c r="L478" s="2"/>
      <c r="M478" s="2"/>
      <c r="N478" s="2"/>
      <c r="O478" s="2"/>
      <c r="P478" s="2"/>
      <c r="Q478" s="2"/>
      <c r="R478" s="2"/>
      <c r="S478" s="2"/>
      <c r="T478" s="2"/>
      <c r="U478" s="2"/>
      <c r="V478" s="2"/>
      <c r="W478" s="2"/>
      <c r="X478" s="2"/>
      <c r="Y478" s="2"/>
      <c r="Z478" s="2"/>
      <c r="AA478" s="2"/>
    </row>
    <row r="479">
      <c r="A479" s="12">
        <v>47.0</v>
      </c>
      <c r="B479" s="17" t="s">
        <v>11010</v>
      </c>
      <c r="C479" s="17" t="s">
        <v>11011</v>
      </c>
      <c r="D479" s="16">
        <v>10.0</v>
      </c>
      <c r="E479" s="12">
        <f t="shared" si="4"/>
        <v>90</v>
      </c>
      <c r="F479" s="12"/>
      <c r="G479" s="2"/>
      <c r="H479" s="2"/>
      <c r="I479" s="2"/>
      <c r="J479" s="2"/>
      <c r="K479" s="2"/>
      <c r="L479" s="2"/>
      <c r="M479" s="2"/>
      <c r="N479" s="2"/>
      <c r="O479" s="2"/>
      <c r="P479" s="2"/>
      <c r="Q479" s="2"/>
      <c r="R479" s="2"/>
      <c r="S479" s="2"/>
      <c r="T479" s="2"/>
      <c r="U479" s="2"/>
      <c r="V479" s="2"/>
      <c r="W479" s="2"/>
      <c r="X479" s="2"/>
      <c r="Y479" s="2"/>
      <c r="Z479" s="2"/>
      <c r="AA479" s="2"/>
    </row>
    <row r="480">
      <c r="A480" s="12">
        <v>48.0</v>
      </c>
      <c r="B480" s="17" t="s">
        <v>11012</v>
      </c>
      <c r="C480" s="17" t="s">
        <v>11013</v>
      </c>
      <c r="D480" s="16">
        <v>10.0</v>
      </c>
      <c r="E480" s="12">
        <f t="shared" si="4"/>
        <v>90</v>
      </c>
      <c r="F480" s="12"/>
      <c r="G480" s="2"/>
      <c r="H480" s="2"/>
      <c r="I480" s="2"/>
      <c r="J480" s="2"/>
      <c r="K480" s="2"/>
      <c r="L480" s="2"/>
      <c r="M480" s="2"/>
      <c r="N480" s="2"/>
      <c r="O480" s="2"/>
      <c r="P480" s="2"/>
      <c r="Q480" s="2"/>
      <c r="R480" s="2"/>
      <c r="S480" s="2"/>
      <c r="T480" s="2"/>
      <c r="U480" s="2"/>
      <c r="V480" s="2"/>
      <c r="W480" s="2"/>
      <c r="X480" s="2"/>
      <c r="Y480" s="2"/>
      <c r="Z480" s="2"/>
      <c r="AA480" s="2"/>
    </row>
    <row r="481">
      <c r="A481" s="12">
        <v>49.0</v>
      </c>
      <c r="B481" s="17" t="s">
        <v>11014</v>
      </c>
      <c r="C481" s="17" t="s">
        <v>11015</v>
      </c>
      <c r="D481" s="16">
        <v>10.0</v>
      </c>
      <c r="E481" s="12">
        <f t="shared" si="4"/>
        <v>90</v>
      </c>
      <c r="F481" s="12"/>
      <c r="G481" s="2"/>
      <c r="H481" s="2"/>
      <c r="I481" s="2"/>
      <c r="J481" s="2"/>
      <c r="K481" s="2"/>
      <c r="L481" s="2"/>
      <c r="M481" s="2"/>
      <c r="N481" s="2"/>
      <c r="O481" s="2"/>
      <c r="P481" s="2"/>
      <c r="Q481" s="2"/>
      <c r="R481" s="2"/>
      <c r="S481" s="2"/>
      <c r="T481" s="2"/>
      <c r="U481" s="2"/>
      <c r="V481" s="2"/>
      <c r="W481" s="2"/>
      <c r="X481" s="2"/>
      <c r="Y481" s="2"/>
      <c r="Z481" s="2"/>
      <c r="AA481" s="2"/>
    </row>
    <row r="482">
      <c r="A482" s="12">
        <v>50.0</v>
      </c>
      <c r="B482" s="17" t="s">
        <v>11016</v>
      </c>
      <c r="C482" s="17" t="s">
        <v>11017</v>
      </c>
      <c r="D482" s="16">
        <v>10.0</v>
      </c>
      <c r="E482" s="12">
        <f t="shared" si="4"/>
        <v>90</v>
      </c>
      <c r="F482" s="12"/>
      <c r="G482" s="2"/>
      <c r="H482" s="2"/>
      <c r="I482" s="2"/>
      <c r="J482" s="2"/>
      <c r="K482" s="2"/>
      <c r="L482" s="2"/>
      <c r="M482" s="2"/>
      <c r="N482" s="2"/>
      <c r="O482" s="2"/>
      <c r="P482" s="2"/>
      <c r="Q482" s="2"/>
      <c r="R482" s="2"/>
      <c r="S482" s="2"/>
      <c r="T482" s="2"/>
      <c r="U482" s="2"/>
      <c r="V482" s="2"/>
      <c r="W482" s="2"/>
      <c r="X482" s="2"/>
      <c r="Y482" s="2"/>
      <c r="Z482" s="2"/>
      <c r="AA482" s="2"/>
    </row>
    <row r="483">
      <c r="A483" s="12">
        <v>51.0</v>
      </c>
      <c r="B483" s="17" t="s">
        <v>11018</v>
      </c>
      <c r="C483" s="17" t="s">
        <v>11019</v>
      </c>
      <c r="D483" s="16">
        <v>10.0</v>
      </c>
      <c r="E483" s="12">
        <f t="shared" si="4"/>
        <v>90</v>
      </c>
      <c r="F483" s="12"/>
      <c r="G483" s="2"/>
      <c r="H483" s="2"/>
      <c r="I483" s="2"/>
      <c r="J483" s="2"/>
      <c r="K483" s="2"/>
      <c r="L483" s="2"/>
      <c r="M483" s="2"/>
      <c r="N483" s="2"/>
      <c r="O483" s="2"/>
      <c r="P483" s="2"/>
      <c r="Q483" s="2"/>
      <c r="R483" s="2"/>
      <c r="S483" s="2"/>
      <c r="T483" s="2"/>
      <c r="U483" s="2"/>
      <c r="V483" s="2"/>
      <c r="W483" s="2"/>
      <c r="X483" s="2"/>
      <c r="Y483" s="2"/>
      <c r="Z483" s="2"/>
      <c r="AA483" s="2"/>
    </row>
    <row r="484">
      <c r="A484" s="12">
        <v>52.0</v>
      </c>
      <c r="B484" s="17" t="s">
        <v>11020</v>
      </c>
      <c r="C484" s="17" t="s">
        <v>11021</v>
      </c>
      <c r="D484" s="16">
        <v>10.0</v>
      </c>
      <c r="E484" s="12">
        <f t="shared" si="4"/>
        <v>90</v>
      </c>
      <c r="F484" s="12"/>
      <c r="G484" s="2"/>
      <c r="H484" s="2"/>
      <c r="I484" s="2"/>
      <c r="J484" s="2"/>
      <c r="K484" s="2"/>
      <c r="L484" s="2"/>
      <c r="M484" s="2"/>
      <c r="N484" s="2"/>
      <c r="O484" s="2"/>
      <c r="P484" s="2"/>
      <c r="Q484" s="2"/>
      <c r="R484" s="2"/>
      <c r="S484" s="2"/>
      <c r="T484" s="2"/>
      <c r="U484" s="2"/>
      <c r="V484" s="2"/>
      <c r="W484" s="2"/>
      <c r="X484" s="2"/>
      <c r="Y484" s="2"/>
      <c r="Z484" s="2"/>
      <c r="AA484" s="2"/>
    </row>
    <row r="485">
      <c r="A485" s="12">
        <v>53.0</v>
      </c>
      <c r="B485" s="17" t="s">
        <v>11022</v>
      </c>
      <c r="C485" s="17" t="s">
        <v>11023</v>
      </c>
      <c r="D485" s="16">
        <v>10.0</v>
      </c>
      <c r="E485" s="12">
        <f t="shared" si="4"/>
        <v>90</v>
      </c>
      <c r="F485" s="12"/>
      <c r="G485" s="2"/>
      <c r="H485" s="2"/>
      <c r="I485" s="2"/>
      <c r="J485" s="2"/>
      <c r="K485" s="2"/>
      <c r="L485" s="2"/>
      <c r="M485" s="2"/>
      <c r="N485" s="2"/>
      <c r="O485" s="2"/>
      <c r="P485" s="2"/>
      <c r="Q485" s="2"/>
      <c r="R485" s="2"/>
      <c r="S485" s="2"/>
      <c r="T485" s="2"/>
      <c r="U485" s="2"/>
      <c r="V485" s="2"/>
      <c r="W485" s="2"/>
      <c r="X485" s="2"/>
      <c r="Y485" s="2"/>
      <c r="Z485" s="2"/>
      <c r="AA485" s="2"/>
    </row>
    <row r="486">
      <c r="A486" s="12">
        <v>54.0</v>
      </c>
      <c r="B486" s="17" t="s">
        <v>11024</v>
      </c>
      <c r="C486" s="17" t="s">
        <v>11025</v>
      </c>
      <c r="D486" s="16">
        <v>10.0</v>
      </c>
      <c r="E486" s="12">
        <f t="shared" si="4"/>
        <v>90</v>
      </c>
      <c r="F486" s="12"/>
      <c r="G486" s="2"/>
      <c r="H486" s="2"/>
      <c r="I486" s="2"/>
      <c r="J486" s="2"/>
      <c r="K486" s="2"/>
      <c r="L486" s="2"/>
      <c r="M486" s="2"/>
      <c r="N486" s="2"/>
      <c r="O486" s="2"/>
      <c r="P486" s="2"/>
      <c r="Q486" s="2"/>
      <c r="R486" s="2"/>
      <c r="S486" s="2"/>
      <c r="T486" s="2"/>
      <c r="U486" s="2"/>
      <c r="V486" s="2"/>
      <c r="W486" s="2"/>
      <c r="X486" s="2"/>
      <c r="Y486" s="2"/>
      <c r="Z486" s="2"/>
      <c r="AA486" s="2"/>
    </row>
    <row r="487">
      <c r="A487" s="12">
        <v>55.0</v>
      </c>
      <c r="B487" s="17" t="s">
        <v>11026</v>
      </c>
      <c r="C487" s="17" t="s">
        <v>11027</v>
      </c>
      <c r="D487" s="16">
        <v>10.0</v>
      </c>
      <c r="E487" s="12">
        <f t="shared" si="4"/>
        <v>90</v>
      </c>
      <c r="F487" s="12"/>
      <c r="G487" s="2"/>
      <c r="H487" s="2"/>
      <c r="I487" s="2"/>
      <c r="J487" s="2"/>
      <c r="K487" s="2"/>
      <c r="L487" s="2"/>
      <c r="M487" s="2"/>
      <c r="N487" s="2"/>
      <c r="O487" s="2"/>
      <c r="P487" s="2"/>
      <c r="Q487" s="2"/>
      <c r="R487" s="2"/>
      <c r="S487" s="2"/>
      <c r="T487" s="2"/>
      <c r="U487" s="2"/>
      <c r="V487" s="2"/>
      <c r="W487" s="2"/>
      <c r="X487" s="2"/>
      <c r="Y487" s="2"/>
      <c r="Z487" s="2"/>
      <c r="AA487" s="2"/>
    </row>
    <row r="488">
      <c r="A488" s="12">
        <v>56.0</v>
      </c>
      <c r="B488" s="17" t="s">
        <v>11028</v>
      </c>
      <c r="C488" s="17" t="s">
        <v>11029</v>
      </c>
      <c r="D488" s="16">
        <v>10.0</v>
      </c>
      <c r="E488" s="12">
        <f t="shared" si="4"/>
        <v>90</v>
      </c>
      <c r="F488" s="12"/>
      <c r="G488" s="2"/>
      <c r="H488" s="2"/>
      <c r="I488" s="2"/>
      <c r="J488" s="2"/>
      <c r="K488" s="2"/>
      <c r="L488" s="2"/>
      <c r="M488" s="2"/>
      <c r="N488" s="2"/>
      <c r="O488" s="2"/>
      <c r="P488" s="2"/>
      <c r="Q488" s="2"/>
      <c r="R488" s="2"/>
      <c r="S488" s="2"/>
      <c r="T488" s="2"/>
      <c r="U488" s="2"/>
      <c r="V488" s="2"/>
      <c r="W488" s="2"/>
      <c r="X488" s="2"/>
      <c r="Y488" s="2"/>
      <c r="Z488" s="2"/>
      <c r="AA488" s="2"/>
    </row>
    <row r="489">
      <c r="A489" s="12">
        <v>57.0</v>
      </c>
      <c r="B489" s="17" t="s">
        <v>11030</v>
      </c>
      <c r="C489" s="17" t="s">
        <v>11031</v>
      </c>
      <c r="D489" s="16">
        <v>10.0</v>
      </c>
      <c r="E489" s="12">
        <f t="shared" si="4"/>
        <v>90</v>
      </c>
      <c r="F489" s="12"/>
      <c r="G489" s="2"/>
      <c r="H489" s="2"/>
      <c r="I489" s="2"/>
      <c r="J489" s="2"/>
      <c r="K489" s="2"/>
      <c r="L489" s="2"/>
      <c r="M489" s="2"/>
      <c r="N489" s="2"/>
      <c r="O489" s="2"/>
      <c r="P489" s="2"/>
      <c r="Q489" s="2"/>
      <c r="R489" s="2"/>
      <c r="S489" s="2"/>
      <c r="T489" s="2"/>
      <c r="U489" s="2"/>
      <c r="V489" s="2"/>
      <c r="W489" s="2"/>
      <c r="X489" s="2"/>
      <c r="Y489" s="2"/>
      <c r="Z489" s="2"/>
      <c r="AA489" s="2"/>
    </row>
    <row r="490">
      <c r="A490" s="12">
        <v>58.0</v>
      </c>
      <c r="B490" s="17" t="s">
        <v>11032</v>
      </c>
      <c r="C490" s="17" t="s">
        <v>11033</v>
      </c>
      <c r="D490" s="16">
        <v>10.0</v>
      </c>
      <c r="E490" s="12">
        <f t="shared" si="4"/>
        <v>90</v>
      </c>
      <c r="F490" s="12"/>
      <c r="G490" s="2"/>
      <c r="H490" s="2"/>
      <c r="I490" s="2"/>
      <c r="J490" s="2"/>
      <c r="K490" s="2"/>
      <c r="L490" s="2"/>
      <c r="M490" s="2"/>
      <c r="N490" s="2"/>
      <c r="O490" s="2"/>
      <c r="P490" s="2"/>
      <c r="Q490" s="2"/>
      <c r="R490" s="2"/>
      <c r="S490" s="2"/>
      <c r="T490" s="2"/>
      <c r="U490" s="2"/>
      <c r="V490" s="2"/>
      <c r="W490" s="2"/>
      <c r="X490" s="2"/>
      <c r="Y490" s="2"/>
      <c r="Z490" s="2"/>
      <c r="AA490" s="2"/>
    </row>
    <row r="491">
      <c r="A491" s="12">
        <v>59.0</v>
      </c>
      <c r="B491" s="17" t="s">
        <v>11034</v>
      </c>
      <c r="C491" s="17" t="s">
        <v>11035</v>
      </c>
      <c r="D491" s="16">
        <v>10.0</v>
      </c>
      <c r="E491" s="12">
        <f t="shared" si="4"/>
        <v>90</v>
      </c>
      <c r="F491" s="12"/>
      <c r="G491" s="2"/>
      <c r="H491" s="2"/>
      <c r="I491" s="2"/>
      <c r="J491" s="2"/>
      <c r="K491" s="2"/>
      <c r="L491" s="2"/>
      <c r="M491" s="2"/>
      <c r="N491" s="2"/>
      <c r="O491" s="2"/>
      <c r="P491" s="2"/>
      <c r="Q491" s="2"/>
      <c r="R491" s="2"/>
      <c r="S491" s="2"/>
      <c r="T491" s="2"/>
      <c r="U491" s="2"/>
      <c r="V491" s="2"/>
      <c r="W491" s="2"/>
      <c r="X491" s="2"/>
      <c r="Y491" s="2"/>
      <c r="Z491" s="2"/>
      <c r="AA491" s="2"/>
    </row>
    <row r="492">
      <c r="A492" s="12">
        <v>60.0</v>
      </c>
      <c r="B492" s="17" t="s">
        <v>11036</v>
      </c>
      <c r="C492" s="17" t="s">
        <v>11037</v>
      </c>
      <c r="D492" s="16">
        <v>10.0</v>
      </c>
      <c r="E492" s="12">
        <f t="shared" si="4"/>
        <v>90</v>
      </c>
      <c r="F492" s="12"/>
      <c r="G492" s="2"/>
      <c r="H492" s="2"/>
      <c r="I492" s="2"/>
      <c r="J492" s="2"/>
      <c r="K492" s="2"/>
      <c r="L492" s="2"/>
      <c r="M492" s="2"/>
      <c r="N492" s="2"/>
      <c r="O492" s="2"/>
      <c r="P492" s="2"/>
      <c r="Q492" s="2"/>
      <c r="R492" s="2"/>
      <c r="S492" s="2"/>
      <c r="T492" s="2"/>
      <c r="U492" s="2"/>
      <c r="V492" s="2"/>
      <c r="W492" s="2"/>
      <c r="X492" s="2"/>
      <c r="Y492" s="2"/>
      <c r="Z492" s="2"/>
      <c r="AA492" s="2"/>
    </row>
    <row r="493">
      <c r="A493" s="12">
        <v>61.0</v>
      </c>
      <c r="B493" s="17" t="s">
        <v>11038</v>
      </c>
      <c r="C493" s="17" t="s">
        <v>11039</v>
      </c>
      <c r="D493" s="16">
        <v>10.0</v>
      </c>
      <c r="E493" s="12">
        <f t="shared" si="4"/>
        <v>90</v>
      </c>
      <c r="F493" s="12"/>
      <c r="G493" s="2"/>
      <c r="H493" s="2"/>
      <c r="I493" s="2"/>
      <c r="J493" s="2"/>
      <c r="K493" s="2"/>
      <c r="L493" s="2"/>
      <c r="M493" s="2"/>
      <c r="N493" s="2"/>
      <c r="O493" s="2"/>
      <c r="P493" s="2"/>
      <c r="Q493" s="2"/>
      <c r="R493" s="2"/>
      <c r="S493" s="2"/>
      <c r="T493" s="2"/>
      <c r="U493" s="2"/>
      <c r="V493" s="2"/>
      <c r="W493" s="2"/>
      <c r="X493" s="2"/>
      <c r="Y493" s="2"/>
      <c r="Z493" s="2"/>
      <c r="AA493" s="2"/>
    </row>
    <row r="494">
      <c r="A494" s="12">
        <v>62.0</v>
      </c>
      <c r="B494" s="17" t="s">
        <v>11040</v>
      </c>
      <c r="C494" s="17" t="s">
        <v>11041</v>
      </c>
      <c r="D494" s="16">
        <v>10.0</v>
      </c>
      <c r="E494" s="12">
        <f t="shared" si="4"/>
        <v>90</v>
      </c>
      <c r="F494" s="12"/>
      <c r="G494" s="2"/>
      <c r="H494" s="2"/>
      <c r="I494" s="2"/>
      <c r="J494" s="2"/>
      <c r="K494" s="2"/>
      <c r="L494" s="2"/>
      <c r="M494" s="2"/>
      <c r="N494" s="2"/>
      <c r="O494" s="2"/>
      <c r="P494" s="2"/>
      <c r="Q494" s="2"/>
      <c r="R494" s="2"/>
      <c r="S494" s="2"/>
      <c r="T494" s="2"/>
      <c r="U494" s="2"/>
      <c r="V494" s="2"/>
      <c r="W494" s="2"/>
      <c r="X494" s="2"/>
      <c r="Y494" s="2"/>
      <c r="Z494" s="2"/>
      <c r="AA494" s="2"/>
    </row>
    <row r="495">
      <c r="A495" s="12">
        <v>63.0</v>
      </c>
      <c r="B495" s="17" t="s">
        <v>11042</v>
      </c>
      <c r="C495" s="17" t="s">
        <v>11043</v>
      </c>
      <c r="D495" s="16">
        <v>10.0</v>
      </c>
      <c r="E495" s="12">
        <f t="shared" si="4"/>
        <v>90</v>
      </c>
      <c r="F495" s="12"/>
      <c r="G495" s="2"/>
      <c r="H495" s="2"/>
      <c r="I495" s="2"/>
      <c r="J495" s="2"/>
      <c r="K495" s="2"/>
      <c r="L495" s="2"/>
      <c r="M495" s="2"/>
      <c r="N495" s="2"/>
      <c r="O495" s="2"/>
      <c r="P495" s="2"/>
      <c r="Q495" s="2"/>
      <c r="R495" s="2"/>
      <c r="S495" s="2"/>
      <c r="T495" s="2"/>
      <c r="U495" s="2"/>
      <c r="V495" s="2"/>
      <c r="W495" s="2"/>
      <c r="X495" s="2"/>
      <c r="Y495" s="2"/>
      <c r="Z495" s="2"/>
      <c r="AA495" s="2"/>
    </row>
    <row r="496">
      <c r="A496" s="12">
        <v>64.0</v>
      </c>
      <c r="B496" s="17" t="s">
        <v>11044</v>
      </c>
      <c r="C496" s="17" t="s">
        <v>11045</v>
      </c>
      <c r="D496" s="16">
        <v>10.0</v>
      </c>
      <c r="E496" s="12">
        <f t="shared" si="4"/>
        <v>90</v>
      </c>
      <c r="F496" s="12"/>
      <c r="G496" s="2"/>
      <c r="H496" s="2"/>
      <c r="I496" s="2"/>
      <c r="J496" s="2"/>
      <c r="K496" s="2"/>
      <c r="L496" s="2"/>
      <c r="M496" s="2"/>
      <c r="N496" s="2"/>
      <c r="O496" s="2"/>
      <c r="P496" s="2"/>
      <c r="Q496" s="2"/>
      <c r="R496" s="2"/>
      <c r="S496" s="2"/>
      <c r="T496" s="2"/>
      <c r="U496" s="2"/>
      <c r="V496" s="2"/>
      <c r="W496" s="2"/>
      <c r="X496" s="2"/>
      <c r="Y496" s="2"/>
      <c r="Z496" s="2"/>
      <c r="AA496" s="2"/>
    </row>
    <row r="497">
      <c r="A497" s="12">
        <v>65.0</v>
      </c>
      <c r="B497" s="17" t="s">
        <v>11046</v>
      </c>
      <c r="C497" s="17" t="s">
        <v>11047</v>
      </c>
      <c r="D497" s="16">
        <v>10.0</v>
      </c>
      <c r="E497" s="12">
        <f t="shared" si="4"/>
        <v>90</v>
      </c>
      <c r="F497" s="12"/>
      <c r="G497" s="2"/>
      <c r="H497" s="2"/>
      <c r="I497" s="2"/>
      <c r="J497" s="2"/>
      <c r="K497" s="2"/>
      <c r="L497" s="2"/>
      <c r="M497" s="2"/>
      <c r="N497" s="2"/>
      <c r="O497" s="2"/>
      <c r="P497" s="2"/>
      <c r="Q497" s="2"/>
      <c r="R497" s="2"/>
      <c r="S497" s="2"/>
      <c r="T497" s="2"/>
      <c r="U497" s="2"/>
      <c r="V497" s="2"/>
      <c r="W497" s="2"/>
      <c r="X497" s="2"/>
      <c r="Y497" s="2"/>
      <c r="Z497" s="2"/>
      <c r="AA497" s="2"/>
    </row>
    <row r="498">
      <c r="A498" s="12">
        <v>66.0</v>
      </c>
      <c r="B498" s="17" t="s">
        <v>11048</v>
      </c>
      <c r="C498" s="17" t="s">
        <v>11049</v>
      </c>
      <c r="D498" s="16">
        <v>10.0</v>
      </c>
      <c r="E498" s="12">
        <f t="shared" si="4"/>
        <v>90</v>
      </c>
      <c r="F498" s="12"/>
      <c r="G498" s="2"/>
      <c r="H498" s="2"/>
      <c r="I498" s="2"/>
      <c r="J498" s="2"/>
      <c r="K498" s="2"/>
      <c r="L498" s="2"/>
      <c r="M498" s="2"/>
      <c r="N498" s="2"/>
      <c r="O498" s="2"/>
      <c r="P498" s="2"/>
      <c r="Q498" s="2"/>
      <c r="R498" s="2"/>
      <c r="S498" s="2"/>
      <c r="T498" s="2"/>
      <c r="U498" s="2"/>
      <c r="V498" s="2"/>
      <c r="W498" s="2"/>
      <c r="X498" s="2"/>
      <c r="Y498" s="2"/>
      <c r="Z498" s="2"/>
      <c r="AA498" s="2"/>
    </row>
    <row r="499">
      <c r="A499" s="12">
        <v>67.0</v>
      </c>
      <c r="B499" s="17" t="s">
        <v>11050</v>
      </c>
      <c r="C499" s="17" t="s">
        <v>11051</v>
      </c>
      <c r="D499" s="16">
        <v>10.0</v>
      </c>
      <c r="E499" s="12">
        <f t="shared" si="4"/>
        <v>90</v>
      </c>
      <c r="F499" s="12"/>
      <c r="G499" s="2"/>
      <c r="H499" s="2"/>
      <c r="I499" s="2"/>
      <c r="J499" s="2"/>
      <c r="K499" s="2"/>
      <c r="L499" s="2"/>
      <c r="M499" s="2"/>
      <c r="N499" s="2"/>
      <c r="O499" s="2"/>
      <c r="P499" s="2"/>
      <c r="Q499" s="2"/>
      <c r="R499" s="2"/>
      <c r="S499" s="2"/>
      <c r="T499" s="2"/>
      <c r="U499" s="2"/>
      <c r="V499" s="2"/>
      <c r="W499" s="2"/>
      <c r="X499" s="2"/>
      <c r="Y499" s="2"/>
      <c r="Z499" s="2"/>
      <c r="AA499" s="2"/>
    </row>
    <row r="500">
      <c r="A500" s="12">
        <v>68.0</v>
      </c>
      <c r="B500" s="17" t="s">
        <v>11052</v>
      </c>
      <c r="C500" s="17" t="s">
        <v>11053</v>
      </c>
      <c r="D500" s="16">
        <v>10.0</v>
      </c>
      <c r="E500" s="12">
        <f t="shared" si="4"/>
        <v>90</v>
      </c>
      <c r="F500" s="12"/>
      <c r="G500" s="2"/>
      <c r="H500" s="2"/>
      <c r="I500" s="2"/>
      <c r="J500" s="2"/>
      <c r="K500" s="2"/>
      <c r="L500" s="2"/>
      <c r="M500" s="2"/>
      <c r="N500" s="2"/>
      <c r="O500" s="2"/>
      <c r="P500" s="2"/>
      <c r="Q500" s="2"/>
      <c r="R500" s="2"/>
      <c r="S500" s="2"/>
      <c r="T500" s="2"/>
      <c r="U500" s="2"/>
      <c r="V500" s="2"/>
      <c r="W500" s="2"/>
      <c r="X500" s="2"/>
      <c r="Y500" s="2"/>
      <c r="Z500" s="2"/>
      <c r="AA500" s="2"/>
    </row>
    <row r="501">
      <c r="A501" s="12">
        <v>69.0</v>
      </c>
      <c r="B501" s="17" t="s">
        <v>11054</v>
      </c>
      <c r="C501" s="17" t="s">
        <v>11055</v>
      </c>
      <c r="D501" s="16">
        <v>10.0</v>
      </c>
      <c r="E501" s="12">
        <f t="shared" si="4"/>
        <v>90</v>
      </c>
      <c r="F501" s="12"/>
      <c r="G501" s="2"/>
      <c r="H501" s="2"/>
      <c r="I501" s="2"/>
      <c r="J501" s="2"/>
      <c r="K501" s="2"/>
      <c r="L501" s="2"/>
      <c r="M501" s="2"/>
      <c r="N501" s="2"/>
      <c r="O501" s="2"/>
      <c r="P501" s="2"/>
      <c r="Q501" s="2"/>
      <c r="R501" s="2"/>
      <c r="S501" s="2"/>
      <c r="T501" s="2"/>
      <c r="U501" s="2"/>
      <c r="V501" s="2"/>
      <c r="W501" s="2"/>
      <c r="X501" s="2"/>
      <c r="Y501" s="2"/>
      <c r="Z501" s="2"/>
      <c r="AA501" s="2"/>
    </row>
    <row r="502">
      <c r="A502" s="12">
        <v>70.0</v>
      </c>
      <c r="B502" s="17" t="s">
        <v>11056</v>
      </c>
      <c r="C502" s="17" t="s">
        <v>11057</v>
      </c>
      <c r="D502" s="16">
        <v>10.0</v>
      </c>
      <c r="E502" s="12">
        <f t="shared" si="4"/>
        <v>90</v>
      </c>
      <c r="F502" s="12"/>
      <c r="G502" s="2"/>
      <c r="H502" s="2"/>
      <c r="I502" s="2"/>
      <c r="J502" s="2"/>
      <c r="K502" s="2"/>
      <c r="L502" s="2"/>
      <c r="M502" s="2"/>
      <c r="N502" s="2"/>
      <c r="O502" s="2"/>
      <c r="P502" s="2"/>
      <c r="Q502" s="2"/>
      <c r="R502" s="2"/>
      <c r="S502" s="2"/>
      <c r="T502" s="2"/>
      <c r="U502" s="2"/>
      <c r="V502" s="2"/>
      <c r="W502" s="2"/>
      <c r="X502" s="2"/>
      <c r="Y502" s="2"/>
      <c r="Z502" s="2"/>
      <c r="AA502" s="2"/>
    </row>
    <row r="503">
      <c r="A503" s="12">
        <v>71.0</v>
      </c>
      <c r="B503" s="17" t="s">
        <v>11058</v>
      </c>
      <c r="C503" s="17" t="s">
        <v>11059</v>
      </c>
      <c r="D503" s="16">
        <v>10.0</v>
      </c>
      <c r="E503" s="12">
        <f t="shared" si="4"/>
        <v>90</v>
      </c>
      <c r="F503" s="12"/>
      <c r="G503" s="2"/>
      <c r="H503" s="2"/>
      <c r="I503" s="2"/>
      <c r="J503" s="2"/>
      <c r="K503" s="2"/>
      <c r="L503" s="2"/>
      <c r="M503" s="2"/>
      <c r="N503" s="2"/>
      <c r="O503" s="2"/>
      <c r="P503" s="2"/>
      <c r="Q503" s="2"/>
      <c r="R503" s="2"/>
      <c r="S503" s="2"/>
      <c r="T503" s="2"/>
      <c r="U503" s="2"/>
      <c r="V503" s="2"/>
      <c r="W503" s="2"/>
      <c r="X503" s="2"/>
      <c r="Y503" s="2"/>
      <c r="Z503" s="2"/>
      <c r="AA503" s="2"/>
    </row>
    <row r="504">
      <c r="A504" s="12">
        <v>72.0</v>
      </c>
      <c r="B504" s="17" t="s">
        <v>11060</v>
      </c>
      <c r="C504" s="17" t="s">
        <v>11061</v>
      </c>
      <c r="D504" s="16">
        <v>10.0</v>
      </c>
      <c r="E504" s="12">
        <f t="shared" si="4"/>
        <v>90</v>
      </c>
      <c r="F504" s="12"/>
      <c r="G504" s="2"/>
      <c r="H504" s="2"/>
      <c r="I504" s="2"/>
      <c r="J504" s="2"/>
      <c r="K504" s="2"/>
      <c r="L504" s="2"/>
      <c r="M504" s="2"/>
      <c r="N504" s="2"/>
      <c r="O504" s="2"/>
      <c r="P504" s="2"/>
      <c r="Q504" s="2"/>
      <c r="R504" s="2"/>
      <c r="S504" s="2"/>
      <c r="T504" s="2"/>
      <c r="U504" s="2"/>
      <c r="V504" s="2"/>
      <c r="W504" s="2"/>
      <c r="X504" s="2"/>
      <c r="Y504" s="2"/>
      <c r="Z504" s="2"/>
      <c r="AA504" s="2"/>
    </row>
    <row r="505">
      <c r="A505" s="12">
        <v>73.0</v>
      </c>
      <c r="B505" s="17" t="s">
        <v>11062</v>
      </c>
      <c r="C505" s="17" t="s">
        <v>11063</v>
      </c>
      <c r="D505" s="16">
        <v>10.0</v>
      </c>
      <c r="E505" s="12">
        <f t="shared" si="4"/>
        <v>90</v>
      </c>
      <c r="F505" s="12"/>
      <c r="G505" s="2"/>
      <c r="H505" s="2"/>
      <c r="I505" s="2"/>
      <c r="J505" s="2"/>
      <c r="K505" s="2"/>
      <c r="L505" s="2"/>
      <c r="M505" s="2"/>
      <c r="N505" s="2"/>
      <c r="O505" s="2"/>
      <c r="P505" s="2"/>
      <c r="Q505" s="2"/>
      <c r="R505" s="2"/>
      <c r="S505" s="2"/>
      <c r="T505" s="2"/>
      <c r="U505" s="2"/>
      <c r="V505" s="2"/>
      <c r="W505" s="2"/>
      <c r="X505" s="2"/>
      <c r="Y505" s="2"/>
      <c r="Z505" s="2"/>
      <c r="AA505" s="2"/>
    </row>
    <row r="506">
      <c r="A506" s="12">
        <v>74.0</v>
      </c>
      <c r="B506" s="17" t="s">
        <v>11064</v>
      </c>
      <c r="C506" s="17" t="s">
        <v>11065</v>
      </c>
      <c r="D506" s="16">
        <v>10.0</v>
      </c>
      <c r="E506" s="12">
        <f t="shared" si="4"/>
        <v>90</v>
      </c>
      <c r="F506" s="12"/>
      <c r="G506" s="2"/>
      <c r="H506" s="2"/>
      <c r="I506" s="2"/>
      <c r="J506" s="2"/>
      <c r="K506" s="2"/>
      <c r="L506" s="2"/>
      <c r="M506" s="2"/>
      <c r="N506" s="2"/>
      <c r="O506" s="2"/>
      <c r="P506" s="2"/>
      <c r="Q506" s="2"/>
      <c r="R506" s="2"/>
      <c r="S506" s="2"/>
      <c r="T506" s="2"/>
      <c r="U506" s="2"/>
      <c r="V506" s="2"/>
      <c r="W506" s="2"/>
      <c r="X506" s="2"/>
      <c r="Y506" s="2"/>
      <c r="Z506" s="2"/>
      <c r="AA506" s="2"/>
    </row>
    <row r="507">
      <c r="A507" s="12">
        <v>75.0</v>
      </c>
      <c r="B507" s="17" t="s">
        <v>11066</v>
      </c>
      <c r="C507" s="17" t="s">
        <v>11067</v>
      </c>
      <c r="D507" s="16">
        <v>10.0</v>
      </c>
      <c r="E507" s="12">
        <f t="shared" si="4"/>
        <v>90</v>
      </c>
      <c r="F507" s="12"/>
      <c r="G507" s="2"/>
      <c r="H507" s="2"/>
      <c r="I507" s="2"/>
      <c r="J507" s="2"/>
      <c r="K507" s="2"/>
      <c r="L507" s="2"/>
      <c r="M507" s="2"/>
      <c r="N507" s="2"/>
      <c r="O507" s="2"/>
      <c r="P507" s="2"/>
      <c r="Q507" s="2"/>
      <c r="R507" s="2"/>
      <c r="S507" s="2"/>
      <c r="T507" s="2"/>
      <c r="U507" s="2"/>
      <c r="V507" s="2"/>
      <c r="W507" s="2"/>
      <c r="X507" s="2"/>
      <c r="Y507" s="2"/>
      <c r="Z507" s="2"/>
      <c r="AA507" s="2"/>
    </row>
    <row r="508">
      <c r="A508" s="12">
        <v>76.0</v>
      </c>
      <c r="B508" s="17" t="s">
        <v>11068</v>
      </c>
      <c r="C508" s="17" t="s">
        <v>11069</v>
      </c>
      <c r="D508" s="16">
        <v>10.0</v>
      </c>
      <c r="E508" s="12">
        <f t="shared" si="4"/>
        <v>90</v>
      </c>
      <c r="F508" s="12"/>
      <c r="G508" s="2"/>
      <c r="H508" s="2"/>
      <c r="I508" s="2"/>
      <c r="J508" s="2"/>
      <c r="K508" s="2"/>
      <c r="L508" s="2"/>
      <c r="M508" s="2"/>
      <c r="N508" s="2"/>
      <c r="O508" s="2"/>
      <c r="P508" s="2"/>
      <c r="Q508" s="2"/>
      <c r="R508" s="2"/>
      <c r="S508" s="2"/>
      <c r="T508" s="2"/>
      <c r="U508" s="2"/>
      <c r="V508" s="2"/>
      <c r="W508" s="2"/>
      <c r="X508" s="2"/>
      <c r="Y508" s="2"/>
      <c r="Z508" s="2"/>
      <c r="AA508" s="2"/>
    </row>
    <row r="509">
      <c r="A509" s="12">
        <v>77.0</v>
      </c>
      <c r="B509" s="17" t="s">
        <v>11070</v>
      </c>
      <c r="C509" s="17" t="s">
        <v>11071</v>
      </c>
      <c r="D509" s="16">
        <v>10.0</v>
      </c>
      <c r="E509" s="12">
        <f t="shared" si="4"/>
        <v>90</v>
      </c>
      <c r="F509" s="12"/>
      <c r="G509" s="2"/>
      <c r="H509" s="2"/>
      <c r="I509" s="2"/>
      <c r="J509" s="2"/>
      <c r="K509" s="2"/>
      <c r="L509" s="2"/>
      <c r="M509" s="2"/>
      <c r="N509" s="2"/>
      <c r="O509" s="2"/>
      <c r="P509" s="2"/>
      <c r="Q509" s="2"/>
      <c r="R509" s="2"/>
      <c r="S509" s="2"/>
      <c r="T509" s="2"/>
      <c r="U509" s="2"/>
      <c r="V509" s="2"/>
      <c r="W509" s="2"/>
      <c r="X509" s="2"/>
      <c r="Y509" s="2"/>
      <c r="Z509" s="2"/>
      <c r="AA509" s="2"/>
    </row>
    <row r="510">
      <c r="A510" s="12">
        <v>78.0</v>
      </c>
      <c r="B510" s="17" t="s">
        <v>11072</v>
      </c>
      <c r="C510" s="17" t="s">
        <v>11073</v>
      </c>
      <c r="D510" s="16">
        <v>10.0</v>
      </c>
      <c r="E510" s="12">
        <f t="shared" si="4"/>
        <v>90</v>
      </c>
      <c r="F510" s="12"/>
      <c r="G510" s="2"/>
      <c r="H510" s="2"/>
      <c r="I510" s="2"/>
      <c r="J510" s="2"/>
      <c r="K510" s="2"/>
      <c r="L510" s="2"/>
      <c r="M510" s="2"/>
      <c r="N510" s="2"/>
      <c r="O510" s="2"/>
      <c r="P510" s="2"/>
      <c r="Q510" s="2"/>
      <c r="R510" s="2"/>
      <c r="S510" s="2"/>
      <c r="T510" s="2"/>
      <c r="U510" s="2"/>
      <c r="V510" s="2"/>
      <c r="W510" s="2"/>
      <c r="X510" s="2"/>
      <c r="Y510" s="2"/>
      <c r="Z510" s="2"/>
      <c r="AA510" s="2"/>
    </row>
    <row r="511">
      <c r="A511" s="12">
        <v>79.0</v>
      </c>
      <c r="B511" s="17" t="s">
        <v>11074</v>
      </c>
      <c r="C511" s="17" t="s">
        <v>11075</v>
      </c>
      <c r="D511" s="16">
        <v>10.0</v>
      </c>
      <c r="E511" s="12">
        <f t="shared" si="4"/>
        <v>90</v>
      </c>
      <c r="F511" s="12"/>
      <c r="G511" s="2"/>
      <c r="H511" s="2"/>
      <c r="I511" s="2"/>
      <c r="J511" s="2"/>
      <c r="K511" s="2"/>
      <c r="L511" s="2"/>
      <c r="M511" s="2"/>
      <c r="N511" s="2"/>
      <c r="O511" s="2"/>
      <c r="P511" s="2"/>
      <c r="Q511" s="2"/>
      <c r="R511" s="2"/>
      <c r="S511" s="2"/>
      <c r="T511" s="2"/>
      <c r="U511" s="2"/>
      <c r="V511" s="2"/>
      <c r="W511" s="2"/>
      <c r="X511" s="2"/>
      <c r="Y511" s="2"/>
      <c r="Z511" s="2"/>
      <c r="AA511" s="2"/>
    </row>
    <row r="512">
      <c r="A512" s="12">
        <v>80.0</v>
      </c>
      <c r="B512" s="17" t="s">
        <v>11076</v>
      </c>
      <c r="C512" s="17" t="s">
        <v>11077</v>
      </c>
      <c r="D512" s="16">
        <v>10.0</v>
      </c>
      <c r="E512" s="12">
        <f t="shared" si="4"/>
        <v>90</v>
      </c>
      <c r="F512" s="12"/>
      <c r="G512" s="2"/>
      <c r="H512" s="2"/>
      <c r="I512" s="2"/>
      <c r="J512" s="2"/>
      <c r="K512" s="2"/>
      <c r="L512" s="2"/>
      <c r="M512" s="2"/>
      <c r="N512" s="2"/>
      <c r="O512" s="2"/>
      <c r="P512" s="2"/>
      <c r="Q512" s="2"/>
      <c r="R512" s="2"/>
      <c r="S512" s="2"/>
      <c r="T512" s="2"/>
      <c r="U512" s="2"/>
      <c r="V512" s="2"/>
      <c r="W512" s="2"/>
      <c r="X512" s="2"/>
      <c r="Y512" s="2"/>
      <c r="Z512" s="2"/>
      <c r="AA512" s="2"/>
    </row>
    <row r="513">
      <c r="A513" s="12">
        <v>81.0</v>
      </c>
      <c r="B513" s="17" t="s">
        <v>11078</v>
      </c>
      <c r="C513" s="17" t="s">
        <v>11079</v>
      </c>
      <c r="D513" s="12">
        <v>10.0</v>
      </c>
      <c r="E513" s="12">
        <f t="shared" si="4"/>
        <v>90</v>
      </c>
      <c r="F513" s="12"/>
      <c r="G513" s="2"/>
      <c r="H513" s="2"/>
      <c r="I513" s="2"/>
      <c r="J513" s="2"/>
      <c r="K513" s="2"/>
      <c r="L513" s="2"/>
      <c r="M513" s="2"/>
      <c r="N513" s="2"/>
      <c r="O513" s="2"/>
      <c r="P513" s="2"/>
      <c r="Q513" s="2"/>
      <c r="R513" s="2"/>
      <c r="S513" s="2"/>
      <c r="T513" s="2"/>
      <c r="U513" s="2"/>
      <c r="V513" s="2"/>
      <c r="W513" s="2"/>
      <c r="X513" s="2"/>
      <c r="Y513" s="2"/>
      <c r="Z513" s="2"/>
      <c r="AA513" s="2"/>
    </row>
    <row r="514">
      <c r="A514" s="12">
        <v>82.0</v>
      </c>
      <c r="B514" s="17" t="s">
        <v>11080</v>
      </c>
      <c r="C514" s="17" t="s">
        <v>11081</v>
      </c>
      <c r="D514" s="12">
        <v>10.0</v>
      </c>
      <c r="E514" s="12">
        <f t="shared" si="4"/>
        <v>90</v>
      </c>
      <c r="F514" s="12"/>
      <c r="G514" s="2"/>
      <c r="H514" s="2"/>
      <c r="I514" s="2"/>
      <c r="J514" s="2"/>
      <c r="K514" s="2"/>
      <c r="L514" s="2"/>
      <c r="M514" s="2"/>
      <c r="N514" s="2"/>
      <c r="O514" s="2"/>
      <c r="P514" s="2"/>
      <c r="Q514" s="2"/>
      <c r="R514" s="2"/>
      <c r="S514" s="2"/>
      <c r="T514" s="2"/>
      <c r="U514" s="2"/>
      <c r="V514" s="2"/>
      <c r="W514" s="2"/>
      <c r="X514" s="2"/>
      <c r="Y514" s="2"/>
      <c r="Z514" s="2"/>
      <c r="AA514" s="2"/>
    </row>
    <row r="515">
      <c r="A515" s="12">
        <v>83.0</v>
      </c>
      <c r="B515" s="17" t="s">
        <v>11082</v>
      </c>
      <c r="C515" s="17" t="s">
        <v>11083</v>
      </c>
      <c r="D515" s="16">
        <v>10.0</v>
      </c>
      <c r="E515" s="12">
        <f t="shared" si="4"/>
        <v>90</v>
      </c>
      <c r="F515" s="12"/>
      <c r="G515" s="2"/>
      <c r="H515" s="2"/>
      <c r="I515" s="2"/>
      <c r="J515" s="2"/>
      <c r="K515" s="2"/>
      <c r="L515" s="2"/>
      <c r="M515" s="2"/>
      <c r="N515" s="2"/>
      <c r="O515" s="2"/>
      <c r="P515" s="2"/>
      <c r="Q515" s="2"/>
      <c r="R515" s="2"/>
      <c r="S515" s="2"/>
      <c r="T515" s="2"/>
      <c r="U515" s="2"/>
      <c r="V515" s="2"/>
      <c r="W515" s="2"/>
      <c r="X515" s="2"/>
      <c r="Y515" s="2"/>
      <c r="Z515" s="2"/>
      <c r="AA515" s="2"/>
    </row>
    <row r="516">
      <c r="A516" s="12">
        <v>84.0</v>
      </c>
      <c r="B516" s="17" t="s">
        <v>11084</v>
      </c>
      <c r="C516" s="17" t="s">
        <v>11085</v>
      </c>
      <c r="D516" s="16">
        <v>10.0</v>
      </c>
      <c r="E516" s="12">
        <f t="shared" si="4"/>
        <v>90</v>
      </c>
      <c r="F516" s="12"/>
      <c r="G516" s="2"/>
      <c r="H516" s="2"/>
      <c r="I516" s="2"/>
      <c r="J516" s="2"/>
      <c r="K516" s="2"/>
      <c r="L516" s="2"/>
      <c r="M516" s="2"/>
      <c r="N516" s="2"/>
      <c r="O516" s="2"/>
      <c r="P516" s="2"/>
      <c r="Q516" s="2"/>
      <c r="R516" s="2"/>
      <c r="S516" s="2"/>
      <c r="T516" s="2"/>
      <c r="U516" s="2"/>
      <c r="V516" s="2"/>
      <c r="W516" s="2"/>
      <c r="X516" s="2"/>
      <c r="Y516" s="2"/>
      <c r="Z516" s="2"/>
      <c r="AA516" s="2"/>
    </row>
    <row r="517">
      <c r="A517" s="12">
        <v>85.0</v>
      </c>
      <c r="B517" s="17" t="s">
        <v>11086</v>
      </c>
      <c r="C517" s="17" t="s">
        <v>11087</v>
      </c>
      <c r="D517" s="16">
        <v>10.0</v>
      </c>
      <c r="E517" s="12">
        <f t="shared" si="4"/>
        <v>90</v>
      </c>
      <c r="F517" s="12"/>
      <c r="G517" s="2"/>
      <c r="H517" s="2"/>
      <c r="I517" s="2"/>
      <c r="J517" s="2"/>
      <c r="K517" s="2"/>
      <c r="L517" s="2"/>
      <c r="M517" s="2"/>
      <c r="N517" s="2"/>
      <c r="O517" s="2"/>
      <c r="P517" s="2"/>
      <c r="Q517" s="2"/>
      <c r="R517" s="2"/>
      <c r="S517" s="2"/>
      <c r="T517" s="2"/>
      <c r="U517" s="2"/>
      <c r="V517" s="2"/>
      <c r="W517" s="2"/>
      <c r="X517" s="2"/>
      <c r="Y517" s="2"/>
      <c r="Z517" s="2"/>
      <c r="AA517" s="2"/>
    </row>
    <row r="518">
      <c r="A518" s="12">
        <v>86.0</v>
      </c>
      <c r="B518" s="17" t="s">
        <v>11088</v>
      </c>
      <c r="C518" s="17" t="s">
        <v>11089</v>
      </c>
      <c r="D518" s="16">
        <v>10.0</v>
      </c>
      <c r="E518" s="12">
        <f t="shared" si="4"/>
        <v>90</v>
      </c>
      <c r="F518" s="12"/>
      <c r="G518" s="2"/>
      <c r="H518" s="2"/>
      <c r="I518" s="2"/>
      <c r="J518" s="2"/>
      <c r="K518" s="2"/>
      <c r="L518" s="2"/>
      <c r="M518" s="2"/>
      <c r="N518" s="2"/>
      <c r="O518" s="2"/>
      <c r="P518" s="2"/>
      <c r="Q518" s="2"/>
      <c r="R518" s="2"/>
      <c r="S518" s="2"/>
      <c r="T518" s="2"/>
      <c r="U518" s="2"/>
      <c r="V518" s="2"/>
      <c r="W518" s="2"/>
      <c r="X518" s="2"/>
      <c r="Y518" s="2"/>
      <c r="Z518" s="2"/>
      <c r="AA518" s="2"/>
    </row>
    <row r="519">
      <c r="A519" s="12">
        <v>87.0</v>
      </c>
      <c r="B519" s="17" t="s">
        <v>11090</v>
      </c>
      <c r="C519" s="17" t="s">
        <v>11091</v>
      </c>
      <c r="D519" s="16">
        <v>10.0</v>
      </c>
      <c r="E519" s="12">
        <f t="shared" si="4"/>
        <v>90</v>
      </c>
      <c r="F519" s="12"/>
      <c r="G519" s="2"/>
      <c r="H519" s="2"/>
      <c r="I519" s="2"/>
      <c r="J519" s="2"/>
      <c r="K519" s="2"/>
      <c r="L519" s="2"/>
      <c r="M519" s="2"/>
      <c r="N519" s="2"/>
      <c r="O519" s="2"/>
      <c r="P519" s="2"/>
      <c r="Q519" s="2"/>
      <c r="R519" s="2"/>
      <c r="S519" s="2"/>
      <c r="T519" s="2"/>
      <c r="U519" s="2"/>
      <c r="V519" s="2"/>
      <c r="W519" s="2"/>
      <c r="X519" s="2"/>
      <c r="Y519" s="2"/>
      <c r="Z519" s="2"/>
      <c r="AA519" s="2"/>
    </row>
    <row r="520">
      <c r="A520" s="12">
        <v>88.0</v>
      </c>
      <c r="B520" s="17" t="s">
        <v>11092</v>
      </c>
      <c r="C520" s="17" t="s">
        <v>11093</v>
      </c>
      <c r="D520" s="16">
        <v>10.0</v>
      </c>
      <c r="E520" s="12">
        <f t="shared" si="4"/>
        <v>90</v>
      </c>
      <c r="G520" s="2"/>
      <c r="H520" s="2"/>
      <c r="I520" s="2"/>
      <c r="J520" s="2"/>
      <c r="K520" s="2"/>
      <c r="L520" s="2"/>
      <c r="M520" s="2"/>
      <c r="N520" s="2"/>
      <c r="O520" s="2"/>
      <c r="P520" s="2"/>
      <c r="Q520" s="2"/>
      <c r="R520" s="2"/>
      <c r="S520" s="2"/>
      <c r="T520" s="2"/>
      <c r="U520" s="2"/>
      <c r="V520" s="2"/>
      <c r="W520" s="2"/>
      <c r="X520" s="2"/>
      <c r="Y520" s="2"/>
      <c r="Z520" s="2"/>
      <c r="AA520" s="2"/>
    </row>
    <row r="521">
      <c r="A521" s="12">
        <v>89.0</v>
      </c>
      <c r="B521" s="10" t="s">
        <v>11094</v>
      </c>
      <c r="C521" s="10" t="s">
        <v>11095</v>
      </c>
      <c r="D521" s="16">
        <v>10.0</v>
      </c>
      <c r="E521" s="12">
        <f t="shared" si="4"/>
        <v>90</v>
      </c>
      <c r="G521" s="2"/>
      <c r="H521" s="2"/>
      <c r="I521" s="2"/>
      <c r="J521" s="2"/>
      <c r="K521" s="2"/>
      <c r="L521" s="2"/>
      <c r="M521" s="2"/>
      <c r="N521" s="2"/>
      <c r="O521" s="2"/>
      <c r="P521" s="2"/>
      <c r="Q521" s="2"/>
      <c r="R521" s="2"/>
      <c r="S521" s="2"/>
      <c r="T521" s="2"/>
      <c r="U521" s="2"/>
      <c r="V521" s="2"/>
      <c r="W521" s="2"/>
      <c r="X521" s="2"/>
      <c r="Y521" s="2"/>
      <c r="Z521" s="2"/>
      <c r="AA521" s="2"/>
    </row>
    <row r="522">
      <c r="A522" s="12">
        <v>90.0</v>
      </c>
      <c r="B522" s="10" t="s">
        <v>11096</v>
      </c>
      <c r="C522" s="10" t="s">
        <v>11097</v>
      </c>
      <c r="D522" s="16">
        <v>10.0</v>
      </c>
      <c r="E522" s="12">
        <f t="shared" si="4"/>
        <v>90</v>
      </c>
      <c r="G522" s="2"/>
      <c r="H522" s="2"/>
      <c r="I522" s="2"/>
      <c r="J522" s="2"/>
      <c r="K522" s="2"/>
      <c r="L522" s="2"/>
      <c r="M522" s="2"/>
      <c r="N522" s="2"/>
      <c r="O522" s="2"/>
      <c r="P522" s="2"/>
      <c r="Q522" s="2"/>
      <c r="R522" s="2"/>
      <c r="S522" s="2"/>
      <c r="T522" s="2"/>
      <c r="U522" s="2"/>
      <c r="V522" s="2"/>
      <c r="W522" s="2"/>
      <c r="X522" s="2"/>
      <c r="Y522" s="2"/>
      <c r="Z522" s="2"/>
      <c r="AA522" s="2"/>
    </row>
    <row r="523">
      <c r="A523" s="12">
        <v>91.0</v>
      </c>
      <c r="B523" s="10" t="s">
        <v>11098</v>
      </c>
      <c r="C523" s="10" t="s">
        <v>11099</v>
      </c>
      <c r="D523" s="16">
        <v>10.0</v>
      </c>
      <c r="E523" s="12">
        <f t="shared" si="4"/>
        <v>90</v>
      </c>
      <c r="G523" s="2"/>
      <c r="H523" s="2"/>
      <c r="I523" s="2"/>
      <c r="J523" s="2"/>
      <c r="K523" s="2"/>
      <c r="L523" s="2"/>
      <c r="M523" s="2"/>
      <c r="N523" s="2"/>
      <c r="O523" s="2"/>
      <c r="P523" s="2"/>
      <c r="Q523" s="2"/>
      <c r="R523" s="2"/>
      <c r="S523" s="2"/>
      <c r="T523" s="2"/>
      <c r="U523" s="2"/>
      <c r="V523" s="2"/>
      <c r="W523" s="2"/>
      <c r="X523" s="2"/>
      <c r="Y523" s="2"/>
      <c r="Z523" s="2"/>
      <c r="AA523" s="2"/>
    </row>
    <row r="524">
      <c r="A524" s="12">
        <v>92.0</v>
      </c>
      <c r="B524" s="10" t="s">
        <v>11100</v>
      </c>
      <c r="C524" s="10" t="s">
        <v>11101</v>
      </c>
      <c r="D524" s="16">
        <v>10.0</v>
      </c>
      <c r="E524" s="12">
        <f t="shared" si="4"/>
        <v>90</v>
      </c>
      <c r="G524" s="2"/>
      <c r="H524" s="2"/>
      <c r="I524" s="2"/>
      <c r="J524" s="2"/>
      <c r="K524" s="2"/>
      <c r="L524" s="2"/>
      <c r="M524" s="2"/>
      <c r="N524" s="2"/>
      <c r="O524" s="2"/>
      <c r="P524" s="2"/>
      <c r="Q524" s="2"/>
      <c r="R524" s="2"/>
      <c r="S524" s="2"/>
      <c r="T524" s="2"/>
      <c r="U524" s="2"/>
      <c r="V524" s="2"/>
      <c r="W524" s="2"/>
      <c r="X524" s="2"/>
      <c r="Y524" s="2"/>
      <c r="Z524" s="2"/>
      <c r="AA524" s="2"/>
    </row>
    <row r="525">
      <c r="A525" s="12">
        <v>93.0</v>
      </c>
      <c r="B525" s="10" t="s">
        <v>11102</v>
      </c>
      <c r="C525" s="10" t="s">
        <v>11103</v>
      </c>
      <c r="D525" s="16">
        <v>10.0</v>
      </c>
      <c r="E525" s="12">
        <f t="shared" si="4"/>
        <v>90</v>
      </c>
      <c r="G525" s="2"/>
      <c r="H525" s="2"/>
      <c r="I525" s="2"/>
      <c r="J525" s="2"/>
      <c r="K525" s="2"/>
      <c r="L525" s="2"/>
      <c r="M525" s="2"/>
      <c r="N525" s="2"/>
      <c r="O525" s="2"/>
      <c r="P525" s="2"/>
      <c r="Q525" s="2"/>
      <c r="R525" s="2"/>
      <c r="S525" s="2"/>
      <c r="T525" s="2"/>
      <c r="U525" s="2"/>
      <c r="V525" s="2"/>
      <c r="W525" s="2"/>
      <c r="X525" s="2"/>
      <c r="Y525" s="2"/>
      <c r="Z525" s="2"/>
      <c r="AA525" s="2"/>
    </row>
    <row r="526">
      <c r="A526" s="12">
        <v>94.0</v>
      </c>
      <c r="B526" s="12" t="s">
        <v>11104</v>
      </c>
      <c r="C526" s="12" t="s">
        <v>11105</v>
      </c>
      <c r="D526" s="16">
        <v>10.0</v>
      </c>
      <c r="E526" s="12">
        <f t="shared" si="4"/>
        <v>90</v>
      </c>
      <c r="F526" s="12"/>
      <c r="G526" s="2"/>
      <c r="H526" s="2"/>
      <c r="I526" s="2"/>
      <c r="J526" s="2"/>
      <c r="K526" s="2"/>
      <c r="L526" s="2"/>
      <c r="M526" s="2"/>
      <c r="N526" s="2"/>
      <c r="O526" s="2"/>
      <c r="P526" s="2"/>
      <c r="Q526" s="2"/>
      <c r="R526" s="2"/>
      <c r="S526" s="2"/>
      <c r="T526" s="2"/>
      <c r="U526" s="2"/>
      <c r="V526" s="2"/>
      <c r="W526" s="2"/>
      <c r="X526" s="2"/>
      <c r="Y526" s="2"/>
      <c r="Z526" s="2"/>
      <c r="AA526" s="2"/>
    </row>
    <row r="527">
      <c r="A527" s="4" t="s">
        <v>9751</v>
      </c>
      <c r="B527" s="12"/>
      <c r="C527" s="12"/>
      <c r="D527" s="12"/>
      <c r="E527" s="12"/>
      <c r="F527" s="18"/>
      <c r="G527" s="2"/>
      <c r="H527" s="2"/>
      <c r="I527" s="2"/>
      <c r="J527" s="2"/>
      <c r="K527" s="2"/>
      <c r="L527" s="2"/>
      <c r="M527" s="2"/>
      <c r="N527" s="2"/>
      <c r="O527" s="2"/>
      <c r="P527" s="2"/>
      <c r="Q527" s="2"/>
      <c r="R527" s="2"/>
      <c r="S527" s="2"/>
      <c r="T527" s="2"/>
      <c r="U527" s="2"/>
      <c r="V527" s="2"/>
      <c r="W527" s="2"/>
      <c r="X527" s="2"/>
      <c r="Y527" s="2"/>
      <c r="Z527" s="2"/>
      <c r="AA527" s="2"/>
    </row>
    <row r="528">
      <c r="A528" s="12" t="s">
        <v>11106</v>
      </c>
      <c r="F528" s="18"/>
      <c r="G528" s="2"/>
      <c r="H528" s="2"/>
      <c r="I528" s="2"/>
      <c r="J528" s="2"/>
      <c r="K528" s="2"/>
      <c r="L528" s="2"/>
      <c r="M528" s="2"/>
      <c r="N528" s="2"/>
      <c r="O528" s="2"/>
      <c r="P528" s="2"/>
      <c r="Q528" s="2"/>
      <c r="R528" s="2"/>
      <c r="S528" s="2"/>
      <c r="T528" s="2"/>
      <c r="U528" s="2"/>
      <c r="V528" s="2"/>
      <c r="W528" s="2"/>
      <c r="X528" s="2"/>
      <c r="Y528" s="2"/>
      <c r="Z528" s="2"/>
      <c r="AA528" s="2"/>
    </row>
    <row r="529">
      <c r="A529" s="12" t="s">
        <v>9753</v>
      </c>
      <c r="F529" s="18"/>
      <c r="G529" s="2"/>
      <c r="H529" s="2"/>
      <c r="I529" s="2"/>
      <c r="J529" s="2"/>
      <c r="K529" s="2"/>
      <c r="L529" s="2"/>
      <c r="M529" s="2"/>
      <c r="N529" s="2"/>
      <c r="O529" s="2"/>
      <c r="P529" s="2"/>
      <c r="Q529" s="2"/>
      <c r="R529" s="2"/>
      <c r="S529" s="2"/>
      <c r="T529" s="2"/>
      <c r="U529" s="2"/>
      <c r="V529" s="2"/>
      <c r="W529" s="2"/>
      <c r="X529" s="2"/>
      <c r="Y529" s="2"/>
      <c r="Z529" s="2"/>
      <c r="AA529" s="2"/>
    </row>
    <row r="530">
      <c r="A530" s="12" t="s">
        <v>11107</v>
      </c>
      <c r="F530" s="18"/>
      <c r="G530" s="2"/>
      <c r="H530" s="2"/>
      <c r="I530" s="2"/>
      <c r="J530" s="2"/>
      <c r="K530" s="2"/>
      <c r="L530" s="2"/>
      <c r="M530" s="2"/>
      <c r="N530" s="2"/>
      <c r="O530" s="2"/>
      <c r="P530" s="2"/>
      <c r="Q530" s="2"/>
      <c r="R530" s="2"/>
      <c r="S530" s="2"/>
      <c r="T530" s="2"/>
      <c r="U530" s="2"/>
      <c r="V530" s="2"/>
      <c r="W530" s="2"/>
      <c r="X530" s="2"/>
      <c r="Y530" s="2"/>
      <c r="Z530" s="2"/>
      <c r="AA530" s="2"/>
    </row>
    <row r="531">
      <c r="A531" s="12" t="s">
        <v>9755</v>
      </c>
      <c r="F531" s="18"/>
      <c r="G531" s="2"/>
      <c r="H531" s="2"/>
      <c r="I531" s="2"/>
      <c r="J531" s="2"/>
      <c r="K531" s="2"/>
      <c r="L531" s="2"/>
      <c r="M531" s="2"/>
      <c r="N531" s="2"/>
      <c r="O531" s="2"/>
      <c r="P531" s="2"/>
      <c r="Q531" s="2"/>
      <c r="R531" s="2"/>
      <c r="S531" s="2"/>
      <c r="T531" s="2"/>
      <c r="U531" s="2"/>
      <c r="V531" s="2"/>
      <c r="W531" s="2"/>
      <c r="X531" s="2"/>
      <c r="Y531" s="2"/>
      <c r="Z531" s="2"/>
      <c r="AA531" s="2"/>
    </row>
    <row r="532">
      <c r="A532" s="19" t="s">
        <v>11108</v>
      </c>
      <c r="F532" s="18"/>
      <c r="G532" s="2"/>
      <c r="H532" s="2"/>
      <c r="I532" s="2"/>
      <c r="J532" s="2"/>
      <c r="K532" s="2"/>
      <c r="L532" s="2"/>
      <c r="M532" s="2"/>
      <c r="N532" s="2"/>
      <c r="O532" s="2"/>
      <c r="P532" s="2"/>
      <c r="Q532" s="2"/>
      <c r="R532" s="2"/>
      <c r="S532" s="2"/>
      <c r="T532" s="2"/>
      <c r="U532" s="2"/>
      <c r="V532" s="2"/>
      <c r="W532" s="2"/>
      <c r="X532" s="2"/>
      <c r="Y532" s="2"/>
      <c r="Z532" s="2"/>
      <c r="AA532" s="2"/>
    </row>
    <row r="533">
      <c r="A533" s="12" t="s">
        <v>9757</v>
      </c>
      <c r="F533" s="18"/>
      <c r="G533" s="2"/>
      <c r="H533" s="2"/>
      <c r="I533" s="2"/>
      <c r="J533" s="2"/>
      <c r="K533" s="2"/>
      <c r="L533" s="2"/>
      <c r="M533" s="2"/>
      <c r="N533" s="2"/>
      <c r="O533" s="2"/>
      <c r="P533" s="2"/>
      <c r="Q533" s="2"/>
      <c r="R533" s="2"/>
      <c r="S533" s="2"/>
      <c r="T533" s="2"/>
      <c r="U533" s="2"/>
      <c r="V533" s="2"/>
      <c r="W533" s="2"/>
      <c r="X533" s="2"/>
      <c r="Y533" s="2"/>
      <c r="Z533" s="2"/>
      <c r="AA533" s="2"/>
    </row>
    <row r="534">
      <c r="A534" s="12" t="s">
        <v>9758</v>
      </c>
      <c r="G534" s="2"/>
      <c r="H534" s="2"/>
      <c r="I534" s="2"/>
      <c r="J534" s="2"/>
      <c r="K534" s="2"/>
      <c r="L534" s="2"/>
      <c r="M534" s="2"/>
      <c r="N534" s="2"/>
      <c r="O534" s="2"/>
      <c r="P534" s="2"/>
      <c r="Q534" s="2"/>
      <c r="R534" s="2"/>
      <c r="S534" s="2"/>
      <c r="T534" s="2"/>
      <c r="U534" s="2"/>
      <c r="V534" s="2"/>
      <c r="W534" s="2"/>
      <c r="X534" s="2"/>
      <c r="Y534" s="2"/>
      <c r="Z534" s="2"/>
      <c r="AA534" s="2"/>
    </row>
    <row r="535">
      <c r="A535" s="12"/>
      <c r="G535" s="2"/>
      <c r="H535" s="2"/>
      <c r="I535" s="2"/>
      <c r="J535" s="2"/>
      <c r="K535" s="2"/>
      <c r="L535" s="2"/>
      <c r="M535" s="2"/>
      <c r="N535" s="2"/>
      <c r="O535" s="2"/>
      <c r="P535" s="2"/>
      <c r="Q535" s="2"/>
      <c r="R535" s="2"/>
      <c r="S535" s="2"/>
      <c r="T535" s="2"/>
      <c r="U535" s="2"/>
      <c r="V535" s="2"/>
      <c r="W535" s="2"/>
      <c r="X535" s="2"/>
      <c r="Y535" s="2"/>
      <c r="Z535" s="2"/>
      <c r="AA535" s="2"/>
    </row>
    <row r="536">
      <c r="A536" s="12"/>
      <c r="B536" s="12"/>
      <c r="C536" s="12"/>
      <c r="D536" s="12"/>
      <c r="E536" s="12"/>
      <c r="F536" s="12"/>
      <c r="G536" s="2"/>
      <c r="H536" s="2"/>
      <c r="I536" s="2"/>
      <c r="J536" s="2"/>
      <c r="K536" s="2"/>
      <c r="L536" s="2"/>
      <c r="M536" s="2"/>
      <c r="N536" s="2"/>
      <c r="O536" s="2"/>
      <c r="P536" s="2"/>
      <c r="Q536" s="2"/>
      <c r="R536" s="2"/>
      <c r="S536" s="2"/>
      <c r="T536" s="2"/>
      <c r="U536" s="2"/>
      <c r="V536" s="2"/>
      <c r="W536" s="2"/>
      <c r="X536" s="2"/>
      <c r="Y536" s="2"/>
      <c r="Z536" s="2"/>
      <c r="AA536" s="2"/>
    </row>
    <row r="537">
      <c r="A537" s="12"/>
      <c r="B537" s="12"/>
      <c r="C537" s="12"/>
      <c r="D537" s="12"/>
      <c r="E537" s="12"/>
      <c r="F537" s="12"/>
      <c r="G537" s="2"/>
      <c r="H537" s="2"/>
      <c r="I537" s="2"/>
      <c r="J537" s="2"/>
      <c r="K537" s="2"/>
      <c r="L537" s="2"/>
      <c r="M537" s="2"/>
      <c r="N537" s="2"/>
      <c r="O537" s="2"/>
      <c r="P537" s="2"/>
      <c r="Q537" s="2"/>
      <c r="R537" s="2"/>
      <c r="S537" s="2"/>
      <c r="T537" s="2"/>
      <c r="U537" s="2"/>
      <c r="V537" s="2"/>
      <c r="W537" s="2"/>
      <c r="X537" s="2"/>
      <c r="Y537" s="2"/>
      <c r="Z537" s="2"/>
      <c r="AA537" s="2"/>
    </row>
    <row r="538">
      <c r="A538" s="12"/>
      <c r="B538" s="12"/>
      <c r="C538" s="12"/>
      <c r="D538" s="12"/>
      <c r="E538" s="12"/>
      <c r="F538" s="12"/>
      <c r="G538" s="2"/>
      <c r="H538" s="2"/>
      <c r="I538" s="2"/>
      <c r="J538" s="2"/>
      <c r="K538" s="2"/>
      <c r="L538" s="2"/>
      <c r="M538" s="2"/>
      <c r="N538" s="2"/>
      <c r="O538" s="2"/>
      <c r="P538" s="2"/>
      <c r="Q538" s="2"/>
      <c r="R538" s="2"/>
      <c r="S538" s="2"/>
      <c r="T538" s="2"/>
      <c r="U538" s="2"/>
      <c r="V538" s="2"/>
      <c r="W538" s="2"/>
      <c r="X538" s="2"/>
      <c r="Y538" s="2"/>
      <c r="Z538" s="2"/>
      <c r="AA538" s="2"/>
    </row>
  </sheetData>
  <mergeCells count="13">
    <mergeCell ref="A530:E530"/>
    <mergeCell ref="A531:E531"/>
    <mergeCell ref="A532:E532"/>
    <mergeCell ref="A533:E533"/>
    <mergeCell ref="A534:F534"/>
    <mergeCell ref="A535:F535"/>
    <mergeCell ref="A1:F1"/>
    <mergeCell ref="A2:F2"/>
    <mergeCell ref="A15:F15"/>
    <mergeCell ref="A367:E367"/>
    <mergeCell ref="A431:E431"/>
    <mergeCell ref="A528:E528"/>
    <mergeCell ref="A529:E529"/>
  </mergeCells>
  <hyperlinks>
    <hyperlink r:id="rId1" ref="A532"/>
  </hyperlinks>
  <drawing r:id="rId2"/>
</worksheet>
</file>