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abbott\Desktop\"/>
    </mc:Choice>
  </mc:AlternateContent>
  <bookViews>
    <workbookView xWindow="0" yWindow="0" windowWidth="21600" windowHeight="9735" tabRatio="879"/>
  </bookViews>
  <sheets>
    <sheet name="Data Entry" sheetId="1" r:id="rId1"/>
    <sheet name="Options and Things to Try" sheetId="2" r:id="rId2"/>
    <sheet name="Explore" sheetId="3" r:id="rId3"/>
    <sheet name="Printouts" sheetId="9" r:id="rId4"/>
    <sheet name="Absences" sheetId="7" state="hidden" r:id="rId5"/>
  </sheets>
  <definedNames>
    <definedName name="ColorTable">'Options and Things to Try'!$B$36</definedName>
    <definedName name="Greenthreshold">'Options and Things to Try'!$B$37</definedName>
    <definedName name="PercentageBreakdownCells">'Data Entry'!$M$4:$R$4</definedName>
    <definedName name="_xlnm.Print_Area" localSheetId="0">'Data Entry'!$A$1:$R$21</definedName>
    <definedName name="_xlnm.Print_Area" localSheetId="3">Printouts!$C$2:$Q$38</definedName>
    <definedName name="_xlnm.Print_Titles" localSheetId="0">'Data Entry'!$A:$K,'Data Entry'!$1:$11</definedName>
    <definedName name="_xlnm.Print_Titles" localSheetId="3">Printouts!$C:$G,Printouts!$16:$16</definedName>
    <definedName name="Yellowthreshold">'Options and Things to Try'!$B$38</definedName>
  </definedNames>
  <calcPr calcId="152511"/>
  <pivotCaches>
    <pivotCache cacheId="0"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8" i="2" l="1"/>
  <c r="D37" i="2"/>
  <c r="D36" i="2"/>
  <c r="A5" i="1" l="1"/>
  <c r="I15" i="9" l="1"/>
  <c r="J15" i="9" s="1"/>
  <c r="K15" i="9" s="1"/>
  <c r="L15" i="9" s="1"/>
  <c r="M15" i="9" s="1"/>
  <c r="N15" i="9" s="1"/>
  <c r="O15" i="9" s="1"/>
  <c r="P15" i="9" s="1"/>
  <c r="Q15" i="9" s="1"/>
  <c r="B30" i="9"/>
  <c r="B31" i="9" s="1"/>
  <c r="B32" i="9" s="1"/>
  <c r="B33" i="9" s="1"/>
  <c r="B34" i="9" s="1"/>
  <c r="B35" i="9" s="1"/>
  <c r="B36" i="9" s="1"/>
  <c r="B37" i="9" s="1"/>
  <c r="B38" i="9" s="1"/>
  <c r="B23" i="9"/>
  <c r="B24" i="9" s="1"/>
  <c r="B25" i="9" s="1"/>
  <c r="B26" i="9" s="1"/>
  <c r="B27" i="9" s="1"/>
  <c r="D51" i="2" l="1"/>
  <c r="B7" i="1" l="1"/>
  <c r="B8" i="1"/>
  <c r="B9" i="1"/>
  <c r="B6" i="1"/>
  <c r="M12" i="1" l="1"/>
  <c r="M13" i="1"/>
  <c r="M14" i="1"/>
  <c r="M15" i="1"/>
  <c r="M16" i="1"/>
  <c r="M17" i="1"/>
  <c r="M18" i="1"/>
  <c r="M19" i="1"/>
  <c r="M20" i="1"/>
  <c r="M21" i="1"/>
  <c r="M3" i="1" l="1"/>
  <c r="C38" i="9"/>
  <c r="D38" i="9"/>
  <c r="E38" i="9"/>
  <c r="F38" i="9"/>
  <c r="G38" i="9"/>
  <c r="H38" i="9"/>
  <c r="I38" i="9"/>
  <c r="J38" i="9"/>
  <c r="K38" i="9"/>
  <c r="L38" i="9"/>
  <c r="M38" i="9"/>
  <c r="N38" i="9"/>
  <c r="O38" i="9"/>
  <c r="P38" i="9"/>
  <c r="Q38" i="9"/>
  <c r="C37" i="9"/>
  <c r="D37" i="9"/>
  <c r="E37" i="9"/>
  <c r="F37" i="9"/>
  <c r="G37" i="9"/>
  <c r="H37" i="9"/>
  <c r="I37" i="9"/>
  <c r="J37" i="9"/>
  <c r="K37" i="9"/>
  <c r="L37" i="9"/>
  <c r="M37" i="9"/>
  <c r="N37" i="9"/>
  <c r="O37" i="9"/>
  <c r="P37" i="9"/>
  <c r="Q37" i="9"/>
  <c r="C23" i="9"/>
  <c r="C24" i="9"/>
  <c r="C25" i="9"/>
  <c r="C26" i="9"/>
  <c r="C27" i="9"/>
  <c r="C22" i="9"/>
  <c r="C6" i="9"/>
  <c r="G23" i="9"/>
  <c r="G24" i="9"/>
  <c r="G25" i="9"/>
  <c r="G26" i="9"/>
  <c r="G27" i="9"/>
  <c r="G22" i="9"/>
  <c r="H16" i="9"/>
  <c r="I16" i="9"/>
  <c r="J16" i="9"/>
  <c r="K16" i="9"/>
  <c r="L16" i="9"/>
  <c r="M16" i="9"/>
  <c r="N16" i="9"/>
  <c r="O16" i="9"/>
  <c r="P16" i="9"/>
  <c r="Q16" i="9"/>
  <c r="C17" i="9"/>
  <c r="C18" i="9"/>
  <c r="C19" i="9"/>
  <c r="C29" i="9"/>
  <c r="D29" i="9"/>
  <c r="E29" i="9"/>
  <c r="F29" i="9"/>
  <c r="G29" i="9"/>
  <c r="C30" i="9"/>
  <c r="D30" i="9"/>
  <c r="E30" i="9"/>
  <c r="F30" i="9"/>
  <c r="G30" i="9"/>
  <c r="H30" i="9"/>
  <c r="I30" i="9"/>
  <c r="J30" i="9"/>
  <c r="K30" i="9"/>
  <c r="L30" i="9"/>
  <c r="M30" i="9"/>
  <c r="N30" i="9"/>
  <c r="O30" i="9"/>
  <c r="P30" i="9"/>
  <c r="Q30" i="9"/>
  <c r="C31" i="9"/>
  <c r="D31" i="9"/>
  <c r="E31" i="9"/>
  <c r="F31" i="9"/>
  <c r="G31" i="9"/>
  <c r="H31" i="9"/>
  <c r="I31" i="9"/>
  <c r="J31" i="9"/>
  <c r="K31" i="9"/>
  <c r="L31" i="9"/>
  <c r="M31" i="9"/>
  <c r="N31" i="9"/>
  <c r="O31" i="9"/>
  <c r="P31" i="9"/>
  <c r="Q31" i="9"/>
  <c r="C32" i="9"/>
  <c r="D32" i="9"/>
  <c r="E32" i="9"/>
  <c r="F32" i="9"/>
  <c r="G32" i="9"/>
  <c r="H32" i="9"/>
  <c r="I32" i="9"/>
  <c r="J32" i="9"/>
  <c r="K32" i="9"/>
  <c r="L32" i="9"/>
  <c r="M32" i="9"/>
  <c r="N32" i="9"/>
  <c r="O32" i="9"/>
  <c r="P32" i="9"/>
  <c r="Q32" i="9"/>
  <c r="C33" i="9"/>
  <c r="D33" i="9"/>
  <c r="E33" i="9"/>
  <c r="F33" i="9"/>
  <c r="G33" i="9"/>
  <c r="H33" i="9"/>
  <c r="I33" i="9"/>
  <c r="J33" i="9"/>
  <c r="K33" i="9"/>
  <c r="L33" i="9"/>
  <c r="M33" i="9"/>
  <c r="N33" i="9"/>
  <c r="O33" i="9"/>
  <c r="P33" i="9"/>
  <c r="Q33" i="9"/>
  <c r="C34" i="9"/>
  <c r="D34" i="9"/>
  <c r="E34" i="9"/>
  <c r="F34" i="9"/>
  <c r="G34" i="9"/>
  <c r="H34" i="9"/>
  <c r="I34" i="9"/>
  <c r="J34" i="9"/>
  <c r="K34" i="9"/>
  <c r="L34" i="9"/>
  <c r="M34" i="9"/>
  <c r="N34" i="9"/>
  <c r="O34" i="9"/>
  <c r="P34" i="9"/>
  <c r="Q34" i="9"/>
  <c r="C35" i="9"/>
  <c r="D35" i="9"/>
  <c r="E35" i="9"/>
  <c r="F35" i="9"/>
  <c r="G35" i="9"/>
  <c r="H35" i="9"/>
  <c r="I35" i="9"/>
  <c r="J35" i="9"/>
  <c r="K35" i="9"/>
  <c r="L35" i="9"/>
  <c r="M35" i="9"/>
  <c r="N35" i="9"/>
  <c r="O35" i="9"/>
  <c r="P35" i="9"/>
  <c r="Q35" i="9"/>
  <c r="C36" i="9"/>
  <c r="D36" i="9"/>
  <c r="E36" i="9"/>
  <c r="F36" i="9"/>
  <c r="G36" i="9"/>
  <c r="H36" i="9"/>
  <c r="I36" i="9"/>
  <c r="J36" i="9"/>
  <c r="K36" i="9"/>
  <c r="L36" i="9"/>
  <c r="M36" i="9"/>
  <c r="N36" i="9"/>
  <c r="O36" i="9"/>
  <c r="P36" i="9"/>
  <c r="Q36" i="9"/>
  <c r="D52" i="2" l="1"/>
  <c r="D54" i="2"/>
  <c r="C54" i="2"/>
  <c r="C52" i="2"/>
  <c r="C44" i="2"/>
  <c r="C45" i="2"/>
  <c r="C46" i="2"/>
  <c r="C47" i="2"/>
  <c r="C48" i="2"/>
  <c r="C49" i="2"/>
  <c r="C50" i="2"/>
  <c r="C51" i="2"/>
  <c r="C53" i="2"/>
  <c r="C43" i="2"/>
  <c r="D53" i="2"/>
  <c r="D50" i="2"/>
  <c r="D49" i="2"/>
  <c r="D48" i="2"/>
  <c r="D47" i="2"/>
  <c r="D46" i="2"/>
  <c r="D45" i="2"/>
  <c r="D44" i="2"/>
  <c r="D43" i="2"/>
  <c r="C3" i="7" l="1"/>
  <c r="C4" i="7"/>
  <c r="C5" i="7"/>
  <c r="C6" i="7"/>
  <c r="C7" i="7"/>
  <c r="C8" i="7"/>
  <c r="C9" i="7"/>
  <c r="C10" i="7"/>
  <c r="C11" i="7"/>
  <c r="B3" i="7"/>
  <c r="B4" i="7"/>
  <c r="B5" i="7"/>
  <c r="B6" i="7"/>
  <c r="B7" i="7"/>
  <c r="B8" i="7"/>
  <c r="B9" i="7"/>
  <c r="B10" i="7"/>
  <c r="B11" i="7"/>
  <c r="C2" i="7"/>
  <c r="B2" i="7"/>
  <c r="S6" i="1" l="1"/>
  <c r="T6" i="1"/>
  <c r="U6" i="1"/>
  <c r="V6" i="1"/>
  <c r="W6" i="1"/>
  <c r="X6" i="1"/>
  <c r="Y6" i="1"/>
  <c r="Z6" i="1"/>
  <c r="AA6" i="1"/>
  <c r="AB6" i="1"/>
  <c r="AC6" i="1"/>
  <c r="AD6" i="1"/>
  <c r="AE6" i="1"/>
  <c r="AF6" i="1"/>
  <c r="AG6" i="1"/>
  <c r="AH6" i="1"/>
  <c r="AI6" i="1"/>
  <c r="AJ6" i="1"/>
  <c r="AK6" i="1"/>
  <c r="AL6" i="1"/>
  <c r="AM6" i="1"/>
  <c r="AN6" i="1"/>
  <c r="AO6" i="1"/>
  <c r="AP6" i="1"/>
  <c r="AQ6" i="1"/>
  <c r="AR6" i="1"/>
  <c r="AS6" i="1"/>
  <c r="AT6" i="1"/>
  <c r="AU6" i="1"/>
  <c r="AV6" i="1"/>
  <c r="S7" i="1"/>
  <c r="T7" i="1"/>
  <c r="U7" i="1"/>
  <c r="V7" i="1"/>
  <c r="W7" i="1"/>
  <c r="X7" i="1"/>
  <c r="Y7" i="1"/>
  <c r="Z7" i="1"/>
  <c r="AA7" i="1"/>
  <c r="AB7" i="1"/>
  <c r="AC7" i="1"/>
  <c r="AD7" i="1"/>
  <c r="AE7" i="1"/>
  <c r="AF7" i="1"/>
  <c r="AG7" i="1"/>
  <c r="AH7" i="1"/>
  <c r="AI7" i="1"/>
  <c r="AJ7" i="1"/>
  <c r="AK7" i="1"/>
  <c r="AL7" i="1"/>
  <c r="AM7" i="1"/>
  <c r="AN7" i="1"/>
  <c r="AO7" i="1"/>
  <c r="AP7" i="1"/>
  <c r="AQ7" i="1"/>
  <c r="AR7" i="1"/>
  <c r="AS7" i="1"/>
  <c r="AT7" i="1"/>
  <c r="AU7" i="1"/>
  <c r="AV7" i="1"/>
  <c r="S8" i="1"/>
  <c r="T8" i="1"/>
  <c r="U8" i="1"/>
  <c r="V8" i="1"/>
  <c r="W8" i="1"/>
  <c r="X8" i="1"/>
  <c r="Y8" i="1"/>
  <c r="Z8" i="1"/>
  <c r="AA8" i="1"/>
  <c r="AB8" i="1"/>
  <c r="AC8" i="1"/>
  <c r="AD8" i="1"/>
  <c r="AE8" i="1"/>
  <c r="AF8" i="1"/>
  <c r="AG8" i="1"/>
  <c r="AH8" i="1"/>
  <c r="AI8" i="1"/>
  <c r="AJ8" i="1"/>
  <c r="AK8" i="1"/>
  <c r="AL8" i="1"/>
  <c r="AM8" i="1"/>
  <c r="AN8" i="1"/>
  <c r="AO8" i="1"/>
  <c r="AP8" i="1"/>
  <c r="AQ8" i="1"/>
  <c r="AR8" i="1"/>
  <c r="AS8" i="1"/>
  <c r="AT8" i="1"/>
  <c r="AU8" i="1"/>
  <c r="AV8" i="1"/>
  <c r="S9" i="1"/>
  <c r="T9" i="1"/>
  <c r="U9" i="1"/>
  <c r="V9" i="1"/>
  <c r="W9" i="1"/>
  <c r="X9" i="1"/>
  <c r="Y9" i="1"/>
  <c r="Z9" i="1"/>
  <c r="AA9" i="1"/>
  <c r="AB9" i="1"/>
  <c r="AC9" i="1"/>
  <c r="AD9" i="1"/>
  <c r="AE9" i="1"/>
  <c r="AF9" i="1"/>
  <c r="AG9" i="1"/>
  <c r="AH9" i="1"/>
  <c r="AI9" i="1"/>
  <c r="AJ9" i="1"/>
  <c r="AK9" i="1"/>
  <c r="AL9" i="1"/>
  <c r="AM9" i="1"/>
  <c r="AN9" i="1"/>
  <c r="AO9" i="1"/>
  <c r="AP9" i="1"/>
  <c r="AQ9" i="1"/>
  <c r="AR9" i="1"/>
  <c r="AS9" i="1"/>
  <c r="AT9" i="1"/>
  <c r="AU9" i="1"/>
  <c r="AV9" i="1"/>
  <c r="S10" i="1"/>
  <c r="T10" i="1"/>
  <c r="U10" i="1"/>
  <c r="V10" i="1"/>
  <c r="W10" i="1"/>
  <c r="X10" i="1"/>
  <c r="Y10" i="1"/>
  <c r="Z10" i="1"/>
  <c r="AA10" i="1"/>
  <c r="AB10" i="1"/>
  <c r="AC10" i="1"/>
  <c r="AD10" i="1"/>
  <c r="AE10" i="1"/>
  <c r="AF10" i="1"/>
  <c r="AG10" i="1"/>
  <c r="AH10" i="1"/>
  <c r="AI10" i="1"/>
  <c r="AJ10" i="1"/>
  <c r="AK10" i="1"/>
  <c r="AL10" i="1"/>
  <c r="AM10" i="1"/>
  <c r="AN10" i="1"/>
  <c r="AO10" i="1"/>
  <c r="AP10" i="1"/>
  <c r="AQ10" i="1"/>
  <c r="AR10" i="1"/>
  <c r="AS10" i="1"/>
  <c r="AT10" i="1"/>
  <c r="AU10" i="1"/>
  <c r="AV10" i="1"/>
  <c r="C36" i="2" l="1"/>
  <c r="I12" i="1" l="1"/>
  <c r="H18" i="9" s="1"/>
  <c r="I16" i="1"/>
  <c r="L18" i="9" s="1"/>
  <c r="I17" i="1"/>
  <c r="M18" i="9" s="1"/>
  <c r="I18" i="1"/>
  <c r="N18" i="9" s="1"/>
  <c r="I19" i="1"/>
  <c r="O18" i="9" s="1"/>
  <c r="I20" i="1"/>
  <c r="P18" i="9" s="1"/>
  <c r="I21" i="1"/>
  <c r="Q18" i="9" s="1"/>
  <c r="H16" i="1"/>
  <c r="L17" i="9" s="1"/>
  <c r="H17" i="1"/>
  <c r="M17" i="9" s="1"/>
  <c r="H18" i="1"/>
  <c r="N17" i="9" s="1"/>
  <c r="H19" i="1"/>
  <c r="O17" i="9" s="1"/>
  <c r="H20" i="1"/>
  <c r="P17" i="9" s="1"/>
  <c r="H21" i="1"/>
  <c r="Q17" i="9" s="1"/>
  <c r="H12" i="1"/>
  <c r="H17" i="9" s="1"/>
  <c r="H13" i="1"/>
  <c r="I17" i="9" s="1"/>
  <c r="I13" i="1"/>
  <c r="I18" i="9" s="1"/>
  <c r="H14" i="1"/>
  <c r="J17" i="9" s="1"/>
  <c r="I14" i="1"/>
  <c r="J18" i="9" s="1"/>
  <c r="H15" i="1"/>
  <c r="K17" i="9" s="1"/>
  <c r="I15" i="1"/>
  <c r="K18" i="9" s="1"/>
  <c r="R21" i="1" l="1"/>
  <c r="Q21" i="1"/>
  <c r="P21" i="1"/>
  <c r="O21" i="1"/>
  <c r="Q24" i="9" s="1"/>
  <c r="N21" i="1"/>
  <c r="K21" i="1" s="1"/>
  <c r="R20" i="1"/>
  <c r="Q20" i="1"/>
  <c r="P26" i="9" s="1"/>
  <c r="P20" i="1"/>
  <c r="O20" i="1"/>
  <c r="N20" i="1"/>
  <c r="R19" i="1"/>
  <c r="Q19" i="1"/>
  <c r="P19" i="1"/>
  <c r="O19" i="1"/>
  <c r="O24" i="9" s="1"/>
  <c r="N19" i="1"/>
  <c r="R18" i="1"/>
  <c r="Q18" i="1"/>
  <c r="N26" i="9" s="1"/>
  <c r="P18" i="1"/>
  <c r="O18" i="1"/>
  <c r="N18" i="1"/>
  <c r="R17" i="1"/>
  <c r="Q17" i="1"/>
  <c r="P17" i="1"/>
  <c r="O17" i="1"/>
  <c r="M24" i="9" s="1"/>
  <c r="N17" i="1"/>
  <c r="K17" i="1" s="1"/>
  <c r="R16" i="1"/>
  <c r="Q16" i="1"/>
  <c r="L26" i="9" s="1"/>
  <c r="P16" i="1"/>
  <c r="O16" i="1"/>
  <c r="N16" i="1"/>
  <c r="R15" i="1"/>
  <c r="Q15" i="1"/>
  <c r="P15" i="1"/>
  <c r="O15" i="1"/>
  <c r="K24" i="9" s="1"/>
  <c r="N15" i="1"/>
  <c r="R14" i="1"/>
  <c r="Q14" i="1"/>
  <c r="J26" i="9" s="1"/>
  <c r="P14" i="1"/>
  <c r="O14" i="1"/>
  <c r="N14" i="1"/>
  <c r="R13" i="1"/>
  <c r="Q13" i="1"/>
  <c r="P13" i="1"/>
  <c r="O13" i="1"/>
  <c r="I24" i="9" s="1"/>
  <c r="N13" i="1"/>
  <c r="K13" i="1" s="1"/>
  <c r="R12" i="1"/>
  <c r="Q12" i="1"/>
  <c r="H26" i="9" s="1"/>
  <c r="P12" i="1"/>
  <c r="O12" i="1"/>
  <c r="N12" i="1"/>
  <c r="K15" i="1" l="1"/>
  <c r="K19" i="1"/>
  <c r="K14" i="1"/>
  <c r="K18" i="1"/>
  <c r="K12" i="1"/>
  <c r="K20" i="1"/>
  <c r="K16" i="1"/>
  <c r="H23" i="9"/>
  <c r="H27" i="9"/>
  <c r="H29" i="9"/>
  <c r="I25" i="9"/>
  <c r="J23" i="9"/>
  <c r="J27" i="9"/>
  <c r="J29" i="9"/>
  <c r="K25" i="9"/>
  <c r="L23" i="9"/>
  <c r="L27" i="9"/>
  <c r="L29" i="9"/>
  <c r="M25" i="9"/>
  <c r="N23" i="9"/>
  <c r="N27" i="9"/>
  <c r="N29" i="9"/>
  <c r="O25" i="9"/>
  <c r="P23" i="9"/>
  <c r="P27" i="9"/>
  <c r="P29" i="9"/>
  <c r="Q25" i="9"/>
  <c r="H24" i="9"/>
  <c r="I26" i="9"/>
  <c r="J24" i="9"/>
  <c r="K26" i="9"/>
  <c r="L24" i="9"/>
  <c r="M26" i="9"/>
  <c r="N24" i="9"/>
  <c r="O26" i="9"/>
  <c r="P24" i="9"/>
  <c r="Q26" i="9"/>
  <c r="H25" i="9"/>
  <c r="I23" i="9"/>
  <c r="I27" i="9"/>
  <c r="I29" i="9"/>
  <c r="J25" i="9"/>
  <c r="K23" i="9"/>
  <c r="K27" i="9"/>
  <c r="K29" i="9"/>
  <c r="L25" i="9"/>
  <c r="M23" i="9"/>
  <c r="M27" i="9"/>
  <c r="M29" i="9"/>
  <c r="N25" i="9"/>
  <c r="O23" i="9"/>
  <c r="O27" i="9"/>
  <c r="O29" i="9"/>
  <c r="P25" i="9"/>
  <c r="Q23" i="9"/>
  <c r="Q27" i="9"/>
  <c r="Q29" i="9"/>
  <c r="M9" i="1"/>
  <c r="M8" i="1"/>
  <c r="M7" i="1"/>
  <c r="M10" i="1"/>
  <c r="M6" i="1"/>
  <c r="Q9" i="1"/>
  <c r="Q6" i="1"/>
  <c r="Q10" i="1"/>
  <c r="Q7" i="1"/>
  <c r="Q8" i="1"/>
  <c r="N8" i="1"/>
  <c r="N9" i="1"/>
  <c r="N6" i="1"/>
  <c r="N10" i="1"/>
  <c r="N7" i="1"/>
  <c r="R8" i="1"/>
  <c r="R9" i="1"/>
  <c r="R6" i="1"/>
  <c r="R10" i="1"/>
  <c r="R7" i="1"/>
  <c r="O7" i="1"/>
  <c r="O8" i="1"/>
  <c r="O9" i="1"/>
  <c r="O6" i="1"/>
  <c r="O10" i="1"/>
  <c r="P6" i="1"/>
  <c r="P10" i="1"/>
  <c r="P7" i="1"/>
  <c r="P8" i="1"/>
  <c r="P9" i="1"/>
  <c r="O19" i="9" l="1"/>
  <c r="L19" i="1"/>
  <c r="L19" i="9"/>
  <c r="L16" i="1"/>
  <c r="M19" i="9"/>
  <c r="L17" i="1"/>
  <c r="J19" i="9"/>
  <c r="L14" i="1"/>
  <c r="K19" i="9"/>
  <c r="L15" i="1"/>
  <c r="H19" i="9"/>
  <c r="L12" i="1"/>
  <c r="P19" i="9"/>
  <c r="L20" i="1"/>
  <c r="Q19" i="9"/>
  <c r="L21" i="1"/>
  <c r="I19" i="9"/>
  <c r="L13" i="1"/>
  <c r="N19" i="9"/>
  <c r="L18" i="1"/>
  <c r="K10" i="1"/>
  <c r="K6" i="1"/>
  <c r="K9" i="1"/>
  <c r="K8" i="1"/>
  <c r="K7" i="1"/>
  <c r="C20" i="2" l="1"/>
  <c r="C24" i="2"/>
  <c r="C28" i="2"/>
  <c r="C32" i="2"/>
  <c r="C21" i="2"/>
  <c r="C25" i="2"/>
  <c r="C29" i="2"/>
  <c r="C22" i="2"/>
  <c r="C26" i="2"/>
  <c r="C30" i="2"/>
  <c r="C23" i="2"/>
  <c r="C27" i="2"/>
  <c r="C31" i="2"/>
  <c r="I22" i="9"/>
  <c r="I20" i="9"/>
  <c r="P22" i="9"/>
  <c r="P20" i="9"/>
  <c r="K22" i="9"/>
  <c r="K20" i="9"/>
  <c r="M22" i="9"/>
  <c r="M20" i="9"/>
  <c r="O22" i="9"/>
  <c r="O20" i="9"/>
  <c r="N22" i="9"/>
  <c r="N20" i="9"/>
  <c r="Q22" i="9"/>
  <c r="Q20" i="9"/>
  <c r="H22" i="9"/>
  <c r="H20" i="9"/>
  <c r="J22" i="9"/>
  <c r="J20" i="9"/>
  <c r="L22" i="9"/>
  <c r="L20" i="9"/>
</calcChain>
</file>

<file path=xl/sharedStrings.xml><?xml version="1.0" encoding="utf-8"?>
<sst xmlns="http://schemas.openxmlformats.org/spreadsheetml/2006/main" count="559" uniqueCount="505">
  <si>
    <t>Assessment Type</t>
  </si>
  <si>
    <t>Points</t>
  </si>
  <si>
    <t>Weight</t>
  </si>
  <si>
    <t>Class</t>
  </si>
  <si>
    <t>Name</t>
  </si>
  <si>
    <t>Race</t>
  </si>
  <si>
    <t>Gender</t>
  </si>
  <si>
    <t>Age</t>
  </si>
  <si>
    <t>Repeated Grades</t>
  </si>
  <si>
    <t>Financial Status</t>
  </si>
  <si>
    <t>Absences</t>
  </si>
  <si>
    <t>Make your own categories</t>
  </si>
  <si>
    <t>Projects</t>
  </si>
  <si>
    <t>Assessment 2</t>
  </si>
  <si>
    <t>Assessment 3</t>
  </si>
  <si>
    <t>Assessment 4</t>
  </si>
  <si>
    <t>Assessment 5</t>
  </si>
  <si>
    <t>Assessment 6</t>
  </si>
  <si>
    <t>Assessment 7</t>
  </si>
  <si>
    <t>Assessment 8</t>
  </si>
  <si>
    <t>Assessment 9</t>
  </si>
  <si>
    <t>Assessment 10</t>
  </si>
  <si>
    <t>Assessment 11</t>
  </si>
  <si>
    <t>Assessment 12</t>
  </si>
  <si>
    <t>Assessment 13</t>
  </si>
  <si>
    <t>Assessment 14</t>
  </si>
  <si>
    <t>Assessment 15</t>
  </si>
  <si>
    <t>Assessment 16</t>
  </si>
  <si>
    <t>Assessment 17</t>
  </si>
  <si>
    <t>Assessment 18</t>
  </si>
  <si>
    <t>Assessment 19</t>
  </si>
  <si>
    <t>Assessment 20</t>
  </si>
  <si>
    <t>Assessment 21</t>
  </si>
  <si>
    <t>Assessment 22</t>
  </si>
  <si>
    <t>Assessment 23</t>
  </si>
  <si>
    <t>Assessment 24</t>
  </si>
  <si>
    <t>Assessment 25</t>
  </si>
  <si>
    <t>Student 1</t>
  </si>
  <si>
    <t>Student 2</t>
  </si>
  <si>
    <t>Student 3</t>
  </si>
  <si>
    <t>Excused</t>
  </si>
  <si>
    <t>Student 4</t>
  </si>
  <si>
    <t>Student 5</t>
  </si>
  <si>
    <t>Student 6</t>
  </si>
  <si>
    <t>Student 7</t>
  </si>
  <si>
    <t>Student 8</t>
  </si>
  <si>
    <t>Student 9</t>
  </si>
  <si>
    <t>Student 10</t>
  </si>
  <si>
    <t>Options and Things to Try</t>
  </si>
  <si>
    <t>For Coloring:</t>
  </si>
  <si>
    <t>Yes</t>
  </si>
  <si>
    <t>Things to Try:</t>
  </si>
  <si>
    <t>Set up autosave</t>
  </si>
  <si>
    <t>Add a total row</t>
  </si>
  <si>
    <t>Add demographics</t>
  </si>
  <si>
    <t>Filter and sort</t>
  </si>
  <si>
    <t>Change color scheme</t>
  </si>
  <si>
    <t>About</t>
  </si>
  <si>
    <t>Version</t>
  </si>
  <si>
    <t>http://web.mit.edu/jabbott/www/excelgradetracker.html</t>
  </si>
  <si>
    <t>Author</t>
  </si>
  <si>
    <t>Jonathan Abbott</t>
  </si>
  <si>
    <t>Row Labels</t>
  </si>
  <si>
    <t>Grand Total</t>
  </si>
  <si>
    <t>Grade Report</t>
  </si>
  <si>
    <t>[Your School]</t>
  </si>
  <si>
    <t>Teacher: [Your name]</t>
  </si>
  <si>
    <t>Class: [Your Class]</t>
  </si>
  <si>
    <t>Score</t>
  </si>
  <si>
    <t>a</t>
  </si>
  <si>
    <t>24-Aug</t>
  </si>
  <si>
    <t>23-Aug</t>
  </si>
  <si>
    <t>22-Aug</t>
  </si>
  <si>
    <t>21-Aug</t>
  </si>
  <si>
    <t>20-Aug</t>
  </si>
  <si>
    <t>19-Aug</t>
  </si>
  <si>
    <t>18-Aug</t>
  </si>
  <si>
    <t>17-Aug</t>
  </si>
  <si>
    <t>16-Aug</t>
  </si>
  <si>
    <t>15-Aug</t>
  </si>
  <si>
    <t>14-Aug</t>
  </si>
  <si>
    <t>13-Aug</t>
  </si>
  <si>
    <t>12-Aug</t>
  </si>
  <si>
    <t>11-Aug</t>
  </si>
  <si>
    <t>10-Aug</t>
  </si>
  <si>
    <t>9-Aug</t>
  </si>
  <si>
    <t>8-Aug</t>
  </si>
  <si>
    <t>7-Aug</t>
  </si>
  <si>
    <t>6-Aug</t>
  </si>
  <si>
    <t>5-Aug</t>
  </si>
  <si>
    <t>4-Aug</t>
  </si>
  <si>
    <t>3-Aug</t>
  </si>
  <si>
    <t>2-Aug</t>
  </si>
  <si>
    <t>1-Aug</t>
  </si>
  <si>
    <t>31-Jul</t>
  </si>
  <si>
    <t>30-Jul</t>
  </si>
  <si>
    <t>29-Jul</t>
  </si>
  <si>
    <t>28-Jul</t>
  </si>
  <si>
    <t>27-Jul</t>
  </si>
  <si>
    <t>26-Jul</t>
  </si>
  <si>
    <t>25-Jul</t>
  </si>
  <si>
    <t>24-Jul</t>
  </si>
  <si>
    <t>23-Jul</t>
  </si>
  <si>
    <t>22-Jul</t>
  </si>
  <si>
    <t>21-Jul</t>
  </si>
  <si>
    <t>20-Jul</t>
  </si>
  <si>
    <t>19-Jul</t>
  </si>
  <si>
    <t>18-Jul</t>
  </si>
  <si>
    <t>17-Jul</t>
  </si>
  <si>
    <t>16-Jul</t>
  </si>
  <si>
    <t>15-Jul</t>
  </si>
  <si>
    <t>14-Jul</t>
  </si>
  <si>
    <t>13-Jul</t>
  </si>
  <si>
    <t>12-Jul</t>
  </si>
  <si>
    <t>11-Jul</t>
  </si>
  <si>
    <t>10-Jul</t>
  </si>
  <si>
    <t>9-Jul</t>
  </si>
  <si>
    <t>8-Jul</t>
  </si>
  <si>
    <t>7-Jul</t>
  </si>
  <si>
    <t>6-Jul</t>
  </si>
  <si>
    <t>5-Jul</t>
  </si>
  <si>
    <t>4-Jul</t>
  </si>
  <si>
    <t>3-Jul</t>
  </si>
  <si>
    <t>2-Jul</t>
  </si>
  <si>
    <t>1-Jul</t>
  </si>
  <si>
    <t>30-Jun</t>
  </si>
  <si>
    <t>29-Jun</t>
  </si>
  <si>
    <t>28-Jun</t>
  </si>
  <si>
    <t>27-Jun</t>
  </si>
  <si>
    <t>26-Jun</t>
  </si>
  <si>
    <t>25-Jun</t>
  </si>
  <si>
    <t>24-Jun</t>
  </si>
  <si>
    <t>23-Jun</t>
  </si>
  <si>
    <t>22-Jun</t>
  </si>
  <si>
    <t>21-Jun</t>
  </si>
  <si>
    <t>20-Jun</t>
  </si>
  <si>
    <t>19-Jun</t>
  </si>
  <si>
    <t>18-Jun</t>
  </si>
  <si>
    <t>17-Jun</t>
  </si>
  <si>
    <t>16-Jun</t>
  </si>
  <si>
    <t>15-Jun</t>
  </si>
  <si>
    <t>14-Jun</t>
  </si>
  <si>
    <t>13-Jun</t>
  </si>
  <si>
    <t>12-Jun</t>
  </si>
  <si>
    <t>11-Jun</t>
  </si>
  <si>
    <t>10-Jun</t>
  </si>
  <si>
    <t>9-Jun</t>
  </si>
  <si>
    <t>8-Jun</t>
  </si>
  <si>
    <t>7-Jun</t>
  </si>
  <si>
    <t>6-Jun</t>
  </si>
  <si>
    <t>5-Jun</t>
  </si>
  <si>
    <t>4-Jun</t>
  </si>
  <si>
    <t>3-Jun</t>
  </si>
  <si>
    <t>2-Jun</t>
  </si>
  <si>
    <t>1-Jun</t>
  </si>
  <si>
    <t>31-May</t>
  </si>
  <si>
    <t>30-May</t>
  </si>
  <si>
    <t>29-May</t>
  </si>
  <si>
    <t>28-May</t>
  </si>
  <si>
    <t>27-May</t>
  </si>
  <si>
    <t>26-May</t>
  </si>
  <si>
    <t>25-May</t>
  </si>
  <si>
    <t>24-May</t>
  </si>
  <si>
    <t>23-May</t>
  </si>
  <si>
    <t>22-May</t>
  </si>
  <si>
    <t>21-May</t>
  </si>
  <si>
    <t>20-May</t>
  </si>
  <si>
    <t>19-May</t>
  </si>
  <si>
    <t>18-May</t>
  </si>
  <si>
    <t>17-May</t>
  </si>
  <si>
    <t>16-May</t>
  </si>
  <si>
    <t>15-May</t>
  </si>
  <si>
    <t>14-May</t>
  </si>
  <si>
    <t>13-May</t>
  </si>
  <si>
    <t>12-May</t>
  </si>
  <si>
    <t>11-May</t>
  </si>
  <si>
    <t>10-May</t>
  </si>
  <si>
    <t>9-May</t>
  </si>
  <si>
    <t>8-May</t>
  </si>
  <si>
    <t>7-May</t>
  </si>
  <si>
    <t>6-May</t>
  </si>
  <si>
    <t>5-May</t>
  </si>
  <si>
    <t>4-May</t>
  </si>
  <si>
    <t>3-May</t>
  </si>
  <si>
    <t>2-May</t>
  </si>
  <si>
    <t>1-May</t>
  </si>
  <si>
    <t>30-Apr</t>
  </si>
  <si>
    <t>29-Apr</t>
  </si>
  <si>
    <t>28-Apr</t>
  </si>
  <si>
    <t>27-Apr</t>
  </si>
  <si>
    <t>26-Apr</t>
  </si>
  <si>
    <t>25-Apr</t>
  </si>
  <si>
    <t>24-Apr</t>
  </si>
  <si>
    <t>23-Apr</t>
  </si>
  <si>
    <t>22-Apr</t>
  </si>
  <si>
    <t>21-Apr</t>
  </si>
  <si>
    <t>20-Apr</t>
  </si>
  <si>
    <t>19-Apr</t>
  </si>
  <si>
    <t>18-Apr</t>
  </si>
  <si>
    <t>17-Apr</t>
  </si>
  <si>
    <t>16-Apr</t>
  </si>
  <si>
    <t>15-Apr</t>
  </si>
  <si>
    <t>14-Apr</t>
  </si>
  <si>
    <t>13-Apr</t>
  </si>
  <si>
    <t>12-Apr</t>
  </si>
  <si>
    <t>11-Apr</t>
  </si>
  <si>
    <t>10-Apr</t>
  </si>
  <si>
    <t>9-Apr</t>
  </si>
  <si>
    <t>8-Apr</t>
  </si>
  <si>
    <t>7-Apr</t>
  </si>
  <si>
    <t>6-Apr</t>
  </si>
  <si>
    <t>5-Apr</t>
  </si>
  <si>
    <t>4-Apr</t>
  </si>
  <si>
    <t>3-Apr</t>
  </si>
  <si>
    <t>2-Apr</t>
  </si>
  <si>
    <t>1-Apr</t>
  </si>
  <si>
    <t>31-Mar</t>
  </si>
  <si>
    <t>30-Mar</t>
  </si>
  <si>
    <t>29-Mar</t>
  </si>
  <si>
    <t>28-Mar</t>
  </si>
  <si>
    <t>27-Mar</t>
  </si>
  <si>
    <t>26-Mar</t>
  </si>
  <si>
    <t>25-Mar</t>
  </si>
  <si>
    <t>24-Mar</t>
  </si>
  <si>
    <t>23-Mar</t>
  </si>
  <si>
    <t>22-Mar</t>
  </si>
  <si>
    <t>21-Mar</t>
  </si>
  <si>
    <t>20-Mar</t>
  </si>
  <si>
    <t>19-Mar</t>
  </si>
  <si>
    <t>18-Mar</t>
  </si>
  <si>
    <t>17-Mar</t>
  </si>
  <si>
    <t>16-Mar</t>
  </si>
  <si>
    <t>15-Mar</t>
  </si>
  <si>
    <t>14-Mar</t>
  </si>
  <si>
    <t>13-Mar</t>
  </si>
  <si>
    <t>12-Mar</t>
  </si>
  <si>
    <t>11-Mar</t>
  </si>
  <si>
    <t>10-Mar</t>
  </si>
  <si>
    <t>9-Mar</t>
  </si>
  <si>
    <t>8-Mar</t>
  </si>
  <si>
    <t>7-Mar</t>
  </si>
  <si>
    <t>6-Mar</t>
  </si>
  <si>
    <t>5-Mar</t>
  </si>
  <si>
    <t>4-Mar</t>
  </si>
  <si>
    <t>3-Mar</t>
  </si>
  <si>
    <t>2-Mar</t>
  </si>
  <si>
    <t>1-Mar</t>
  </si>
  <si>
    <t>28-Feb</t>
  </si>
  <si>
    <t>27-Feb</t>
  </si>
  <si>
    <t>26-Feb</t>
  </si>
  <si>
    <t>25-Feb</t>
  </si>
  <si>
    <t>24-Feb</t>
  </si>
  <si>
    <t>23-Feb</t>
  </si>
  <si>
    <t>22-Feb</t>
  </si>
  <si>
    <t>21-Feb</t>
  </si>
  <si>
    <t>20-Feb</t>
  </si>
  <si>
    <t>19-Feb</t>
  </si>
  <si>
    <t>18-Feb</t>
  </si>
  <si>
    <t>17-Feb</t>
  </si>
  <si>
    <t>16-Feb</t>
  </si>
  <si>
    <t>15-Feb</t>
  </si>
  <si>
    <t>14-Feb</t>
  </si>
  <si>
    <t>13-Feb</t>
  </si>
  <si>
    <t>12-Feb</t>
  </si>
  <si>
    <t>11-Feb</t>
  </si>
  <si>
    <t>10-Feb</t>
  </si>
  <si>
    <t>9-Feb</t>
  </si>
  <si>
    <t>8-Feb</t>
  </si>
  <si>
    <t>7-Feb</t>
  </si>
  <si>
    <t>6-Feb</t>
  </si>
  <si>
    <t>5-Feb</t>
  </si>
  <si>
    <t>4-Feb</t>
  </si>
  <si>
    <t>3-Feb</t>
  </si>
  <si>
    <t>2-Feb</t>
  </si>
  <si>
    <t>1-Feb</t>
  </si>
  <si>
    <t>31-Jan</t>
  </si>
  <si>
    <t>30-Jan</t>
  </si>
  <si>
    <t>29-Jan</t>
  </si>
  <si>
    <t>28-Jan</t>
  </si>
  <si>
    <t>27-Jan</t>
  </si>
  <si>
    <t>26-Jan</t>
  </si>
  <si>
    <t>25-Jan</t>
  </si>
  <si>
    <t>24-Jan</t>
  </si>
  <si>
    <t>23-Jan</t>
  </si>
  <si>
    <t>22-Jan</t>
  </si>
  <si>
    <t>21-Jan</t>
  </si>
  <si>
    <t>20-Jan</t>
  </si>
  <si>
    <t>19-Jan</t>
  </si>
  <si>
    <t>18-Jan</t>
  </si>
  <si>
    <t>17-Jan</t>
  </si>
  <si>
    <t>16-Jan</t>
  </si>
  <si>
    <t>15-Jan</t>
  </si>
  <si>
    <t>14-Jan</t>
  </si>
  <si>
    <t>13-Jan</t>
  </si>
  <si>
    <t>12-Jan</t>
  </si>
  <si>
    <t>11-Jan</t>
  </si>
  <si>
    <t>10-Jan</t>
  </si>
  <si>
    <t>9-Jan</t>
  </si>
  <si>
    <t>8-Jan</t>
  </si>
  <si>
    <t>7-Jan</t>
  </si>
  <si>
    <t>6-Jan</t>
  </si>
  <si>
    <t>5-Jan</t>
  </si>
  <si>
    <t>4-Jan</t>
  </si>
  <si>
    <t>3-Jan</t>
  </si>
  <si>
    <t>2-Jan</t>
  </si>
  <si>
    <t>1-Jan</t>
  </si>
  <si>
    <t>31-Dec</t>
  </si>
  <si>
    <t>30-Dec</t>
  </si>
  <si>
    <t>29-Dec</t>
  </si>
  <si>
    <t>28-Dec</t>
  </si>
  <si>
    <t>27-Dec</t>
  </si>
  <si>
    <t>26-Dec</t>
  </si>
  <si>
    <t>25-Dec</t>
  </si>
  <si>
    <t>24-Dec</t>
  </si>
  <si>
    <t>23-Dec</t>
  </si>
  <si>
    <t>22-Dec</t>
  </si>
  <si>
    <t>21-Dec</t>
  </si>
  <si>
    <t>20-Dec</t>
  </si>
  <si>
    <t>19-Dec</t>
  </si>
  <si>
    <t>18-Dec</t>
  </si>
  <si>
    <t>17-Dec</t>
  </si>
  <si>
    <t>16-Dec</t>
  </si>
  <si>
    <t>15-Dec</t>
  </si>
  <si>
    <t>14-Dec</t>
  </si>
  <si>
    <t>13-Dec</t>
  </si>
  <si>
    <t>12-Dec</t>
  </si>
  <si>
    <t>11-Dec</t>
  </si>
  <si>
    <t>10-Dec</t>
  </si>
  <si>
    <t>9-Dec</t>
  </si>
  <si>
    <t>8-Dec</t>
  </si>
  <si>
    <t>7-Dec</t>
  </si>
  <si>
    <t>6-Dec</t>
  </si>
  <si>
    <t>5-Dec</t>
  </si>
  <si>
    <t>4-Dec</t>
  </si>
  <si>
    <t>3-Dec</t>
  </si>
  <si>
    <t>2-Dec</t>
  </si>
  <si>
    <t>1-Dec</t>
  </si>
  <si>
    <t>30-Nov</t>
  </si>
  <si>
    <t>29-Nov</t>
  </si>
  <si>
    <t>28-Nov</t>
  </si>
  <si>
    <t>27-Nov</t>
  </si>
  <si>
    <t>26-Nov</t>
  </si>
  <si>
    <t>25-Nov</t>
  </si>
  <si>
    <t>24-Nov</t>
  </si>
  <si>
    <t>23-Nov</t>
  </si>
  <si>
    <t>22-Nov</t>
  </si>
  <si>
    <t>21-Nov</t>
  </si>
  <si>
    <t>20-Nov</t>
  </si>
  <si>
    <t>19-Nov</t>
  </si>
  <si>
    <t>18-Nov</t>
  </si>
  <si>
    <t>17-Nov</t>
  </si>
  <si>
    <t>16-Nov</t>
  </si>
  <si>
    <t>15-Nov</t>
  </si>
  <si>
    <t>14-Nov</t>
  </si>
  <si>
    <t>13-Nov</t>
  </si>
  <si>
    <t>12-Nov</t>
  </si>
  <si>
    <t>11-Nov</t>
  </si>
  <si>
    <t>10-Nov</t>
  </si>
  <si>
    <t>9-Nov</t>
  </si>
  <si>
    <t>8-Nov</t>
  </si>
  <si>
    <t>7-Nov</t>
  </si>
  <si>
    <t>6-Nov</t>
  </si>
  <si>
    <t>5-Nov</t>
  </si>
  <si>
    <t>4-Nov</t>
  </si>
  <si>
    <t>3-Nov</t>
  </si>
  <si>
    <t>2-Nov</t>
  </si>
  <si>
    <t>1-Nov</t>
  </si>
  <si>
    <t>31-Oct</t>
  </si>
  <si>
    <t>30-Oct</t>
  </si>
  <si>
    <t>29-Oct</t>
  </si>
  <si>
    <t>28-Oct</t>
  </si>
  <si>
    <t>27-Oct</t>
  </si>
  <si>
    <t>26-Oct</t>
  </si>
  <si>
    <t>25-Oct</t>
  </si>
  <si>
    <t>24-Oct</t>
  </si>
  <si>
    <t>23-Oct</t>
  </si>
  <si>
    <t>22-Oct</t>
  </si>
  <si>
    <t>21-Oct</t>
  </si>
  <si>
    <t>20-Oct</t>
  </si>
  <si>
    <t>19-Oct</t>
  </si>
  <si>
    <t>18-Oct</t>
  </si>
  <si>
    <t>17-Oct</t>
  </si>
  <si>
    <t>16-Oct</t>
  </si>
  <si>
    <t>15-Oct</t>
  </si>
  <si>
    <t>14-Oct</t>
  </si>
  <si>
    <t>13-Oct</t>
  </si>
  <si>
    <t>12-Oct</t>
  </si>
  <si>
    <t>11-Oct</t>
  </si>
  <si>
    <t>10-Oct</t>
  </si>
  <si>
    <t>9-Oct</t>
  </si>
  <si>
    <t>8-Oct</t>
  </si>
  <si>
    <t>7-Oct</t>
  </si>
  <si>
    <t>6-Oct</t>
  </si>
  <si>
    <t>5-Oct</t>
  </si>
  <si>
    <t>4-Oct</t>
  </si>
  <si>
    <t>3-Oct</t>
  </si>
  <si>
    <t>2-Oct</t>
  </si>
  <si>
    <t>1-Oct</t>
  </si>
  <si>
    <t>30-Sep</t>
  </si>
  <si>
    <t>29-Sep</t>
  </si>
  <si>
    <t>28-Sep</t>
  </si>
  <si>
    <t>27-Sep</t>
  </si>
  <si>
    <t>26-Sep</t>
  </si>
  <si>
    <t>25-Sep</t>
  </si>
  <si>
    <t>24-Sep</t>
  </si>
  <si>
    <t>23-Sep</t>
  </si>
  <si>
    <t>22-Sep</t>
  </si>
  <si>
    <t>21-Sep</t>
  </si>
  <si>
    <t>20-Sep</t>
  </si>
  <si>
    <t>19-Sep</t>
  </si>
  <si>
    <t>18-Sep</t>
  </si>
  <si>
    <t>17-Sep</t>
  </si>
  <si>
    <t>16-Sep</t>
  </si>
  <si>
    <t>15-Sep</t>
  </si>
  <si>
    <t>14-Sep</t>
  </si>
  <si>
    <t>13-Sep</t>
  </si>
  <si>
    <t>12-Sep</t>
  </si>
  <si>
    <t>11-Sep</t>
  </si>
  <si>
    <t>10-Sep</t>
  </si>
  <si>
    <t>9-Sep</t>
  </si>
  <si>
    <t>8-Sep</t>
  </si>
  <si>
    <t>7-Sep</t>
  </si>
  <si>
    <t>6-Sep</t>
  </si>
  <si>
    <t>5-Sep</t>
  </si>
  <si>
    <t>4-Sep</t>
  </si>
  <si>
    <t>3-Sep</t>
  </si>
  <si>
    <t>2-Sep</t>
  </si>
  <si>
    <t>1-Sep</t>
  </si>
  <si>
    <t>31-Aug</t>
  </si>
  <si>
    <t>30-Aug</t>
  </si>
  <si>
    <t>29-Aug</t>
  </si>
  <si>
    <t>28-Aug</t>
  </si>
  <si>
    <t>27-Aug</t>
  </si>
  <si>
    <t>26-Aug</t>
  </si>
  <si>
    <t>25-Aug</t>
  </si>
  <si>
    <t>Student</t>
  </si>
  <si>
    <t>Date</t>
  </si>
  <si>
    <t>Assessment | Insert new columns before here</t>
  </si>
  <si>
    <t>The little graphs</t>
  </si>
  <si>
    <t>Show more screen</t>
  </si>
  <si>
    <t>F:</t>
  </si>
  <si>
    <t>Absent</t>
  </si>
  <si>
    <t>Late</t>
  </si>
  <si>
    <t>Running Average</t>
  </si>
  <si>
    <t>Average of Running Average</t>
  </si>
  <si>
    <t>Lates</t>
  </si>
  <si>
    <t>l</t>
  </si>
  <si>
    <t>Can be contacted at jabbott.mit@gmail.com</t>
  </si>
  <si>
    <t>Percentage Breakdown By Assessment Type</t>
  </si>
  <si>
    <t>Point Multiplier</t>
  </si>
  <si>
    <t>Scoring:</t>
  </si>
  <si>
    <t>Website (till Feb '16)</t>
  </si>
  <si>
    <t>Questions / Concerns?</t>
  </si>
  <si>
    <t>Please reach out to me with any feedback, concerns, and questions</t>
  </si>
  <si>
    <t>Homework One</t>
  </si>
  <si>
    <t>Classwork  One</t>
  </si>
  <si>
    <t>Homework Two</t>
  </si>
  <si>
    <t>First Test</t>
  </si>
  <si>
    <t>Project</t>
  </si>
  <si>
    <t>Homeworks</t>
  </si>
  <si>
    <t>Classworks</t>
  </si>
  <si>
    <t>Tests</t>
  </si>
  <si>
    <t>Color the Table</t>
  </si>
  <si>
    <t>Not Yet</t>
  </si>
  <si>
    <t>Another Type 2</t>
  </si>
  <si>
    <t>Another Type</t>
  </si>
  <si>
    <t>Make helper colns</t>
  </si>
  <si>
    <t>Give extra credit</t>
  </si>
  <si>
    <t>Track absences</t>
  </si>
  <si>
    <t>Excused assignments</t>
  </si>
  <si>
    <t>More marking periods</t>
  </si>
  <si>
    <t>Type</t>
  </si>
  <si>
    <t>General Comments:</t>
  </si>
  <si>
    <t>Assignment</t>
  </si>
  <si>
    <t>Points Earned</t>
  </si>
  <si>
    <t>Parent Signiture:</t>
  </si>
  <si>
    <t>Assessment Avg</t>
  </si>
  <si>
    <t>Percent of Grade</t>
  </si>
  <si>
    <t>Pointed Earned</t>
  </si>
  <si>
    <t>Grade</t>
  </si>
  <si>
    <t>A+</t>
  </si>
  <si>
    <t>A-</t>
  </si>
  <si>
    <t>A</t>
  </si>
  <si>
    <t>B</t>
  </si>
  <si>
    <t>B+</t>
  </si>
  <si>
    <t>B-</t>
  </si>
  <si>
    <t>C</t>
  </si>
  <si>
    <t>C+</t>
  </si>
  <si>
    <t>C-</t>
  </si>
  <si>
    <t>F</t>
  </si>
  <si>
    <t>D+</t>
  </si>
  <si>
    <t>D-</t>
  </si>
  <si>
    <t>D</t>
  </si>
  <si>
    <t>Letter Grades:</t>
  </si>
  <si>
    <t>Letter Grade</t>
  </si>
  <si>
    <t xml:space="preserve"> </t>
  </si>
  <si>
    <t>Freq</t>
  </si>
  <si>
    <t>These letter grades are referenced on the Data Entry sheet for each student. 
If you want to delete rows of this table, simply delete the whole row.
The 5 bar sparkline charts have cutoffs based on D-, C-, B-, and A-.
Ex: Anything above B-, but below A- is a B.</t>
  </si>
  <si>
    <t>If the percentage breakdown shown right should be changed, you can edit it in cells L4:Q4 on the Data Entry sheet.
This gradebook averages all assignments within each assessment type and then calculates the running average using the percentage breakdown shown right.
An average for an assignment type is:
(Points Earned) / (Total Possible Points*)
*Assignments can be marked as "Excused"</t>
  </si>
  <si>
    <t>This  version for Excel 2007+ calculates a grade using assessment type and points</t>
  </si>
  <si>
    <t xml:space="preserve"> 1.5apoints </t>
  </si>
  <si>
    <t>Last Updated</t>
  </si>
  <si>
    <t>Date this gradebook this version was last updated</t>
  </si>
  <si>
    <t>Yellow if Above</t>
  </si>
  <si>
    <t>Green if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</si>
</sst>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409]d\-mmm;@"/>
    <numFmt numFmtId="166" formatCode=";;;"/>
    <numFmt numFmtId="167" formatCode="#&quot; (Average)&quot;"/>
  </numFmts>
  <fonts count="16" x14ac:knownFonts="1">
    <font>
      <sz val="11"/>
      <color theme="1"/>
      <name val="Calibri"/>
      <family val="2"/>
      <scheme val="minor"/>
    </font>
    <font>
      <sz val="11"/>
      <color theme="1"/>
      <name val="Calibri"/>
      <family val="2"/>
      <scheme val="minor"/>
    </font>
    <font>
      <i/>
      <sz val="11"/>
      <color rgb="FF7F7F7F"/>
      <name val="Calibri"/>
      <family val="2"/>
      <scheme val="minor"/>
    </font>
    <font>
      <sz val="11"/>
      <color theme="1"/>
      <name val="Arial"/>
      <family val="2"/>
    </font>
    <font>
      <sz val="11"/>
      <color theme="0" tint="-0.499984740745262"/>
      <name val="Arial"/>
      <family val="2"/>
    </font>
    <font>
      <sz val="11"/>
      <name val="Arial"/>
      <family val="2"/>
    </font>
    <font>
      <i/>
      <sz val="18"/>
      <color theme="1"/>
      <name val="Calibri"/>
      <family val="2"/>
      <scheme val="minor"/>
    </font>
    <font>
      <b/>
      <i/>
      <sz val="11"/>
      <color theme="1" tint="4.9989318521683403E-2"/>
      <name val="Calibri"/>
      <family val="2"/>
      <scheme val="minor"/>
    </font>
    <font>
      <sz val="11"/>
      <color theme="1" tint="0.249977111117893"/>
      <name val="Calibri"/>
      <family val="2"/>
      <scheme val="minor"/>
    </font>
    <font>
      <b/>
      <i/>
      <sz val="11"/>
      <color theme="1"/>
      <name val="Calibri"/>
      <family val="2"/>
      <scheme val="minor"/>
    </font>
    <font>
      <u/>
      <sz val="11"/>
      <color theme="10"/>
      <name val="Calibri"/>
      <family val="2"/>
      <scheme val="minor"/>
    </font>
    <font>
      <b/>
      <sz val="15"/>
      <color theme="3"/>
      <name val="Calibri"/>
      <family val="2"/>
      <scheme val="minor"/>
    </font>
    <font>
      <b/>
      <sz val="15"/>
      <name val="Calibri"/>
      <family val="2"/>
      <scheme val="minor"/>
    </font>
    <font>
      <sz val="14"/>
      <color theme="1"/>
      <name val="Calibri"/>
      <family val="2"/>
      <scheme val="minor"/>
    </font>
    <font>
      <sz val="11"/>
      <color theme="1" tint="4.9989318521683403E-2"/>
      <name val="Arial"/>
      <family val="2"/>
    </font>
    <font>
      <b/>
      <sz val="11"/>
      <color theme="1"/>
      <name val="Calibri"/>
      <family val="2"/>
      <scheme val="minor"/>
    </font>
  </fonts>
  <fills count="21">
    <fill>
      <patternFill patternType="none"/>
    </fill>
    <fill>
      <patternFill patternType="gray125"/>
    </fill>
    <fill>
      <patternFill patternType="solid">
        <fgColor theme="4" tint="0.79998168889431442"/>
        <bgColor indexed="65"/>
      </patternFill>
    </fill>
    <fill>
      <patternFill patternType="solid">
        <fgColor theme="2"/>
        <bgColor indexed="64"/>
      </patternFill>
    </fill>
    <fill>
      <gradientFill>
        <stop position="0">
          <color theme="3" tint="0.80001220740379042"/>
        </stop>
        <stop position="1">
          <color theme="3" tint="0.59999389629810485"/>
        </stop>
      </gradientFill>
    </fill>
    <fill>
      <gradientFill degree="180">
        <stop position="0">
          <color theme="3" tint="0.80001220740379042"/>
        </stop>
        <stop position="1">
          <color theme="3" tint="0.59999389629810485"/>
        </stop>
      </gradientFill>
    </fill>
    <fill>
      <patternFill patternType="solid">
        <fgColor theme="3" tint="0.79998168889431442"/>
        <bgColor indexed="64"/>
      </patternFill>
    </fill>
    <fill>
      <gradientFill>
        <stop position="0">
          <color theme="0" tint="-5.0965910824915313E-2"/>
        </stop>
        <stop position="1">
          <color theme="0" tint="-0.1490218817712943"/>
        </stop>
      </gradientFill>
    </fill>
    <fill>
      <gradientFill degree="180">
        <stop position="0">
          <color theme="0" tint="-5.0965910824915313E-2"/>
        </stop>
        <stop position="1">
          <color theme="0" tint="-0.1490218817712943"/>
        </stop>
      </gradientFill>
    </fill>
    <fill>
      <patternFill patternType="solid">
        <fgColor theme="0" tint="-4.9989318521683403E-2"/>
        <bgColor indexed="64"/>
      </patternFill>
    </fill>
    <fill>
      <gradientFill>
        <stop position="0">
          <color theme="9" tint="0.80001220740379042"/>
        </stop>
        <stop position="1">
          <color theme="9" tint="0.59999389629810485"/>
        </stop>
      </gradientFill>
    </fill>
    <fill>
      <gradientFill degree="180">
        <stop position="0">
          <color theme="9" tint="0.80001220740379042"/>
        </stop>
        <stop position="1">
          <color theme="9" tint="0.59999389629810485"/>
        </stop>
      </gradientFill>
    </fill>
    <fill>
      <patternFill patternType="solid">
        <fgColor theme="7" tint="0.79998168889431442"/>
        <bgColor indexed="64"/>
      </patternFill>
    </fill>
    <fill>
      <patternFill patternType="solid">
        <fgColor theme="0" tint="-0.14999847407452621"/>
        <bgColor indexed="64"/>
      </patternFill>
    </fill>
    <fill>
      <patternFill patternType="darkUp"/>
    </fill>
    <fill>
      <patternFill patternType="solid">
        <fgColor theme="0"/>
        <bgColor auto="1"/>
      </patternFill>
    </fill>
    <fill>
      <patternFill patternType="solid">
        <fgColor theme="0" tint="-4.9989318521683403E-2"/>
        <bgColor auto="1"/>
      </patternFill>
    </fill>
    <fill>
      <patternFill patternType="solid">
        <fgColor theme="0"/>
        <bgColor indexed="64"/>
      </patternFill>
    </fill>
    <fill>
      <patternFill patternType="solid">
        <fgColor theme="9" tint="0.79998168889431442"/>
        <bgColor indexed="64"/>
      </patternFill>
    </fill>
    <fill>
      <gradientFill degree="90">
        <stop position="0">
          <color theme="2" tint="-9.8025452436902985E-2"/>
        </stop>
        <stop position="1">
          <color theme="2" tint="-0.25098422193060094"/>
        </stop>
      </gradientFill>
    </fill>
    <fill>
      <gradientFill degree="90">
        <stop position="0">
          <color theme="3" tint="0.80001220740379042"/>
        </stop>
        <stop position="1">
          <color theme="3" tint="0.59999389629810485"/>
        </stop>
      </gradientFill>
    </fill>
  </fills>
  <borders count="38">
    <border>
      <left/>
      <right/>
      <top/>
      <bottom/>
      <diagonal/>
    </border>
    <border>
      <left/>
      <right/>
      <top/>
      <bottom style="thin">
        <color indexed="64"/>
      </bottom>
      <diagonal/>
    </border>
    <border>
      <left/>
      <right/>
      <top/>
      <bottom style="thick">
        <color theme="4"/>
      </bottom>
      <diagonal/>
    </border>
    <border>
      <left/>
      <right/>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right/>
      <top style="thin">
        <color theme="0" tint="-0.499984740745262"/>
      </top>
      <bottom style="thin">
        <color theme="0" tint="-0.499984740745262"/>
      </bottom>
      <diagonal/>
    </border>
    <border>
      <left style="thin">
        <color auto="1"/>
      </left>
      <right style="thin">
        <color auto="1"/>
      </right>
      <top style="thin">
        <color theme="0" tint="-0.499984740745262"/>
      </top>
      <bottom style="thin">
        <color theme="0" tint="-0.499984740745262"/>
      </bottom>
      <diagonal/>
    </border>
    <border>
      <left style="thin">
        <color auto="1"/>
      </left>
      <right style="thin">
        <color auto="1"/>
      </right>
      <top/>
      <bottom style="thin">
        <color theme="0" tint="-0.499984740745262"/>
      </bottom>
      <diagonal/>
    </border>
    <border>
      <left style="thin">
        <color auto="1"/>
      </left>
      <right style="thin">
        <color auto="1"/>
      </right>
      <top style="thin">
        <color theme="0" tint="-0.499984740745262"/>
      </top>
      <bottom style="medium">
        <color indexed="64"/>
      </bottom>
      <diagonal/>
    </border>
    <border>
      <left style="thin">
        <color indexed="64"/>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style="thin">
        <color indexed="64"/>
      </top>
      <bottom style="thin">
        <color theme="0" tint="-0.499984740745262"/>
      </bottom>
      <diagonal/>
    </border>
    <border>
      <left style="thin">
        <color indexed="64"/>
      </left>
      <right style="thin">
        <color theme="0" tint="-0.499984740745262"/>
      </right>
      <top style="thin">
        <color indexed="64"/>
      </top>
      <bottom style="thin">
        <color theme="0" tint="-0.499984740745262"/>
      </bottom>
      <diagonal/>
    </border>
    <border>
      <left style="thin">
        <color theme="0" tint="-0.499984740745262"/>
      </left>
      <right/>
      <top style="thin">
        <color indexed="64"/>
      </top>
      <bottom style="thin">
        <color theme="0" tint="-0.499984740745262"/>
      </bottom>
      <diagonal/>
    </border>
    <border>
      <left style="thin">
        <color indexed="64"/>
      </left>
      <right style="thin">
        <color indexed="64"/>
      </right>
      <top/>
      <bottom/>
      <diagonal/>
    </border>
    <border>
      <left style="thin">
        <color indexed="64"/>
      </left>
      <right style="thin">
        <color indexed="64"/>
      </right>
      <top style="thin">
        <color indexed="64"/>
      </top>
      <bottom style="thin">
        <color theme="0" tint="-0.499984740745262"/>
      </bottom>
      <diagonal/>
    </border>
    <border>
      <left style="thin">
        <color indexed="64"/>
      </left>
      <right style="thin">
        <color theme="0" tint="-0.499984740745262"/>
      </right>
      <top/>
      <bottom/>
      <diagonal/>
    </border>
    <border>
      <left/>
      <right/>
      <top style="thin">
        <color theme="0" tint="-0.499984740745262"/>
      </top>
      <bottom style="medium">
        <color indexed="64"/>
      </bottom>
      <diagonal/>
    </border>
    <border>
      <left/>
      <right/>
      <top/>
      <bottom style="medium">
        <color indexed="64"/>
      </bottom>
      <diagonal/>
    </border>
    <border>
      <left style="thin">
        <color indexed="64"/>
      </left>
      <right/>
      <top/>
      <bottom style="medium">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theme="0" tint="-0.499984740745262"/>
      </bottom>
      <diagonal/>
    </border>
    <border>
      <left style="thin">
        <color indexed="64"/>
      </left>
      <right/>
      <top style="medium">
        <color indexed="64"/>
      </top>
      <bottom style="thin">
        <color auto="1"/>
      </bottom>
      <diagonal/>
    </border>
    <border>
      <left style="thin">
        <color indexed="64"/>
      </left>
      <right/>
      <top/>
      <bottom style="thin">
        <color theme="0" tint="-0.499984740745262"/>
      </bottom>
      <diagonal/>
    </border>
    <border>
      <left style="thin">
        <color indexed="64"/>
      </left>
      <right/>
      <top style="thin">
        <color theme="0" tint="-0.499984740745262"/>
      </top>
      <bottom style="thin">
        <color theme="0" tint="-0.499984740745262"/>
      </bottom>
      <diagonal/>
    </border>
    <border>
      <left style="thin">
        <color indexed="64"/>
      </left>
      <right/>
      <top style="thin">
        <color theme="0" tint="-0.499984740745262"/>
      </top>
      <bottom style="medium">
        <color indexed="64"/>
      </bottom>
      <diagonal/>
    </border>
    <border>
      <left style="thin">
        <color indexed="64"/>
      </left>
      <right style="thin">
        <color indexed="64"/>
      </right>
      <top style="medium">
        <color indexed="64"/>
      </top>
      <bottom style="thin">
        <color auto="1"/>
      </bottom>
      <diagonal/>
    </border>
    <border>
      <left style="thin">
        <color auto="1"/>
      </left>
      <right style="thin">
        <color auto="1"/>
      </right>
      <top/>
      <bottom style="medium">
        <color indexed="64"/>
      </bottom>
      <diagonal/>
    </border>
  </borders>
  <cellStyleXfs count="7">
    <xf numFmtId="0" fontId="0" fillId="17" borderId="0"/>
    <xf numFmtId="9" fontId="1" fillId="0" borderId="0" applyFont="0" applyFill="0" applyBorder="0" applyAlignment="0" applyProtection="0"/>
    <xf numFmtId="0" fontId="2" fillId="0" borderId="0" applyNumberFormat="0" applyFill="0" applyBorder="0" applyAlignment="0" applyProtection="0"/>
    <xf numFmtId="0" fontId="1" fillId="2" borderId="0" applyNumberFormat="0" applyBorder="0" applyAlignment="0" applyProtection="0"/>
    <xf numFmtId="0" fontId="10" fillId="0" borderId="0" applyNumberFormat="0" applyFill="0" applyBorder="0" applyAlignment="0" applyProtection="0"/>
    <xf numFmtId="0" fontId="11" fillId="0" borderId="2" applyNumberFormat="0" applyFill="0" applyAlignment="0" applyProtection="0"/>
    <xf numFmtId="43" fontId="1" fillId="0" borderId="0" applyFont="0" applyFill="0" applyBorder="0" applyAlignment="0" applyProtection="0"/>
  </cellStyleXfs>
  <cellXfs count="160">
    <xf numFmtId="0" fontId="0" fillId="17" borderId="0" xfId="0"/>
    <xf numFmtId="0" fontId="3" fillId="3" borderId="0" xfId="0" applyFont="1" applyFill="1" applyBorder="1" applyAlignment="1" applyProtection="1">
      <alignment horizontal="center"/>
    </xf>
    <xf numFmtId="0" fontId="3" fillId="17" borderId="0" xfId="0" applyFont="1" applyBorder="1" applyProtection="1"/>
    <xf numFmtId="0" fontId="3" fillId="4" borderId="0" xfId="0" applyFont="1" applyFill="1" applyBorder="1" applyAlignment="1" applyProtection="1">
      <alignment horizontal="center"/>
    </xf>
    <xf numFmtId="0" fontId="4" fillId="5" borderId="0" xfId="0" applyFont="1" applyFill="1" applyBorder="1" applyProtection="1"/>
    <xf numFmtId="0" fontId="3" fillId="6" borderId="0" xfId="0" applyFont="1" applyFill="1" applyBorder="1" applyProtection="1"/>
    <xf numFmtId="0" fontId="3" fillId="6" borderId="0" xfId="0" applyFont="1" applyFill="1" applyBorder="1" applyAlignment="1" applyProtection="1">
      <alignment horizontal="center" vertical="center"/>
    </xf>
    <xf numFmtId="9" fontId="3" fillId="4" borderId="0" xfId="1" applyFont="1" applyFill="1" applyBorder="1" applyProtection="1"/>
    <xf numFmtId="0" fontId="3" fillId="17" borderId="0" xfId="0" applyFont="1"/>
    <xf numFmtId="0" fontId="6" fillId="2" borderId="0" xfId="3" applyFont="1" applyAlignment="1">
      <alignment horizontal="centerContinuous"/>
    </xf>
    <xf numFmtId="0" fontId="7" fillId="9" borderId="0" xfId="0" applyFont="1" applyFill="1"/>
    <xf numFmtId="0" fontId="0" fillId="9" borderId="0" xfId="0" applyFill="1"/>
    <xf numFmtId="0" fontId="0" fillId="13" borderId="0" xfId="0" applyFill="1" applyAlignment="1">
      <alignment horizontal="center"/>
    </xf>
    <xf numFmtId="0" fontId="0" fillId="9" borderId="0" xfId="0" applyFill="1" applyAlignment="1">
      <alignment horizontal="center"/>
    </xf>
    <xf numFmtId="0" fontId="2" fillId="9" borderId="0" xfId="2" applyFill="1"/>
    <xf numFmtId="0" fontId="8" fillId="17" borderId="0" xfId="0" applyFont="1"/>
    <xf numFmtId="0" fontId="0" fillId="13" borderId="0" xfId="0" applyFill="1" applyAlignment="1">
      <alignment horizontal="center" vertical="center"/>
    </xf>
    <xf numFmtId="0" fontId="9" fillId="9" borderId="0" xfId="0" applyFont="1" applyFill="1"/>
    <xf numFmtId="49" fontId="0" fillId="9" borderId="0" xfId="0" applyNumberFormat="1" applyFill="1" applyAlignment="1">
      <alignment horizontal="center"/>
    </xf>
    <xf numFmtId="0" fontId="10" fillId="9" borderId="0" xfId="4" applyFill="1"/>
    <xf numFmtId="49" fontId="0" fillId="9" borderId="0" xfId="0" applyNumberFormat="1" applyFill="1" applyAlignment="1">
      <alignment horizontal="left"/>
    </xf>
    <xf numFmtId="0" fontId="0" fillId="9" borderId="0" xfId="0" applyFill="1" applyAlignment="1">
      <alignment horizontal="left"/>
    </xf>
    <xf numFmtId="0" fontId="2" fillId="9" borderId="0" xfId="2" applyFill="1" applyAlignment="1">
      <alignment wrapText="1"/>
    </xf>
    <xf numFmtId="0" fontId="0" fillId="17" borderId="0" xfId="0" pivotButton="1"/>
    <xf numFmtId="0" fontId="0" fillId="17" borderId="0" xfId="0" applyAlignment="1">
      <alignment horizontal="left"/>
    </xf>
    <xf numFmtId="2" fontId="0" fillId="17" borderId="0" xfId="0" applyNumberFormat="1"/>
    <xf numFmtId="0" fontId="4" fillId="17" borderId="0" xfId="0" applyFont="1" applyBorder="1" applyProtection="1"/>
    <xf numFmtId="0" fontId="5" fillId="0" borderId="0" xfId="0" applyFont="1" applyFill="1" applyBorder="1"/>
    <xf numFmtId="0" fontId="3" fillId="0" borderId="0" xfId="0" applyFont="1" applyFill="1" applyBorder="1"/>
    <xf numFmtId="0" fontId="4" fillId="9" borderId="0" xfId="0" applyFont="1" applyFill="1" applyBorder="1" applyAlignment="1" applyProtection="1">
      <alignment horizontal="center" vertical="center"/>
    </xf>
    <xf numFmtId="166" fontId="3" fillId="6" borderId="0" xfId="0" applyNumberFormat="1" applyFont="1" applyFill="1" applyBorder="1" applyAlignment="1" applyProtection="1">
      <alignment horizontal="center"/>
    </xf>
    <xf numFmtId="0" fontId="3" fillId="14" borderId="0" xfId="0" applyFont="1" applyFill="1" applyBorder="1" applyProtection="1"/>
    <xf numFmtId="0" fontId="4" fillId="14" borderId="0" xfId="0" applyFont="1" applyFill="1" applyBorder="1" applyProtection="1"/>
    <xf numFmtId="0" fontId="3" fillId="16" borderId="0" xfId="0" applyFont="1" applyFill="1" applyBorder="1" applyAlignment="1" applyProtection="1">
      <alignment horizontal="center"/>
    </xf>
    <xf numFmtId="0" fontId="4" fillId="15" borderId="0" xfId="0" applyFont="1" applyFill="1" applyBorder="1" applyProtection="1"/>
    <xf numFmtId="0" fontId="4" fillId="17" borderId="0" xfId="0" applyFont="1" applyFill="1" applyBorder="1" applyAlignment="1" applyProtection="1">
      <alignment horizontal="center" vertical="center"/>
    </xf>
    <xf numFmtId="165" fontId="4" fillId="17" borderId="0" xfId="1" applyNumberFormat="1" applyFont="1" applyFill="1" applyBorder="1" applyAlignment="1" applyProtection="1">
      <alignment horizontal="center" vertical="center"/>
    </xf>
    <xf numFmtId="0" fontId="3" fillId="3" borderId="3" xfId="0" applyFont="1" applyFill="1" applyBorder="1" applyProtection="1"/>
    <xf numFmtId="0" fontId="3" fillId="3" borderId="3" xfId="0" applyFont="1" applyFill="1" applyBorder="1" applyAlignment="1" applyProtection="1">
      <alignment horizontal="center"/>
    </xf>
    <xf numFmtId="0" fontId="4" fillId="17" borderId="4" xfId="0" applyFont="1" applyFill="1" applyBorder="1" applyAlignment="1" applyProtection="1">
      <alignment horizontal="center" vertical="center"/>
    </xf>
    <xf numFmtId="0" fontId="4" fillId="9" borderId="4" xfId="0" applyFont="1" applyFill="1" applyBorder="1" applyAlignment="1" applyProtection="1">
      <alignment horizontal="center" vertical="center"/>
    </xf>
    <xf numFmtId="0" fontId="4" fillId="17" borderId="5" xfId="0" applyFont="1" applyFill="1" applyBorder="1" applyAlignment="1" applyProtection="1">
      <alignment horizontal="center" vertical="center"/>
    </xf>
    <xf numFmtId="0" fontId="4" fillId="9" borderId="5" xfId="0" applyFont="1" applyFill="1" applyBorder="1" applyAlignment="1" applyProtection="1">
      <alignment horizontal="center" vertical="center"/>
    </xf>
    <xf numFmtId="0" fontId="4" fillId="7" borderId="3" xfId="0" applyFont="1" applyFill="1" applyBorder="1" applyAlignment="1" applyProtection="1">
      <alignment horizontal="right"/>
    </xf>
    <xf numFmtId="0" fontId="4" fillId="8" borderId="3" xfId="0" applyFont="1" applyFill="1" applyBorder="1" applyProtection="1"/>
    <xf numFmtId="0" fontId="4" fillId="9" borderId="3" xfId="0" applyFont="1" applyFill="1" applyBorder="1" applyAlignment="1" applyProtection="1">
      <alignment horizontal="center" vertical="center"/>
    </xf>
    <xf numFmtId="165" fontId="4" fillId="9" borderId="3" xfId="1" applyNumberFormat="1" applyFont="1" applyFill="1" applyBorder="1" applyAlignment="1" applyProtection="1">
      <alignment horizontal="center" vertical="center"/>
    </xf>
    <xf numFmtId="0" fontId="4" fillId="9" borderId="7" xfId="0" applyFont="1" applyFill="1" applyBorder="1" applyAlignment="1" applyProtection="1">
      <alignment horizontal="center" vertical="center"/>
    </xf>
    <xf numFmtId="0" fontId="4" fillId="9" borderId="6" xfId="0" applyFont="1" applyFill="1" applyBorder="1" applyAlignment="1" applyProtection="1">
      <alignment horizontal="center" vertical="center"/>
    </xf>
    <xf numFmtId="0" fontId="4" fillId="3" borderId="0" xfId="0" applyFont="1" applyFill="1" applyBorder="1" applyAlignment="1" applyProtection="1">
      <alignment horizontal="left"/>
    </xf>
    <xf numFmtId="9" fontId="4" fillId="3" borderId="4" xfId="0" applyNumberFormat="1" applyFont="1" applyFill="1" applyBorder="1" applyAlignment="1" applyProtection="1">
      <alignment horizontal="centerContinuous"/>
    </xf>
    <xf numFmtId="9" fontId="3" fillId="3" borderId="0" xfId="0" applyNumberFormat="1" applyFont="1" applyFill="1" applyBorder="1" applyAlignment="1" applyProtection="1">
      <alignment horizontal="centerContinuous"/>
    </xf>
    <xf numFmtId="9" fontId="3" fillId="3" borderId="5" xfId="0" applyNumberFormat="1" applyFont="1" applyFill="1" applyBorder="1" applyAlignment="1" applyProtection="1">
      <alignment horizontal="centerContinuous"/>
    </xf>
    <xf numFmtId="9" fontId="4" fillId="3" borderId="4" xfId="1" applyFont="1" applyFill="1" applyBorder="1" applyAlignment="1" applyProtection="1">
      <alignment horizontal="centerContinuous" vertical="center"/>
    </xf>
    <xf numFmtId="9" fontId="3" fillId="3" borderId="0" xfId="1" applyFont="1" applyFill="1" applyBorder="1" applyAlignment="1" applyProtection="1">
      <alignment horizontal="centerContinuous" vertical="center"/>
    </xf>
    <xf numFmtId="9" fontId="3" fillId="3" borderId="5" xfId="1" applyFont="1" applyFill="1" applyBorder="1" applyAlignment="1" applyProtection="1">
      <alignment horizontal="centerContinuous" vertical="center"/>
    </xf>
    <xf numFmtId="9" fontId="4" fillId="6" borderId="0" xfId="1" applyFont="1" applyFill="1" applyBorder="1" applyAlignment="1" applyProtection="1">
      <alignment horizontal="center" vertical="center"/>
    </xf>
    <xf numFmtId="164" fontId="14" fillId="0" borderId="8" xfId="1" applyNumberFormat="1" applyFont="1" applyBorder="1" applyAlignment="1" applyProtection="1">
      <alignment horizontal="center"/>
    </xf>
    <xf numFmtId="164" fontId="14" fillId="0" borderId="8" xfId="1" applyNumberFormat="1" applyFont="1" applyBorder="1" applyAlignment="1">
      <alignment horizontal="center"/>
    </xf>
    <xf numFmtId="164" fontId="14" fillId="0" borderId="13" xfId="1" applyNumberFormat="1" applyFont="1" applyBorder="1" applyAlignment="1">
      <alignment horizontal="center"/>
    </xf>
    <xf numFmtId="0" fontId="14" fillId="10" borderId="7" xfId="0" applyNumberFormat="1" applyFont="1" applyFill="1" applyBorder="1" applyAlignment="1" applyProtection="1">
      <alignment horizontal="center" vertical="center"/>
    </xf>
    <xf numFmtId="0" fontId="14" fillId="11" borderId="9" xfId="0" applyNumberFormat="1" applyFont="1" applyFill="1" applyBorder="1" applyAlignment="1" applyProtection="1">
      <alignment horizontal="center" vertical="center"/>
    </xf>
    <xf numFmtId="0" fontId="14" fillId="12" borderId="9" xfId="0" applyNumberFormat="1" applyFont="1" applyFill="1" applyBorder="1" applyAlignment="1" applyProtection="1">
      <alignment horizontal="center" vertical="center" wrapText="1"/>
    </xf>
    <xf numFmtId="0" fontId="14" fillId="17" borderId="10" xfId="0" applyNumberFormat="1" applyFont="1" applyBorder="1" applyAlignment="1" applyProtection="1">
      <alignment horizontal="center"/>
    </xf>
    <xf numFmtId="0" fontId="14" fillId="17" borderId="8" xfId="0" applyNumberFormat="1" applyFont="1" applyBorder="1" applyAlignment="1" applyProtection="1">
      <alignment horizontal="left"/>
    </xf>
    <xf numFmtId="0" fontId="14" fillId="17" borderId="8" xfId="0" applyNumberFormat="1" applyFont="1" applyBorder="1" applyAlignment="1" applyProtection="1">
      <alignment horizontal="center"/>
    </xf>
    <xf numFmtId="0" fontId="14" fillId="17" borderId="11" xfId="0" applyNumberFormat="1" applyFont="1" applyBorder="1" applyAlignment="1" applyProtection="1">
      <alignment horizontal="center"/>
    </xf>
    <xf numFmtId="0" fontId="14" fillId="17" borderId="8" xfId="0" applyNumberFormat="1" applyFont="1" applyBorder="1" applyAlignment="1" applyProtection="1">
      <alignment horizontal="center" wrapText="1"/>
    </xf>
    <xf numFmtId="0" fontId="14" fillId="17" borderId="11" xfId="0" applyNumberFormat="1" applyFont="1" applyBorder="1" applyAlignment="1" applyProtection="1">
      <alignment horizontal="center" wrapText="1"/>
    </xf>
    <xf numFmtId="0" fontId="14" fillId="17" borderId="10" xfId="0" applyNumberFormat="1" applyFont="1" applyBorder="1" applyAlignment="1">
      <alignment horizontal="center"/>
    </xf>
    <xf numFmtId="0" fontId="14" fillId="17" borderId="8" xfId="0" applyNumberFormat="1" applyFont="1" applyBorder="1" applyAlignment="1">
      <alignment horizontal="left"/>
    </xf>
    <xf numFmtId="0" fontId="14" fillId="17" borderId="8" xfId="0" applyNumberFormat="1" applyFont="1" applyBorder="1" applyAlignment="1">
      <alignment horizontal="center"/>
    </xf>
    <xf numFmtId="0" fontId="14" fillId="0" borderId="8" xfId="1" applyNumberFormat="1" applyFont="1" applyBorder="1" applyAlignment="1">
      <alignment horizontal="center"/>
    </xf>
    <xf numFmtId="0" fontId="14" fillId="0" borderId="11" xfId="1" applyNumberFormat="1" applyFont="1" applyBorder="1" applyAlignment="1">
      <alignment horizontal="center"/>
    </xf>
    <xf numFmtId="0" fontId="14" fillId="17" borderId="12" xfId="0" applyNumberFormat="1" applyFont="1" applyBorder="1" applyAlignment="1">
      <alignment horizontal="center"/>
    </xf>
    <xf numFmtId="0" fontId="14" fillId="17" borderId="13" xfId="0" applyNumberFormat="1" applyFont="1" applyBorder="1" applyAlignment="1">
      <alignment horizontal="left"/>
    </xf>
    <xf numFmtId="0" fontId="14" fillId="17" borderId="13" xfId="0" applyNumberFormat="1" applyFont="1" applyBorder="1" applyAlignment="1">
      <alignment horizontal="center"/>
    </xf>
    <xf numFmtId="0" fontId="14" fillId="0" borderId="13" xfId="1" applyNumberFormat="1" applyFont="1" applyBorder="1" applyAlignment="1">
      <alignment horizontal="center"/>
    </xf>
    <xf numFmtId="0" fontId="14" fillId="0" borderId="14" xfId="1" applyNumberFormat="1" applyFont="1" applyBorder="1" applyAlignment="1">
      <alignment horizontal="center"/>
    </xf>
    <xf numFmtId="9" fontId="14" fillId="3" borderId="6" xfId="1" applyFont="1" applyFill="1" applyBorder="1" applyAlignment="1" applyProtection="1">
      <alignment horizontal="center" vertical="center"/>
    </xf>
    <xf numFmtId="9" fontId="14" fillId="3" borderId="3" xfId="1" applyFont="1" applyFill="1" applyBorder="1" applyAlignment="1" applyProtection="1">
      <alignment horizontal="center" vertical="center"/>
    </xf>
    <xf numFmtId="9" fontId="14" fillId="3" borderId="7" xfId="1" applyFont="1" applyFill="1" applyBorder="1" applyAlignment="1" applyProtection="1">
      <alignment horizontal="center" vertical="center"/>
    </xf>
    <xf numFmtId="0" fontId="14" fillId="3" borderId="3" xfId="0" applyFont="1" applyFill="1" applyBorder="1" applyAlignment="1" applyProtection="1">
      <alignment horizontal="center" vertical="center"/>
    </xf>
    <xf numFmtId="0" fontId="14" fillId="6" borderId="0" xfId="0" applyFont="1" applyFill="1" applyBorder="1" applyAlignment="1" applyProtection="1">
      <alignment horizontal="center" vertical="center"/>
    </xf>
    <xf numFmtId="0" fontId="14" fillId="6" borderId="0" xfId="0" applyNumberFormat="1" applyFont="1" applyFill="1" applyBorder="1" applyAlignment="1" applyProtection="1">
      <alignment horizontal="center" vertical="center"/>
    </xf>
    <xf numFmtId="0" fontId="4" fillId="3" borderId="3" xfId="0" applyFont="1" applyFill="1" applyBorder="1" applyProtection="1"/>
    <xf numFmtId="0" fontId="14" fillId="18" borderId="9" xfId="0" applyNumberFormat="1" applyFont="1" applyFill="1" applyBorder="1" applyAlignment="1" applyProtection="1">
      <alignment horizontal="center" textRotation="90" wrapText="1"/>
    </xf>
    <xf numFmtId="0" fontId="14" fillId="18" borderId="6" xfId="0" applyNumberFormat="1" applyFont="1" applyFill="1" applyBorder="1" applyAlignment="1" applyProtection="1">
      <alignment horizontal="center" textRotation="90" wrapText="1"/>
    </xf>
    <xf numFmtId="167" fontId="14" fillId="19" borderId="9" xfId="0" applyNumberFormat="1" applyFont="1" applyFill="1" applyBorder="1" applyAlignment="1" applyProtection="1">
      <alignment horizontal="center" textRotation="90" wrapText="1"/>
    </xf>
    <xf numFmtId="0" fontId="14" fillId="20" borderId="9" xfId="0" applyNumberFormat="1" applyFont="1" applyFill="1" applyBorder="1" applyAlignment="1" applyProtection="1">
      <alignment horizontal="center" vertical="center" wrapText="1"/>
    </xf>
    <xf numFmtId="0" fontId="3" fillId="3" borderId="15" xfId="0" applyFont="1" applyFill="1" applyBorder="1" applyAlignment="1" applyProtection="1">
      <alignment horizontal="center"/>
    </xf>
    <xf numFmtId="164" fontId="12" fillId="17" borderId="1" xfId="5" applyNumberFormat="1" applyFont="1" applyFill="1" applyBorder="1" applyAlignment="1">
      <alignment horizontal="left" vertical="top"/>
    </xf>
    <xf numFmtId="0" fontId="0" fillId="17" borderId="0" xfId="0" applyBorder="1"/>
    <xf numFmtId="0" fontId="0" fillId="17" borderId="1" xfId="0" applyBorder="1"/>
    <xf numFmtId="0" fontId="0" fillId="9" borderId="0" xfId="0" applyFill="1" applyAlignment="1">
      <alignment horizontal="left" vertical="center" wrapText="1"/>
    </xf>
    <xf numFmtId="0" fontId="0" fillId="17" borderId="0" xfId="0" applyAlignment="1">
      <alignment horizontal="center" vertical="center"/>
    </xf>
    <xf numFmtId="0" fontId="0" fillId="17" borderId="8" xfId="0" applyBorder="1" applyAlignment="1">
      <alignment horizontal="center" vertical="top"/>
    </xf>
    <xf numFmtId="9" fontId="0" fillId="17" borderId="8" xfId="1" applyFont="1" applyFill="1" applyBorder="1" applyAlignment="1">
      <alignment horizontal="center" vertical="top"/>
    </xf>
    <xf numFmtId="0" fontId="0" fillId="17" borderId="21" xfId="0" applyBorder="1" applyAlignment="1">
      <alignment horizontal="center" vertical="top"/>
    </xf>
    <xf numFmtId="9" fontId="0" fillId="17" borderId="21" xfId="1" applyFont="1" applyFill="1" applyBorder="1" applyAlignment="1">
      <alignment horizontal="center" vertical="top"/>
    </xf>
    <xf numFmtId="0" fontId="0" fillId="17" borderId="22" xfId="0" applyBorder="1" applyAlignment="1">
      <alignment horizontal="center" vertical="top"/>
    </xf>
    <xf numFmtId="0" fontId="0" fillId="17" borderId="19" xfId="0" applyBorder="1" applyAlignment="1">
      <alignment horizontal="center" vertical="top"/>
    </xf>
    <xf numFmtId="14" fontId="0" fillId="17" borderId="23" xfId="0" applyNumberFormat="1" applyBorder="1" applyAlignment="1">
      <alignment horizontal="center" vertical="top"/>
    </xf>
    <xf numFmtId="14" fontId="0" fillId="17" borderId="11" xfId="0" applyNumberFormat="1" applyBorder="1" applyAlignment="1">
      <alignment horizontal="center" vertical="top"/>
    </xf>
    <xf numFmtId="0" fontId="0" fillId="13" borderId="20" xfId="0" applyFill="1" applyBorder="1" applyAlignment="1">
      <alignment horizontal="center"/>
    </xf>
    <xf numFmtId="0" fontId="0" fillId="13" borderId="4" xfId="0" applyFill="1" applyBorder="1" applyAlignment="1">
      <alignment horizontal="center"/>
    </xf>
    <xf numFmtId="0" fontId="0" fillId="17" borderId="16" xfId="0" applyBorder="1" applyAlignment="1">
      <alignment horizontal="center" vertical="top" wrapText="1"/>
    </xf>
    <xf numFmtId="0" fontId="0" fillId="13" borderId="24" xfId="0" applyFill="1" applyBorder="1" applyAlignment="1">
      <alignment horizontal="center" vertical="top" wrapText="1"/>
    </xf>
    <xf numFmtId="0" fontId="0" fillId="17" borderId="25" xfId="0" applyBorder="1" applyAlignment="1">
      <alignment horizontal="center" vertical="top" wrapText="1"/>
    </xf>
    <xf numFmtId="0" fontId="0" fillId="13" borderId="26" xfId="0" applyFill="1" applyBorder="1" applyAlignment="1">
      <alignment horizontal="center"/>
    </xf>
    <xf numFmtId="0" fontId="0" fillId="17" borderId="28" xfId="0" applyBorder="1"/>
    <xf numFmtId="164" fontId="15" fillId="17" borderId="7" xfId="6" applyNumberFormat="1" applyFont="1" applyFill="1" applyBorder="1" applyAlignment="1">
      <alignment horizontal="center" vertical="top" wrapText="1"/>
    </xf>
    <xf numFmtId="164" fontId="15" fillId="17" borderId="10" xfId="6" applyNumberFormat="1" applyFont="1" applyFill="1" applyBorder="1" applyAlignment="1">
      <alignment horizontal="center" vertical="top" wrapText="1"/>
    </xf>
    <xf numFmtId="0" fontId="0" fillId="17" borderId="17" xfId="0" applyFont="1" applyBorder="1" applyAlignment="1">
      <alignment horizontal="center" vertical="top" wrapText="1"/>
    </xf>
    <xf numFmtId="0" fontId="0" fillId="17" borderId="9" xfId="0" applyFont="1" applyBorder="1"/>
    <xf numFmtId="0" fontId="0" fillId="17" borderId="16" xfId="0" applyFont="1" applyBorder="1" applyAlignment="1">
      <alignment horizontal="center" vertical="top" wrapText="1"/>
    </xf>
    <xf numFmtId="0" fontId="0" fillId="17" borderId="13" xfId="0" applyFont="1" applyBorder="1"/>
    <xf numFmtId="164" fontId="13" fillId="17" borderId="0" xfId="0" applyNumberFormat="1" applyFont="1" applyFill="1" applyBorder="1"/>
    <xf numFmtId="164" fontId="0" fillId="17" borderId="0" xfId="0" applyNumberFormat="1" applyFont="1" applyFill="1" applyBorder="1"/>
    <xf numFmtId="164" fontId="0" fillId="17" borderId="0" xfId="0" applyNumberFormat="1" applyFill="1" applyBorder="1"/>
    <xf numFmtId="164" fontId="2" fillId="17" borderId="0" xfId="2" applyNumberFormat="1" applyFill="1" applyBorder="1"/>
    <xf numFmtId="0" fontId="0" fillId="17" borderId="0" xfId="0" applyFont="1" applyBorder="1"/>
    <xf numFmtId="0" fontId="0" fillId="13" borderId="31" xfId="0" applyFill="1" applyBorder="1" applyAlignment="1">
      <alignment horizontal="center"/>
    </xf>
    <xf numFmtId="9" fontId="0" fillId="17" borderId="16" xfId="1" applyFont="1" applyFill="1" applyBorder="1" applyAlignment="1">
      <alignment horizontal="center" vertical="top"/>
    </xf>
    <xf numFmtId="9" fontId="0" fillId="17" borderId="18" xfId="1" applyFont="1" applyFill="1" applyBorder="1" applyAlignment="1">
      <alignment horizontal="center" vertical="top"/>
    </xf>
    <xf numFmtId="164" fontId="0" fillId="13" borderId="31" xfId="6" applyNumberFormat="1" applyFont="1" applyFill="1" applyBorder="1" applyAlignment="1">
      <alignment horizontal="center" vertical="top" wrapText="1"/>
    </xf>
    <xf numFmtId="164" fontId="0" fillId="17" borderId="17" xfId="6" applyNumberFormat="1" applyFont="1" applyFill="1" applyBorder="1" applyAlignment="1">
      <alignment horizontal="center" vertical="top" wrapText="1"/>
    </xf>
    <xf numFmtId="164" fontId="0" fillId="17" borderId="16" xfId="6" applyNumberFormat="1" applyFont="1" applyFill="1" applyBorder="1" applyAlignment="1">
      <alignment horizontal="center" vertical="top" wrapText="1"/>
    </xf>
    <xf numFmtId="164" fontId="0" fillId="17" borderId="18" xfId="6" applyNumberFormat="1" applyFont="1" applyFill="1" applyBorder="1" applyAlignment="1">
      <alignment horizontal="center" vertical="top" wrapText="1"/>
    </xf>
    <xf numFmtId="164" fontId="0" fillId="13" borderId="24" xfId="6" applyNumberFormat="1" applyFont="1" applyFill="1" applyBorder="1" applyAlignment="1">
      <alignment horizontal="center" vertical="top" wrapText="1"/>
    </xf>
    <xf numFmtId="164" fontId="0" fillId="17" borderId="25" xfId="6" applyNumberFormat="1" applyFont="1" applyFill="1" applyBorder="1" applyAlignment="1">
      <alignment horizontal="center" vertical="top" wrapText="1"/>
    </xf>
    <xf numFmtId="164" fontId="15" fillId="17" borderId="3" xfId="6" applyNumberFormat="1" applyFont="1" applyFill="1" applyBorder="1" applyAlignment="1">
      <alignment horizontal="center" vertical="top" wrapText="1"/>
    </xf>
    <xf numFmtId="164" fontId="15" fillId="17" borderId="15" xfId="6" applyNumberFormat="1" applyFont="1" applyFill="1" applyBorder="1" applyAlignment="1">
      <alignment horizontal="center" vertical="top" wrapText="1"/>
    </xf>
    <xf numFmtId="0" fontId="0" fillId="17" borderId="0" xfId="0" applyFont="1" applyBorder="1" applyAlignment="1">
      <alignment horizontal="left" vertical="top" wrapText="1"/>
    </xf>
    <xf numFmtId="0" fontId="0" fillId="17" borderId="28" xfId="0" applyFont="1" applyBorder="1" applyAlignment="1">
      <alignment horizontal="left" vertical="top" wrapText="1"/>
    </xf>
    <xf numFmtId="0" fontId="0" fillId="17" borderId="29" xfId="0" applyFont="1" applyBorder="1" applyAlignment="1">
      <alignment horizontal="left" vertical="top"/>
    </xf>
    <xf numFmtId="164" fontId="15" fillId="17" borderId="16" xfId="6" applyNumberFormat="1" applyFont="1" applyFill="1" applyBorder="1" applyAlignment="1">
      <alignment horizontal="center" vertical="top" wrapText="1"/>
    </xf>
    <xf numFmtId="164" fontId="15" fillId="17" borderId="37" xfId="6" applyNumberFormat="1" applyFont="1" applyFill="1" applyBorder="1" applyAlignment="1">
      <alignment horizontal="center" vertical="top" wrapText="1"/>
    </xf>
    <xf numFmtId="0" fontId="15" fillId="13" borderId="36" xfId="0" applyFont="1" applyFill="1" applyBorder="1" applyAlignment="1">
      <alignment horizontal="center" vertical="top" wrapText="1"/>
    </xf>
    <xf numFmtId="0" fontId="0" fillId="17" borderId="0" xfId="0" applyAlignment="1">
      <alignment horizontal="center" vertical="center" textRotation="90"/>
    </xf>
    <xf numFmtId="0" fontId="0" fillId="17" borderId="4" xfId="0" applyBorder="1" applyAlignment="1">
      <alignment horizontal="center" vertical="center" textRotation="90"/>
    </xf>
    <xf numFmtId="0" fontId="0" fillId="17" borderId="5" xfId="0" applyBorder="1" applyAlignment="1">
      <alignment horizontal="center" vertical="center" textRotation="90"/>
    </xf>
    <xf numFmtId="0" fontId="0" fillId="17" borderId="4" xfId="0" applyBorder="1" applyAlignment="1">
      <alignment horizontal="center" vertical="center"/>
    </xf>
    <xf numFmtId="0" fontId="0" fillId="17" borderId="5" xfId="0" applyBorder="1" applyAlignment="1">
      <alignment horizontal="center" vertical="center"/>
    </xf>
    <xf numFmtId="0" fontId="4" fillId="15" borderId="0" xfId="0" applyFont="1" applyFill="1" applyBorder="1" applyAlignment="1" applyProtection="1">
      <alignment horizontal="left"/>
    </xf>
    <xf numFmtId="14" fontId="0" fillId="9" borderId="0" xfId="0" applyNumberFormat="1" applyFill="1" applyAlignment="1">
      <alignment horizontal="center"/>
    </xf>
    <xf numFmtId="0" fontId="0" fillId="9" borderId="0" xfId="0" applyFill="1" applyAlignment="1">
      <alignment horizontal="left" vertical="center" wrapText="1"/>
    </xf>
    <xf numFmtId="0" fontId="0" fillId="9" borderId="0" xfId="0" applyFill="1" applyAlignment="1">
      <alignment horizontal="left" vertical="top" wrapText="1" indent="1"/>
    </xf>
    <xf numFmtId="0" fontId="0" fillId="9" borderId="0" xfId="0" applyFill="1" applyAlignment="1">
      <alignment horizontal="left" vertical="top" indent="1"/>
    </xf>
    <xf numFmtId="0" fontId="0" fillId="17" borderId="1" xfId="0" applyBorder="1" applyAlignment="1">
      <alignment horizontal="left" vertical="top"/>
    </xf>
    <xf numFmtId="0" fontId="0" fillId="13" borderId="33" xfId="0" applyFill="1" applyBorder="1" applyAlignment="1">
      <alignment horizontal="left"/>
    </xf>
    <xf numFmtId="0" fontId="0" fillId="13" borderId="3" xfId="0" applyFill="1" applyBorder="1" applyAlignment="1">
      <alignment horizontal="left"/>
    </xf>
    <xf numFmtId="0" fontId="0" fillId="17" borderId="34" xfId="0" applyBorder="1" applyAlignment="1">
      <alignment horizontal="left" vertical="top"/>
    </xf>
    <xf numFmtId="0" fontId="0" fillId="17" borderId="15" xfId="0" applyBorder="1" applyAlignment="1">
      <alignment horizontal="left" vertical="top"/>
    </xf>
    <xf numFmtId="0" fontId="0" fillId="17" borderId="35" xfId="0" applyBorder="1" applyAlignment="1">
      <alignment horizontal="left" vertical="top"/>
    </xf>
    <xf numFmtId="0" fontId="0" fillId="17" borderId="27" xfId="0" applyBorder="1" applyAlignment="1">
      <alignment horizontal="left" vertical="top"/>
    </xf>
    <xf numFmtId="0" fontId="0" fillId="13" borderId="32" xfId="0" applyFont="1" applyFill="1" applyBorder="1" applyAlignment="1">
      <alignment horizontal="left" vertical="top" wrapText="1"/>
    </xf>
    <xf numFmtId="0" fontId="0" fillId="13" borderId="30" xfId="0" applyFont="1" applyFill="1" applyBorder="1" applyAlignment="1">
      <alignment horizontal="left" vertical="top" wrapText="1"/>
    </xf>
    <xf numFmtId="0" fontId="0" fillId="17" borderId="33" xfId="0" applyFont="1" applyBorder="1" applyAlignment="1">
      <alignment horizontal="left" vertical="top" wrapText="1"/>
    </xf>
    <xf numFmtId="0" fontId="0" fillId="17" borderId="3" xfId="0" applyFont="1" applyBorder="1" applyAlignment="1">
      <alignment horizontal="left" vertical="top" wrapText="1"/>
    </xf>
  </cellXfs>
  <cellStyles count="7">
    <cellStyle name="20% - Accent1" xfId="3" builtinId="30"/>
    <cellStyle name="Comma" xfId="6" builtinId="3"/>
    <cellStyle name="Explanatory Text" xfId="2" builtinId="53"/>
    <cellStyle name="Heading 1" xfId="5" builtinId="16"/>
    <cellStyle name="Hyperlink" xfId="4" builtinId="8"/>
    <cellStyle name="Normal" xfId="0" builtinId="0" customBuiltin="1"/>
    <cellStyle name="Percent" xfId="1" builtinId="5"/>
  </cellStyles>
  <dxfs count="475">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right style="thin">
          <color theme="0" tint="-0.499984740745262"/>
        </right>
        <top/>
        <bottom/>
      </border>
    </dxf>
    <dxf>
      <alignment horizontal="center" vertical="center" textRotation="0" wrapText="0" indent="0" justifyLastLine="0" shrinkToFit="0" readingOrder="0"/>
      <border diagonalUp="0" diagonalDown="0" outline="0">
        <left style="thin">
          <color theme="0" tint="-0.499984740745262"/>
        </left>
        <right/>
        <top/>
        <bottom/>
      </border>
    </dxf>
    <dxf>
      <fill>
        <patternFill>
          <bgColor theme="2" tint="-0.24994659260841701"/>
        </patternFill>
      </fill>
    </dxf>
    <dxf>
      <numFmt numFmtId="2" formatCode="0.00"/>
    </dxf>
    <dxf>
      <numFmt numFmtId="0" formatCode="General"/>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164" formatCode="0.0"/>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164" formatCode="0.0"/>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164" formatCode="0.0"/>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164" formatCode="0.0"/>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164" formatCode="0.0"/>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164" formatCode="0.0"/>
      <alignment horizontal="center" vertical="bottom" textRotation="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1"/>
        <color theme="1" tint="4.9989318521683403E-2"/>
        <name val="Arial"/>
        <scheme val="none"/>
      </font>
      <numFmt numFmtId="164" formatCode="0.0"/>
      <alignment horizontal="center" vertical="bottom" textRotation="0" wrapText="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protection locked="1" hidden="0"/>
    </dxf>
    <dxf>
      <font>
        <b val="0"/>
        <i val="0"/>
        <strike val="0"/>
        <outline val="0"/>
        <shadow val="0"/>
        <u val="none"/>
        <vertAlign val="baseline"/>
        <sz val="11"/>
        <color theme="1" tint="4.9989318521683403E-2"/>
        <name val="Arial"/>
        <scheme val="none"/>
      </font>
      <numFmt numFmtId="164" formatCode="0.0"/>
      <alignment horizontal="center" vertical="bottom" textRotation="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left" vertical="bottom" textRotation="0" wrapText="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1"/>
        <color theme="1" tint="4.9989318521683403E-2"/>
        <name val="Arial"/>
        <scheme val="none"/>
      </font>
      <numFmt numFmtId="0" formatCode="General"/>
      <alignment horizontal="center" vertical="bottom" textRotation="0" wrapText="0" indent="0" justifyLastLine="0" shrinkToFit="0" readingOrder="0"/>
      <border diagonalUp="0" diagonalDown="0" outline="0">
        <left style="thin">
          <color theme="0" tint="-0.499984740745262"/>
        </left>
        <right style="thin">
          <color theme="0" tint="-0.499984740745262"/>
        </right>
        <top/>
        <bottom/>
      </border>
      <protection locked="1" hidden="0"/>
    </dxf>
    <dxf>
      <border diagonalUp="0" diagonalDown="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1"/>
        <color theme="1" tint="4.9989318521683403E-2"/>
        <name val="Arial"/>
        <scheme val="none"/>
      </font>
      <numFmt numFmtId="0" formatCode="General"/>
      <fill>
        <patternFill>
          <fgColor indexed="64"/>
        </patternFill>
      </fill>
      <alignment horizontal="center" vertical="bottom" textRotation="0" wrapText="0" indent="0" justifyLastLine="0" shrinkToFit="0" readingOrder="0"/>
      <border diagonalUp="0" diagonalDown="0" outline="0"/>
      <protection locked="1" hidden="0"/>
    </dxf>
    <dxf>
      <border>
        <bottom style="thin">
          <color theme="0" tint="-0.499984740745262"/>
        </bottom>
      </border>
    </dxf>
    <dxf>
      <font>
        <strike val="0"/>
        <outline val="0"/>
        <shadow val="0"/>
        <u val="none"/>
        <vertAlign val="baseline"/>
        <sz val="11"/>
        <color theme="1" tint="4.9989318521683403E-2"/>
        <name val="Arial"/>
        <scheme val="none"/>
      </font>
      <numFmt numFmtId="0" formatCode="General"/>
      <fill>
        <patternFill patternType="none">
          <fgColor indexed="64"/>
          <bgColor indexed="65"/>
        </patternFill>
      </fill>
      <border diagonalUp="0" diagonalDown="0" outline="0">
        <left style="thin">
          <color theme="0" tint="-0.499984740745262"/>
        </left>
        <right style="thin">
          <color theme="0" tint="-0.499984740745262"/>
        </right>
        <top/>
        <bottom/>
      </border>
      <protection locked="1" hidden="0"/>
    </dxf>
    <dxf>
      <fill>
        <patternFill>
          <bgColor theme="5" tint="0.39994506668294322"/>
        </patternFill>
      </fill>
      <border>
        <left style="thin">
          <color rgb="FFFF0000"/>
        </left>
        <right style="thin">
          <color rgb="FFFF0000"/>
        </right>
        <top style="thin">
          <color rgb="FFFF0000"/>
        </top>
        <bottom style="thin">
          <color rgb="FFFF0000"/>
        </bottom>
        <vertical/>
        <horizontal/>
      </border>
    </dxf>
    <dxf>
      <font>
        <color rgb="FFFF0000"/>
      </font>
    </dxf>
    <dxf>
      <fill>
        <patternFill>
          <bgColor theme="5" tint="0.39994506668294322"/>
        </patternFill>
      </fill>
    </dxf>
    <dxf>
      <fill>
        <patternFill>
          <bgColor theme="5" tint="0.39994506668294322"/>
        </patternFill>
      </fill>
      <border>
        <left style="thin">
          <color rgb="FFFF0000"/>
        </left>
        <right style="thin">
          <color rgb="FFFF0000"/>
        </right>
        <top style="thin">
          <color rgb="FFFF0000"/>
        </top>
        <bottom style="thin">
          <color rgb="FFFF0000"/>
        </bottom>
        <vertical/>
        <horizontal/>
      </border>
    </dxf>
    <dxf>
      <fill>
        <patternFill>
          <bgColor rgb="FFFFCCCC"/>
        </patternFill>
      </fill>
    </dxf>
    <dxf>
      <fill>
        <patternFill>
          <bgColor rgb="FFFFFF99"/>
        </patternFill>
      </fill>
    </dxf>
    <dxf>
      <fill>
        <patternFill>
          <bgColor rgb="FFCCFFCC"/>
        </patternFill>
      </fill>
    </dxf>
    <dxf>
      <fill>
        <patternFill>
          <bgColor rgb="FFFFCCCC"/>
        </patternFill>
      </fill>
    </dxf>
    <dxf>
      <fill>
        <patternFill>
          <bgColor rgb="FFFFFF99"/>
        </patternFill>
      </fill>
    </dxf>
    <dxf>
      <fill>
        <patternFill>
          <bgColor rgb="FFCCFFCC"/>
        </patternFill>
      </fill>
    </dxf>
    <dxf>
      <fill>
        <patternFill>
          <bgColor rgb="FFFFCCCC"/>
        </patternFill>
      </fill>
    </dxf>
    <dxf>
      <fill>
        <patternFill>
          <bgColor rgb="FFCCFFCC"/>
        </patternFill>
      </fill>
    </dxf>
    <dxf>
      <fill>
        <patternFill>
          <bgColor rgb="FFFFFF99"/>
        </patternFill>
      </fill>
    </dxf>
    <dxf>
      <fill>
        <patternFill>
          <bgColor theme="5" tint="0.39994506668294322"/>
        </patternFill>
      </fill>
      <border>
        <left style="thin">
          <color rgb="FFFF0000"/>
        </left>
        <right style="thin">
          <color rgb="FFFF0000"/>
        </right>
        <top style="thin">
          <color rgb="FFFF0000"/>
        </top>
        <bottom style="thin">
          <color rgb="FFFF0000"/>
        </bottom>
      </border>
    </dxf>
    <dxf>
      <font>
        <color theme="3" tint="0.79998168889431442"/>
      </font>
    </dxf>
    <dxf>
      <fill>
        <patternFill>
          <bgColor theme="0" tint="-4.9989318521683403E-2"/>
        </patternFill>
      </fill>
      <border>
        <bottom style="thin">
          <color auto="1"/>
        </bottom>
        <horizontal style="thin">
          <color auto="1"/>
        </horizontal>
      </border>
    </dxf>
    <dxf>
      <fill>
        <patternFill patternType="none">
          <bgColor auto="1"/>
        </patternFill>
      </fill>
      <border>
        <bottom style="thin">
          <color auto="1"/>
        </bottom>
        <vertical/>
        <horizontal style="thin">
          <color auto="1"/>
        </horizontal>
      </border>
    </dxf>
    <dxf>
      <font>
        <b/>
        <i val="0"/>
      </font>
      <fill>
        <patternFill>
          <fgColor theme="9" tint="0.79998168889431442"/>
          <bgColor theme="9" tint="0.79998168889431442"/>
        </patternFill>
      </fill>
    </dxf>
    <dxf>
      <fill>
        <patternFill>
          <bgColor theme="8" tint="0.79998168889431442"/>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5"/>
          <bgColor theme="5"/>
        </patternFill>
      </fill>
    </dxf>
    <dxf>
      <font>
        <b/>
        <color theme="0"/>
      </font>
      <fill>
        <patternFill patternType="solid">
          <fgColor theme="5"/>
          <bgColor theme="5"/>
        </patternFill>
      </fill>
    </dxf>
    <dxf>
      <border>
        <top style="double">
          <color theme="1"/>
        </top>
      </border>
    </dxf>
    <dxf>
      <font>
        <b val="0"/>
        <i val="0"/>
        <color theme="0"/>
      </font>
      <fill>
        <patternFill patternType="solid">
          <fgColor theme="2"/>
          <bgColor theme="2"/>
        </patternFill>
      </fill>
      <border>
        <bottom style="medium">
          <color theme="1"/>
        </bottom>
      </border>
    </dxf>
    <dxf>
      <font>
        <color theme="1"/>
      </font>
      <border>
        <top style="medium">
          <color theme="1"/>
        </top>
        <bottom style="medium">
          <color theme="1"/>
        </bottom>
      </border>
    </dxf>
  </dxfs>
  <tableStyles count="2" defaultTableStyle="TableStyleMedium2" defaultPivotStyle="PivotStyleLight16">
    <tableStyle name="AbsencesTableStyle" pivot="0" count="7">
      <tableStyleElement type="wholeTable" dxfId="474"/>
      <tableStyleElement type="headerRow" dxfId="473"/>
      <tableStyleElement type="totalRow" dxfId="472"/>
      <tableStyleElement type="firstColumn" dxfId="471"/>
      <tableStyleElement type="lastColumn" dxfId="470"/>
      <tableStyleElement type="firstRowStripe" dxfId="469"/>
      <tableStyleElement type="firstColumnStripe" dxfId="468"/>
    </tableStyle>
    <tableStyle name="Table Style Custom 2" pivot="0" count="4">
      <tableStyleElement type="wholeTable" dxfId="467"/>
      <tableStyleElement type="headerRow" dxfId="466"/>
      <tableStyleElement type="firstRowStripe" dxfId="465"/>
      <tableStyleElement type="secondRowStripe" dxfId="464"/>
    </tableStyle>
  </tableStyles>
  <colors>
    <mruColors>
      <color rgb="FFFFCCCC"/>
      <color rgb="FFFF9B9B"/>
      <color rgb="FFFCF378"/>
      <color rgb="FFFBEE47"/>
      <color rgb="FFFF0D0D"/>
      <color rgb="FF68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v>AssessmentType</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dLbl>
              <c:idx val="4"/>
              <c:layout>
                <c:manualLayout>
                  <c:x val="4.8683012724675241E-2"/>
                  <c:y val="-0.11677352830896139"/>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5"/>
              <c:layout>
                <c:manualLayout>
                  <c:x val="2.357907793171413E-2"/>
                  <c:y val="6.5369328833895762E-2"/>
                </c:manualLayout>
              </c:layout>
              <c:dLblPos val="bestFit"/>
              <c:showLegendKey val="0"/>
              <c:showVal val="1"/>
              <c:showCatName val="1"/>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Entry'!$M$11:$R$11</c:f>
              <c:strCache>
                <c:ptCount val="6"/>
                <c:pt idx="0">
                  <c:v>Homeworks</c:v>
                </c:pt>
                <c:pt idx="1">
                  <c:v>Classworks</c:v>
                </c:pt>
                <c:pt idx="2">
                  <c:v>Tests</c:v>
                </c:pt>
                <c:pt idx="3">
                  <c:v>Projects</c:v>
                </c:pt>
                <c:pt idx="4">
                  <c:v>Another Type</c:v>
                </c:pt>
                <c:pt idx="5">
                  <c:v>Another Type 2</c:v>
                </c:pt>
              </c:strCache>
            </c:strRef>
          </c:cat>
          <c:val>
            <c:numRef>
              <c:f>'Data Entry'!$M$4:$R$4</c:f>
              <c:numCache>
                <c:formatCode>0%</c:formatCode>
                <c:ptCount val="6"/>
                <c:pt idx="0">
                  <c:v>0.1</c:v>
                </c:pt>
                <c:pt idx="1">
                  <c:v>0.2</c:v>
                </c:pt>
                <c:pt idx="2">
                  <c:v>0.4</c:v>
                </c:pt>
                <c:pt idx="3">
                  <c:v>0.3</c:v>
                </c:pt>
                <c:pt idx="4">
                  <c:v>0</c:v>
                </c:pt>
                <c:pt idx="5">
                  <c:v>0</c:v>
                </c:pt>
              </c:numCache>
            </c:numRef>
          </c:val>
        </c:ser>
        <c:dLbls>
          <c:dLblPos val="bestFit"/>
          <c:showLegendKey val="0"/>
          <c:showVal val="1"/>
          <c:showCatName val="0"/>
          <c:showSerName val="0"/>
          <c:showPercent val="0"/>
          <c:showBubbleSize val="0"/>
          <c:showLeaderLines val="1"/>
        </c:dLbls>
        <c:firstSliceAng val="90"/>
      </c:pieChart>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'Options and Things to Try'!$B$20:$B$32</c:f>
              <c:strCache>
                <c:ptCount val="13"/>
                <c:pt idx="0">
                  <c:v>F</c:v>
                </c:pt>
                <c:pt idx="1">
                  <c:v>D-</c:v>
                </c:pt>
                <c:pt idx="2">
                  <c:v>D</c:v>
                </c:pt>
                <c:pt idx="3">
                  <c:v>D+</c:v>
                </c:pt>
                <c:pt idx="4">
                  <c:v>C-</c:v>
                </c:pt>
                <c:pt idx="5">
                  <c:v>C</c:v>
                </c:pt>
                <c:pt idx="6">
                  <c:v>C+</c:v>
                </c:pt>
                <c:pt idx="7">
                  <c:v>B-</c:v>
                </c:pt>
                <c:pt idx="8">
                  <c:v>B</c:v>
                </c:pt>
                <c:pt idx="9">
                  <c:v>B+</c:v>
                </c:pt>
                <c:pt idx="10">
                  <c:v>A-</c:v>
                </c:pt>
                <c:pt idx="11">
                  <c:v>A</c:v>
                </c:pt>
                <c:pt idx="12">
                  <c:v>A+</c:v>
                </c:pt>
              </c:strCache>
            </c:strRef>
          </c:cat>
          <c:val>
            <c:numRef>
              <c:f>'Options and Things to Try'!$C$20:$C$32</c:f>
              <c:numCache>
                <c:formatCode>General</c:formatCode>
                <c:ptCount val="13"/>
                <c:pt idx="0">
                  <c:v>6</c:v>
                </c:pt>
                <c:pt idx="1">
                  <c:v>0</c:v>
                </c:pt>
                <c:pt idx="2">
                  <c:v>0</c:v>
                </c:pt>
                <c:pt idx="3">
                  <c:v>0</c:v>
                </c:pt>
                <c:pt idx="4">
                  <c:v>0</c:v>
                </c:pt>
                <c:pt idx="5">
                  <c:v>0</c:v>
                </c:pt>
                <c:pt idx="6">
                  <c:v>0</c:v>
                </c:pt>
                <c:pt idx="7">
                  <c:v>1</c:v>
                </c:pt>
                <c:pt idx="8">
                  <c:v>0</c:v>
                </c:pt>
                <c:pt idx="9">
                  <c:v>2</c:v>
                </c:pt>
                <c:pt idx="10">
                  <c:v>0</c:v>
                </c:pt>
                <c:pt idx="11">
                  <c:v>0</c:v>
                </c:pt>
                <c:pt idx="12">
                  <c:v>1</c:v>
                </c:pt>
              </c:numCache>
            </c:numRef>
          </c:val>
        </c:ser>
        <c:dLbls>
          <c:showLegendKey val="0"/>
          <c:showVal val="0"/>
          <c:showCatName val="0"/>
          <c:showSerName val="0"/>
          <c:showPercent val="0"/>
          <c:showBubbleSize val="0"/>
        </c:dLbls>
        <c:gapWidth val="219"/>
        <c:overlap val="-27"/>
        <c:axId val="217305352"/>
        <c:axId val="217305744"/>
      </c:barChart>
      <c:catAx>
        <c:axId val="217305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305744"/>
        <c:crosses val="autoZero"/>
        <c:auto val="1"/>
        <c:lblAlgn val="ctr"/>
        <c:lblOffset val="100"/>
        <c:noMultiLvlLbl val="0"/>
      </c:catAx>
      <c:valAx>
        <c:axId val="217305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Students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305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66676</xdr:colOff>
      <xdr:row>23</xdr:row>
      <xdr:rowOff>0</xdr:rowOff>
    </xdr:from>
    <xdr:to>
      <xdr:col>11</xdr:col>
      <xdr:colOff>95250</xdr:colOff>
      <xdr:row>28</xdr:row>
      <xdr:rowOff>0</xdr:rowOff>
    </xdr:to>
    <xdr:sp macro="" textlink="">
      <xdr:nvSpPr>
        <xdr:cNvPr id="7" name="Rounded Rectangular Callout 6"/>
        <xdr:cNvSpPr/>
      </xdr:nvSpPr>
      <xdr:spPr>
        <a:xfrm>
          <a:off x="66676" y="4905375"/>
          <a:ext cx="2981324" cy="904875"/>
        </a:xfrm>
        <a:prstGeom prst="wedgeRoundRectCallout">
          <a:avLst>
            <a:gd name="adj1" fmla="val -19249"/>
            <a:gd name="adj2" fmla="val -67763"/>
            <a:gd name="adj3" fmla="val 16667"/>
          </a:avLst>
        </a:prstGeom>
        <a:solidFill>
          <a:schemeClr val="accent6">
            <a:lumMod val="20000"/>
            <a:lumOff val="8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US" sz="1100" b="1" baseline="0"/>
            <a:t>Step 1: A</a:t>
          </a:r>
          <a:r>
            <a:rPr lang="en-US" sz="1100" b="1"/>
            <a:t>dd Students</a:t>
          </a:r>
          <a:endParaRPr lang="en-US" sz="1100" b="0"/>
        </a:p>
        <a:p>
          <a:pPr algn="l"/>
          <a:r>
            <a:rPr lang="en-US" sz="1100" baseline="0"/>
            <a:t>- Simply type right below the table and it will automatically expand. </a:t>
          </a:r>
        </a:p>
        <a:p>
          <a:pPr algn="l"/>
          <a:r>
            <a:rPr lang="en-US" sz="1100" baseline="0">
              <a:solidFill>
                <a:schemeClr val="bg1">
                  <a:lumMod val="65000"/>
                </a:schemeClr>
              </a:solidFill>
            </a:rPr>
            <a:t>To delete, click border, press delete</a:t>
          </a:r>
          <a:endParaRPr lang="en-US" sz="1100">
            <a:solidFill>
              <a:schemeClr val="bg1">
                <a:lumMod val="65000"/>
              </a:schemeClr>
            </a:solidFill>
          </a:endParaRPr>
        </a:p>
      </xdr:txBody>
    </xdr:sp>
    <xdr:clientData fPrintsWithSheet="0"/>
  </xdr:twoCellAnchor>
  <xdr:twoCellAnchor editAs="oneCell">
    <xdr:from>
      <xdr:col>18</xdr:col>
      <xdr:colOff>47625</xdr:colOff>
      <xdr:row>23</xdr:row>
      <xdr:rowOff>0</xdr:rowOff>
    </xdr:from>
    <xdr:to>
      <xdr:col>21</xdr:col>
      <xdr:colOff>409576</xdr:colOff>
      <xdr:row>28</xdr:row>
      <xdr:rowOff>1</xdr:rowOff>
    </xdr:to>
    <xdr:sp macro="" textlink="">
      <xdr:nvSpPr>
        <xdr:cNvPr id="8" name="Rounded Rectangular Callout 7"/>
        <xdr:cNvSpPr/>
      </xdr:nvSpPr>
      <xdr:spPr>
        <a:xfrm>
          <a:off x="6696075" y="4905375"/>
          <a:ext cx="2790826" cy="904876"/>
        </a:xfrm>
        <a:prstGeom prst="wedgeRoundRectCallout">
          <a:avLst>
            <a:gd name="adj1" fmla="val -36519"/>
            <a:gd name="adj2" fmla="val -83985"/>
            <a:gd name="adj3" fmla="val 16667"/>
          </a:avLst>
        </a:prstGeom>
        <a:solidFill>
          <a:schemeClr val="accent6">
            <a:lumMod val="20000"/>
            <a:lumOff val="8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US" sz="1100" b="1" baseline="0"/>
            <a:t>Step 3: S</a:t>
          </a:r>
          <a:r>
            <a:rPr lang="en-US" sz="1100" b="1"/>
            <a:t>tart Entering Scores </a:t>
          </a:r>
        </a:p>
        <a:p>
          <a:pPr algn="l"/>
          <a:r>
            <a:rPr lang="en-US" sz="1100" b="0"/>
            <a:t>- Enter</a:t>
          </a:r>
          <a:r>
            <a:rPr lang="en-US" sz="1100" b="0" baseline="0"/>
            <a:t> scores starting in column S</a:t>
          </a:r>
        </a:p>
        <a:p>
          <a:pPr algn="l"/>
          <a:r>
            <a:rPr lang="en-US" sz="1100" b="0" baseline="0"/>
            <a:t>- Fill in the header information at top</a:t>
          </a:r>
        </a:p>
        <a:p>
          <a:pPr algn="l"/>
          <a:r>
            <a:rPr lang="en-US" sz="1100" b="0" baseline="0">
              <a:solidFill>
                <a:schemeClr val="bg1">
                  <a:lumMod val="50000"/>
                </a:schemeClr>
              </a:solidFill>
            </a:rPr>
            <a:t>Good luck and feel free to explore!</a:t>
          </a:r>
        </a:p>
      </xdr:txBody>
    </xdr:sp>
    <xdr:clientData fPrintsWithSheet="0"/>
  </xdr:twoCellAnchor>
  <xdr:twoCellAnchor>
    <xdr:from>
      <xdr:col>2</xdr:col>
      <xdr:colOff>85724</xdr:colOff>
      <xdr:row>0</xdr:row>
      <xdr:rowOff>66676</xdr:rowOff>
    </xdr:from>
    <xdr:to>
      <xdr:col>9</xdr:col>
      <xdr:colOff>666750</xdr:colOff>
      <xdr:row>4</xdr:row>
      <xdr:rowOff>66676</xdr:rowOff>
    </xdr:to>
    <xdr:sp macro="" textlink="">
      <xdr:nvSpPr>
        <xdr:cNvPr id="9" name="Rounded Rectangle 8"/>
        <xdr:cNvSpPr/>
      </xdr:nvSpPr>
      <xdr:spPr>
        <a:xfrm>
          <a:off x="2114549" y="66676"/>
          <a:ext cx="6248401" cy="723900"/>
        </a:xfrm>
        <a:prstGeom prst="roundRect">
          <a:avLst/>
        </a:prstGeom>
        <a:solidFill>
          <a:schemeClr val="accent4">
            <a:lumMod val="20000"/>
            <a:lumOff val="8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baseline="0"/>
            <a:t>    </a:t>
          </a:r>
          <a:r>
            <a:rPr lang="en-US" sz="1100"/>
            <a:t>These columns</a:t>
          </a:r>
          <a:r>
            <a:rPr lang="en-US" sz="1100" baseline="0"/>
            <a:t> hold demographic information and other data that you can use later to help analyze how your students are doing. Rename and make your own custom categories!</a:t>
          </a:r>
        </a:p>
        <a:p>
          <a:pPr algn="l"/>
          <a:r>
            <a:rPr lang="en-US" sz="1100" baseline="0">
              <a:solidFill>
                <a:schemeClr val="bg1">
                  <a:lumMod val="65000"/>
                </a:schemeClr>
              </a:solidFill>
            </a:rPr>
            <a:t>To delete, click border, press delete</a:t>
          </a:r>
          <a:endParaRPr lang="en-US" sz="1100">
            <a:solidFill>
              <a:schemeClr val="bg1">
                <a:lumMod val="65000"/>
              </a:schemeClr>
            </a:solidFill>
          </a:endParaRPr>
        </a:p>
      </xdr:txBody>
    </xdr:sp>
    <xdr:clientData fPrintsWithSheet="0"/>
  </xdr:twoCellAnchor>
  <xdr:twoCellAnchor editAs="oneCell">
    <xdr:from>
      <xdr:col>23</xdr:col>
      <xdr:colOff>157442</xdr:colOff>
      <xdr:row>1</xdr:row>
      <xdr:rowOff>25772</xdr:rowOff>
    </xdr:from>
    <xdr:to>
      <xdr:col>26</xdr:col>
      <xdr:colOff>378285</xdr:colOff>
      <xdr:row>10</xdr:row>
      <xdr:rowOff>1000125</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2492317" y="206747"/>
          <a:ext cx="2649718" cy="1812553"/>
        </a:xfrm>
        <a:prstGeom prst="roundRect">
          <a:avLst>
            <a:gd name="adj" fmla="val 8594"/>
          </a:avLst>
        </a:prstGeom>
        <a:solidFill>
          <a:srgbClr val="FFFFFF">
            <a:shade val="85000"/>
          </a:srgbClr>
        </a:solidFill>
        <a:ln>
          <a:solidFill>
            <a:schemeClr val="accent6"/>
          </a:solidFill>
        </a:ln>
        <a:effectLst/>
      </xdr:spPr>
    </xdr:pic>
    <xdr:clientData/>
  </xdr:twoCellAnchor>
  <xdr:twoCellAnchor>
    <xdr:from>
      <xdr:col>19</xdr:col>
      <xdr:colOff>77750</xdr:colOff>
      <xdr:row>5</xdr:row>
      <xdr:rowOff>11206</xdr:rowOff>
    </xdr:from>
    <xdr:to>
      <xdr:col>25</xdr:col>
      <xdr:colOff>762000</xdr:colOff>
      <xdr:row>9</xdr:row>
      <xdr:rowOff>68036</xdr:rowOff>
    </xdr:to>
    <xdr:sp macro="" textlink="">
      <xdr:nvSpPr>
        <xdr:cNvPr id="12" name="Rounded Rectangle 11"/>
        <xdr:cNvSpPr/>
      </xdr:nvSpPr>
      <xdr:spPr>
        <a:xfrm>
          <a:off x="9174125" y="1030381"/>
          <a:ext cx="5542000" cy="78073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US" sz="1100" baseline="0"/>
            <a:t>    </a:t>
          </a:r>
          <a:r>
            <a:rPr lang="en-US" sz="1100"/>
            <a:t>These rows help tally the scores for</a:t>
          </a:r>
          <a:r>
            <a:rPr lang="en-US" sz="1100" baseline="0"/>
            <a:t> the above distribution chart. You can change the ranges on the Options and Things to Try sheet. Note: if you want to add more rows (to have more bars) insert rows above row 8 or 9 as the top and bottom formulas are different.</a:t>
          </a:r>
        </a:p>
      </xdr:txBody>
    </xdr:sp>
    <xdr:clientData fPrintsWithSheet="0"/>
  </xdr:twoCellAnchor>
  <xdr:twoCellAnchor>
    <xdr:from>
      <xdr:col>6</xdr:col>
      <xdr:colOff>234043</xdr:colOff>
      <xdr:row>21</xdr:row>
      <xdr:rowOff>69397</xdr:rowOff>
    </xdr:from>
    <xdr:to>
      <xdr:col>9</xdr:col>
      <xdr:colOff>586469</xdr:colOff>
      <xdr:row>26</xdr:row>
      <xdr:rowOff>25853</xdr:rowOff>
    </xdr:to>
    <xdr:sp macro="" textlink="">
      <xdr:nvSpPr>
        <xdr:cNvPr id="14" name="Rounded Rectangle 13"/>
        <xdr:cNvSpPr/>
      </xdr:nvSpPr>
      <xdr:spPr>
        <a:xfrm>
          <a:off x="5554436" y="4559754"/>
          <a:ext cx="2801712" cy="840920"/>
        </a:xfrm>
        <a:prstGeom prst="roundRect">
          <a:avLst>
            <a:gd name="adj" fmla="val 4264"/>
          </a:avLst>
        </a:prstGeom>
        <a:solidFill>
          <a:schemeClr val="accent4">
            <a:lumMod val="20000"/>
            <a:lumOff val="8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baseline="0"/>
            <a:t>    The counts of absent and late come from a hidden "Absences" sheet. If you want to track absenses/lates, right click on the sheet tabs at bottom and click "Unhide."</a:t>
          </a:r>
          <a:endParaRPr lang="en-US" sz="1100">
            <a:solidFill>
              <a:schemeClr val="bg1">
                <a:lumMod val="65000"/>
              </a:schemeClr>
            </a:solidFill>
          </a:endParaRPr>
        </a:p>
      </xdr:txBody>
    </xdr:sp>
    <xdr:clientData fPrintsWithSheet="0"/>
  </xdr:twoCellAnchor>
  <xdr:twoCellAnchor>
    <xdr:from>
      <xdr:col>12</xdr:col>
      <xdr:colOff>76201</xdr:colOff>
      <xdr:row>23</xdr:row>
      <xdr:rowOff>9525</xdr:rowOff>
    </xdr:from>
    <xdr:to>
      <xdr:col>16</xdr:col>
      <xdr:colOff>285751</xdr:colOff>
      <xdr:row>29</xdr:row>
      <xdr:rowOff>9525</xdr:rowOff>
    </xdr:to>
    <xdr:sp macro="" textlink="">
      <xdr:nvSpPr>
        <xdr:cNvPr id="15" name="Rounded Rectangle 14"/>
        <xdr:cNvSpPr/>
      </xdr:nvSpPr>
      <xdr:spPr>
        <a:xfrm>
          <a:off x="3505201" y="4914900"/>
          <a:ext cx="3448050" cy="1085850"/>
        </a:xfrm>
        <a:prstGeom prst="roundRect">
          <a:avLst>
            <a:gd name="adj" fmla="val 15143"/>
          </a:avLst>
        </a:prstGeom>
        <a:solidFill>
          <a:schemeClr val="bg2"/>
        </a:solidFill>
        <a:ln>
          <a:solidFill>
            <a:schemeClr val="bg2">
              <a:lumMod val="5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US" sz="1100" b="1" baseline="0"/>
            <a:t>S</a:t>
          </a:r>
          <a:r>
            <a:rPr lang="en-US" sz="1100" b="1"/>
            <a:t>tep</a:t>
          </a:r>
          <a:r>
            <a:rPr lang="en-US" sz="1100" b="1" baseline="0"/>
            <a:t> 2:</a:t>
          </a:r>
          <a:r>
            <a:rPr lang="en-US" sz="1100" b="1"/>
            <a:t> Enter Grading</a:t>
          </a:r>
          <a:r>
            <a:rPr lang="en-US" sz="1100" b="1" baseline="0"/>
            <a:t> Breakdown</a:t>
          </a:r>
        </a:p>
        <a:p>
          <a:pPr algn="l"/>
          <a:r>
            <a:rPr lang="en-US" sz="1100" b="0" baseline="0"/>
            <a:t>- In M4:R4: what percent should each assessment type be in the running average? </a:t>
          </a:r>
        </a:p>
        <a:p>
          <a:pPr algn="l"/>
          <a:r>
            <a:rPr lang="en-US" sz="1100" b="0" baseline="0"/>
            <a:t>- Rename the assessment types if desired.</a:t>
          </a:r>
        </a:p>
        <a:p>
          <a:pPr algn="l"/>
          <a:r>
            <a:rPr lang="en-US" sz="1100" b="0" baseline="0">
              <a:solidFill>
                <a:schemeClr val="bg1">
                  <a:lumMod val="50000"/>
                </a:schemeClr>
              </a:solidFill>
            </a:rPr>
            <a:t>Use the +/- box above column R to hide these columns</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38</xdr:row>
      <xdr:rowOff>142875</xdr:rowOff>
    </xdr:from>
    <xdr:to>
      <xdr:col>3</xdr:col>
      <xdr:colOff>4591050</xdr:colOff>
      <xdr:row>40</xdr:row>
      <xdr:rowOff>84896</xdr:rowOff>
    </xdr:to>
    <xdr:sp macro="" textlink="">
      <xdr:nvSpPr>
        <xdr:cNvPr id="2" name="Rounded Rectangle 1"/>
        <xdr:cNvSpPr/>
      </xdr:nvSpPr>
      <xdr:spPr>
        <a:xfrm>
          <a:off x="57150" y="3676650"/>
          <a:ext cx="7086600" cy="323021"/>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For the following</a:t>
          </a:r>
          <a:r>
            <a:rPr lang="en-US" sz="1100" baseline="0"/>
            <a:t> </a:t>
          </a:r>
          <a:r>
            <a:rPr lang="en-US" sz="1100" i="1" baseline="0"/>
            <a:t>Things To Try</a:t>
          </a:r>
          <a:r>
            <a:rPr lang="en-US" sz="1100" i="0" baseline="0"/>
            <a:t> if you mark </a:t>
          </a:r>
          <a:r>
            <a:rPr lang="en-US" sz="1100" i="1" baseline="0"/>
            <a:t>Tried It</a:t>
          </a:r>
          <a:r>
            <a:rPr lang="en-US" sz="1100" i="0" baseline="0"/>
            <a:t> in the darker boxes you will get more instructions.</a:t>
          </a:r>
          <a:endParaRPr lang="en-US" sz="1100" i="1"/>
        </a:p>
      </xdr:txBody>
    </xdr:sp>
    <xdr:clientData/>
  </xdr:twoCellAnchor>
  <xdr:twoCellAnchor>
    <xdr:from>
      <xdr:col>3</xdr:col>
      <xdr:colOff>66676</xdr:colOff>
      <xdr:row>1</xdr:row>
      <xdr:rowOff>19051</xdr:rowOff>
    </xdr:from>
    <xdr:to>
      <xdr:col>3</xdr:col>
      <xdr:colOff>4581526</xdr:colOff>
      <xdr:row>15</xdr:row>
      <xdr:rowOff>133351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628650</xdr:colOff>
      <xdr:row>23</xdr:row>
      <xdr:rowOff>28575</xdr:rowOff>
    </xdr:from>
    <xdr:to>
      <xdr:col>3</xdr:col>
      <xdr:colOff>3952874</xdr:colOff>
      <xdr:row>32</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247650</xdr:colOff>
      <xdr:row>0</xdr:row>
      <xdr:rowOff>180974</xdr:rowOff>
    </xdr:from>
    <xdr:to>
      <xdr:col>13</xdr:col>
      <xdr:colOff>238125</xdr:colOff>
      <xdr:row>11</xdr:row>
      <xdr:rowOff>9525</xdr:rowOff>
    </xdr:to>
    <xdr:sp macro="" textlink="">
      <xdr:nvSpPr>
        <xdr:cNvPr id="3" name="Rounded Rectangle 2"/>
        <xdr:cNvSpPr/>
      </xdr:nvSpPr>
      <xdr:spPr>
        <a:xfrm>
          <a:off x="2895600" y="180974"/>
          <a:ext cx="6696075" cy="1733551"/>
        </a:xfrm>
        <a:prstGeom prst="roundRect">
          <a:avLst>
            <a:gd name="adj" fmla="val 4386"/>
          </a:avLst>
        </a:prstGeom>
        <a:solidFill>
          <a:schemeClr val="tx2">
            <a:lumMod val="20000"/>
            <a:lumOff val="8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Here is a PivotTable that can be used to summarize and show scores. There is a good deal to learn, but learning this is very </a:t>
          </a:r>
          <a:r>
            <a:rPr lang="en-US" sz="1100" i="1" baseline="0">
              <a:solidFill>
                <a:schemeClr val="dk1"/>
              </a:solidFill>
              <a:effectLst/>
              <a:latin typeface="+mn-lt"/>
              <a:ea typeface="+mn-ea"/>
              <a:cs typeface="+mn-cs"/>
            </a:rPr>
            <a:t>POWERFUL</a:t>
          </a:r>
          <a:r>
            <a:rPr lang="en-US" sz="1100" i="0" baseline="0">
              <a:solidFill>
                <a:schemeClr val="dk1"/>
              </a:solidFill>
              <a:effectLst/>
              <a:latin typeface="+mn-lt"/>
              <a:ea typeface="+mn-ea"/>
              <a:cs typeface="+mn-cs"/>
            </a:rPr>
            <a:t>.</a:t>
          </a:r>
          <a:endParaRPr lang="en-US">
            <a:effectLst/>
          </a:endParaRPr>
        </a:p>
        <a:p>
          <a:pPr algn="l"/>
          <a:endParaRPr lang="en-US" sz="1100" baseline="0"/>
        </a:p>
        <a:p>
          <a:pPr algn="l"/>
          <a:r>
            <a:rPr lang="en-US" sz="1100" baseline="0"/>
            <a:t>First, always click on the table and then under PivotTable Tools-&gt; options, </a:t>
          </a:r>
          <a:r>
            <a:rPr lang="en-US" sz="1100" b="1" baseline="0"/>
            <a:t>click refresh to update the data</a:t>
          </a:r>
          <a:r>
            <a:rPr lang="en-US" sz="1100" baseline="0"/>
            <a:t>.</a:t>
          </a:r>
        </a:p>
        <a:p>
          <a:pPr algn="l"/>
          <a:r>
            <a:rPr lang="en-US" sz="1100" i="0" baseline="0"/>
            <a:t>To change which score(s) are shown, click inside the table. </a:t>
          </a:r>
          <a:r>
            <a:rPr lang="en-US" sz="1100" b="1" i="0" baseline="0"/>
            <a:t>Drag and drop </a:t>
          </a:r>
          <a:r>
            <a:rPr lang="en-US" sz="1100" b="0" i="0" baseline="0"/>
            <a:t>fields into the four spots. Have fun!</a:t>
          </a:r>
        </a:p>
        <a:p>
          <a:pPr algn="l"/>
          <a:r>
            <a:rPr lang="en-US" sz="1100" b="0" i="0" baseline="0"/>
            <a:t>If you have not already, you can add more demographic data for your students. (See the hidden columns by expanding the plus box above cell K.)</a:t>
          </a:r>
        </a:p>
        <a:p>
          <a:pPr algn="l"/>
          <a:endParaRPr lang="en-US" sz="1100" b="0" i="0" baseline="0"/>
        </a:p>
        <a:p>
          <a:pPr marL="0" marR="0" indent="0" algn="l"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If you have Windows and Excel 2010+, you can then instantly graph this with a PivotChart. Click on the PivotTable and then in the PivotTable options in the ribbon click PivotChart.</a:t>
          </a:r>
          <a:endParaRPr lang="en-US">
            <a:effectLst/>
          </a:endParaRPr>
        </a:p>
        <a:p>
          <a:pPr algn="l"/>
          <a:endParaRPr lang="en-US" sz="1100" b="0" i="0" baseline="0"/>
        </a:p>
        <a:p>
          <a:pPr algn="l"/>
          <a:endParaRPr lang="en-US" sz="1100" b="0" i="0"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238125</xdr:colOff>
      <xdr:row>0</xdr:row>
      <xdr:rowOff>180974</xdr:rowOff>
    </xdr:from>
    <xdr:to>
      <xdr:col>12</xdr:col>
      <xdr:colOff>600075</xdr:colOff>
      <xdr:row>13</xdr:row>
      <xdr:rowOff>161925</xdr:rowOff>
    </xdr:to>
    <xdr:sp macro="" textlink="">
      <xdr:nvSpPr>
        <xdr:cNvPr id="2" name="Rounded Rectangle 1"/>
        <xdr:cNvSpPr/>
      </xdr:nvSpPr>
      <xdr:spPr>
        <a:xfrm>
          <a:off x="4791075" y="180974"/>
          <a:ext cx="7981950" cy="2943226"/>
        </a:xfrm>
        <a:prstGeom prst="roundRect">
          <a:avLst>
            <a:gd name="adj" fmla="val 2955"/>
          </a:avLst>
        </a:prstGeom>
        <a:solidFill>
          <a:schemeClr val="accent4">
            <a:lumMod val="40000"/>
            <a:lumOff val="60000"/>
          </a:schemeClr>
        </a:solidFill>
        <a:ln>
          <a:solidFill>
            <a:schemeClr val="accent4">
              <a:lumMod val="60000"/>
              <a:lumOff val="40000"/>
            </a:schemeClr>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ctr"/>
          <a:r>
            <a:rPr lang="en-US" sz="1200" b="1"/>
            <a:t>Grade Printouts </a:t>
          </a:r>
        </a:p>
        <a:p>
          <a:pPr algn="l"/>
          <a:r>
            <a:rPr lang="en-US" sz="1200" b="0">
              <a:effectLst/>
            </a:rPr>
            <a:t>Here </a:t>
          </a:r>
          <a:r>
            <a:rPr lang="en-US" sz="1200" b="0" baseline="0">
              <a:effectLst/>
            </a:rPr>
            <a:t>you can make grade printouts for one or all of your students.</a:t>
          </a:r>
        </a:p>
        <a:p>
          <a:pPr algn="l"/>
          <a:r>
            <a:rPr lang="en-US" sz="1200" b="0" baseline="0">
              <a:effectLst/>
            </a:rPr>
            <a:t>- First, customize the header to the left however you would like. The general comment will appear on all of the printouts.</a:t>
          </a:r>
        </a:p>
        <a:p>
          <a:pPr algn="l"/>
          <a:r>
            <a:rPr lang="en-US" sz="1200" b="0" baseline="0">
              <a:effectLst/>
            </a:rPr>
            <a:t>- Fill the cells in the rightmost column to the right until you get all the students. You need to select all the cells with stuff in them. And "fill" means select the cells and then drag the little square in the bottom right of the selection.</a:t>
          </a:r>
        </a:p>
        <a:p>
          <a:pPr algn="l"/>
          <a:r>
            <a:rPr lang="en-US" sz="1200" b="0" baseline="0">
              <a:effectLst/>
            </a:rPr>
            <a:t>- You can now hide row 15.</a:t>
          </a:r>
        </a:p>
        <a:p>
          <a:pPr algn="l"/>
          <a:r>
            <a:rPr lang="en-US" sz="1200" b="0" baseline="0">
              <a:effectLst/>
            </a:rPr>
            <a:t>- Fill the cells in the bottommost row down until you get all the assignments.</a:t>
          </a:r>
        </a:p>
        <a:p>
          <a:pPr algn="l"/>
          <a:r>
            <a:rPr lang="en-US" sz="1200" b="0" baseline="0">
              <a:effectLst/>
            </a:rPr>
            <a:t>Note 1: You might need to delete any extra assessment types row(s) if you have not used all six.</a:t>
          </a:r>
        </a:p>
        <a:p>
          <a:pPr algn="l"/>
          <a:r>
            <a:rPr lang="en-US" sz="1200" b="0" baseline="0">
              <a:effectLst/>
            </a:rPr>
            <a:t>Note 2: If you inserted new columns in the data entry sheet and things are not appearing quite right, expand the plus boxes, and edit the references.</a:t>
          </a:r>
        </a:p>
        <a:p>
          <a:pPr algn="l"/>
          <a:r>
            <a:rPr lang="en-US" sz="1200" b="0" baseline="0">
              <a:effectLst/>
            </a:rPr>
            <a:t>- Adjust the print area (under page layout) to cover all the area.</a:t>
          </a:r>
          <a:endParaRPr lang="en-US" b="0">
            <a:effectLst/>
          </a:endParaRPr>
        </a:p>
        <a:p>
          <a:pPr algn="l"/>
          <a:r>
            <a:rPr lang="en-US" sz="1100"/>
            <a:t>- When printing,</a:t>
          </a:r>
          <a:r>
            <a:rPr lang="en-US" sz="1100" baseline="0"/>
            <a:t> check to see with print preview that everything appears correctly. You can print just one page if you want just one student or you can print all the pages if you would like everyone.</a:t>
          </a:r>
        </a:p>
        <a:p>
          <a:pPr algn="l"/>
          <a:r>
            <a:rPr lang="en-US" sz="1100" baseline="0"/>
            <a:t>Note 3: this works by having set "print titles" on this sheet that repeat, and adjusting the margins to get only 1 student at a time. </a:t>
          </a:r>
        </a:p>
        <a:p>
          <a:pPr algn="l"/>
          <a:r>
            <a:rPr lang="en-US" sz="1100" baseline="0"/>
            <a:t>Also note: You got this! But definitely ask someone if something is confusing. You can keep these instructions for reference if desired.</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xdr:from>
      <xdr:col>0</xdr:col>
      <xdr:colOff>66261</xdr:colOff>
      <xdr:row>12</xdr:row>
      <xdr:rowOff>157370</xdr:rowOff>
    </xdr:from>
    <xdr:to>
      <xdr:col>3</xdr:col>
      <xdr:colOff>1242</xdr:colOff>
      <xdr:row>27</xdr:row>
      <xdr:rowOff>47625</xdr:rowOff>
    </xdr:to>
    <xdr:sp macro="" textlink="">
      <xdr:nvSpPr>
        <xdr:cNvPr id="2" name="Rounded Rectangular Callout 1"/>
        <xdr:cNvSpPr/>
      </xdr:nvSpPr>
      <xdr:spPr>
        <a:xfrm>
          <a:off x="66261" y="3148220"/>
          <a:ext cx="2049531" cy="2747755"/>
        </a:xfrm>
        <a:prstGeom prst="wedgeRoundRectCallout">
          <a:avLst>
            <a:gd name="adj1" fmla="val -32979"/>
            <a:gd name="adj2" fmla="val -55495"/>
            <a:gd name="adj3" fmla="val 1666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100"/>
            <a:t>    Just like the main Data Entry sheet,</a:t>
          </a:r>
          <a:r>
            <a:rPr lang="en-US" sz="1100" baseline="0"/>
            <a:t> enter your student names here. Make sure they match exactly in spelling. Marks of absent and late go into the hidden columns on the main table. (Click the + box above column K to show.) </a:t>
          </a:r>
        </a:p>
        <a:p>
          <a:pPr algn="l"/>
          <a:r>
            <a:rPr lang="en-US" sz="1100" baseline="0"/>
            <a:t>    You could reference it for a participation grade, or make a graph comparing attendance and performance.</a:t>
          </a:r>
          <a:endParaRPr lang="en-US" sz="1100"/>
        </a:p>
      </xdr:txBody>
    </xdr:sp>
    <xdr:clientData/>
  </xdr:twoCellAnchor>
  <xdr:twoCellAnchor>
    <xdr:from>
      <xdr:col>3</xdr:col>
      <xdr:colOff>231914</xdr:colOff>
      <xdr:row>13</xdr:row>
      <xdr:rowOff>41411</xdr:rowOff>
    </xdr:from>
    <xdr:to>
      <xdr:col>12</xdr:col>
      <xdr:colOff>182218</xdr:colOff>
      <xdr:row>17</xdr:row>
      <xdr:rowOff>179293</xdr:rowOff>
    </xdr:to>
    <xdr:sp macro="" textlink="">
      <xdr:nvSpPr>
        <xdr:cNvPr id="3" name="Rounded Rectangular Callout 2"/>
        <xdr:cNvSpPr/>
      </xdr:nvSpPr>
      <xdr:spPr>
        <a:xfrm>
          <a:off x="2349826" y="2954940"/>
          <a:ext cx="2471627" cy="855059"/>
        </a:xfrm>
        <a:prstGeom prst="wedgeRoundRectCallout">
          <a:avLst>
            <a:gd name="adj1" fmla="val -26571"/>
            <a:gd name="adj2" fmla="val -76947"/>
            <a:gd name="adj3" fmla="val 1666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100"/>
            <a:t>Mark a for absent and l for late. One nice feature is that</a:t>
          </a:r>
          <a:r>
            <a:rPr lang="en-US" sz="1100" baseline="0"/>
            <a:t> the column for today's date is highlighted. </a:t>
          </a:r>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jabbott" refreshedDate="41953.855659606481" createdVersion="5" refreshedVersion="5" minRefreshableVersion="3" recordCount="10">
  <cacheSource type="worksheet">
    <worksheetSource name="Trackerdata"/>
  </cacheSource>
  <cacheFields count="48">
    <cacheField name="Class" numFmtId="0">
      <sharedItems containsSemiMixedTypes="0" containsString="0" containsNumber="1" containsInteger="1" minValue="1" maxValue="1" count="1">
        <n v="1"/>
      </sharedItems>
    </cacheField>
    <cacheField name="Name" numFmtId="0">
      <sharedItems/>
    </cacheField>
    <cacheField name="Race" numFmtId="0">
      <sharedItems containsNonDate="0" containsString="0" containsBlank="1"/>
    </cacheField>
    <cacheField name="Gender" numFmtId="0">
      <sharedItems containsNonDate="0" containsString="0" containsBlank="1"/>
    </cacheField>
    <cacheField name="Age" numFmtId="0">
      <sharedItems containsNonDate="0" containsString="0" containsBlank="1"/>
    </cacheField>
    <cacheField name="Repeated Grades" numFmtId="0">
      <sharedItems containsNonDate="0" containsString="0" containsBlank="1"/>
    </cacheField>
    <cacheField name="Financial Status" numFmtId="0">
      <sharedItems containsNonDate="0" containsString="0" containsBlank="1"/>
    </cacheField>
    <cacheField name="Absent" numFmtId="0">
      <sharedItems containsSemiMixedTypes="0" containsString="0" containsNumber="1" containsInteger="1" minValue="0" maxValue="2"/>
    </cacheField>
    <cacheField name="Late" numFmtId="0">
      <sharedItems containsSemiMixedTypes="0" containsString="0" containsNumber="1" containsInteger="1" minValue="0" maxValue="1"/>
    </cacheField>
    <cacheField name="Make your own categories" numFmtId="0">
      <sharedItems containsNonDate="0" containsString="0" containsBlank="1"/>
    </cacheField>
    <cacheField name="Running Average" numFmtId="164">
      <sharedItems containsSemiMixedTypes="0" containsString="0" containsNumber="1" minValue="0" maxValue="100" count="5">
        <n v="100"/>
        <n v="89.733333333333334"/>
        <n v="82"/>
        <n v="88.333333333333343"/>
        <n v="0"/>
      </sharedItems>
      <fieldGroup base="10">
        <rangePr autoStart="0" startNum="60" endNum="100" groupInterval="10"/>
        <groupItems count="6">
          <s v="&lt;60"/>
          <s v="60-70"/>
          <s v="70-80"/>
          <s v="80-90"/>
          <s v="90-100"/>
          <s v="&gt;100"/>
        </groupItems>
      </fieldGroup>
    </cacheField>
    <cacheField name="Letter Grade" numFmtId="164">
      <sharedItems count="4">
        <s v="A+"/>
        <s v="B+"/>
        <s v="B-"/>
        <s v="F"/>
      </sharedItems>
    </cacheField>
    <cacheField name="Homeworks" numFmtId="164">
      <sharedItems containsSemiMixedTypes="0" containsString="0" containsNumber="1" minValue="0" maxValue="100"/>
    </cacheField>
    <cacheField name="Classworks" numFmtId="164">
      <sharedItems containsSemiMixedTypes="0" containsString="0" containsNumber="1" minValue="0" maxValue="100"/>
    </cacheField>
    <cacheField name="Tests" numFmtId="164">
      <sharedItems containsSemiMixedTypes="0" containsString="0" containsNumber="1" containsInteger="1" minValue="0" maxValue="100"/>
    </cacheField>
    <cacheField name="Projects" numFmtId="164">
      <sharedItems containsSemiMixedTypes="0" containsString="0" containsNumber="1" containsInteger="1" minValue="0" maxValue="100"/>
    </cacheField>
    <cacheField name="Another Type" numFmtId="164">
      <sharedItems/>
    </cacheField>
    <cacheField name="Another Type 2" numFmtId="164">
      <sharedItems/>
    </cacheField>
    <cacheField name="Homework One" numFmtId="0">
      <sharedItems containsString="0" containsBlank="1" containsNumber="1" containsInteger="1" minValue="8" maxValue="10"/>
    </cacheField>
    <cacheField name="Classwork  One" numFmtId="0">
      <sharedItems containsString="0" containsBlank="1" containsNumber="1" containsInteger="1" minValue="10" maxValue="15"/>
    </cacheField>
    <cacheField name="Homework Two" numFmtId="0">
      <sharedItems containsBlank="1" containsMixedTypes="1" containsNumber="1" containsInteger="1" minValue="4" maxValue="5"/>
    </cacheField>
    <cacheField name="First Test" numFmtId="0">
      <sharedItems containsString="0" containsBlank="1" containsNumber="1" containsInteger="1" minValue="40" maxValue="50"/>
    </cacheField>
    <cacheField name="Project" numFmtId="0">
      <sharedItems containsString="0" containsBlank="1" containsNumber="1" containsInteger="1" minValue="8" maxValue="10"/>
    </cacheField>
    <cacheField name="Assessment 2" numFmtId="0">
      <sharedItems containsNonDate="0" containsString="0" containsBlank="1"/>
    </cacheField>
    <cacheField name="Assessment 3" numFmtId="0">
      <sharedItems containsNonDate="0" containsString="0" containsBlank="1"/>
    </cacheField>
    <cacheField name="Assessment 4" numFmtId="0">
      <sharedItems containsNonDate="0" containsString="0" containsBlank="1"/>
    </cacheField>
    <cacheField name="Assessment 5" numFmtId="0">
      <sharedItems containsNonDate="0" containsString="0" containsBlank="1"/>
    </cacheField>
    <cacheField name="Assessment 6" numFmtId="0">
      <sharedItems containsNonDate="0" containsString="0" containsBlank="1"/>
    </cacheField>
    <cacheField name="Assessment 7" numFmtId="0">
      <sharedItems containsNonDate="0" containsString="0" containsBlank="1"/>
    </cacheField>
    <cacheField name="Assessment 8" numFmtId="0">
      <sharedItems containsNonDate="0" containsString="0" containsBlank="1"/>
    </cacheField>
    <cacheField name="Assessment 9" numFmtId="0">
      <sharedItems containsNonDate="0" containsString="0" containsBlank="1"/>
    </cacheField>
    <cacheField name="Assessment 10" numFmtId="0">
      <sharedItems containsNonDate="0" containsString="0" containsBlank="1"/>
    </cacheField>
    <cacheField name="Assessment 11" numFmtId="0">
      <sharedItems containsNonDate="0" containsString="0" containsBlank="1"/>
    </cacheField>
    <cacheField name="Assessment 12" numFmtId="0">
      <sharedItems containsNonDate="0" containsString="0" containsBlank="1"/>
    </cacheField>
    <cacheField name="Assessment 13" numFmtId="0">
      <sharedItems containsNonDate="0" containsString="0" containsBlank="1"/>
    </cacheField>
    <cacheField name="Assessment 14" numFmtId="0">
      <sharedItems containsNonDate="0" containsString="0" containsBlank="1"/>
    </cacheField>
    <cacheField name="Assessment 15" numFmtId="0">
      <sharedItems containsNonDate="0" containsString="0" containsBlank="1"/>
    </cacheField>
    <cacheField name="Assessment 16" numFmtId="0">
      <sharedItems containsNonDate="0" containsString="0" containsBlank="1"/>
    </cacheField>
    <cacheField name="Assessment 17" numFmtId="0">
      <sharedItems containsNonDate="0" containsString="0" containsBlank="1"/>
    </cacheField>
    <cacheField name="Assessment 18" numFmtId="0">
      <sharedItems containsNonDate="0" containsString="0" containsBlank="1"/>
    </cacheField>
    <cacheField name="Assessment 19" numFmtId="0">
      <sharedItems containsNonDate="0" containsString="0" containsBlank="1"/>
    </cacheField>
    <cacheField name="Assessment 20" numFmtId="0">
      <sharedItems containsNonDate="0" containsString="0" containsBlank="1"/>
    </cacheField>
    <cacheField name="Assessment 21" numFmtId="0">
      <sharedItems containsNonDate="0" containsString="0" containsBlank="1"/>
    </cacheField>
    <cacheField name="Assessment 22" numFmtId="0">
      <sharedItems containsNonDate="0" containsString="0" containsBlank="1"/>
    </cacheField>
    <cacheField name="Assessment 23" numFmtId="0">
      <sharedItems containsNonDate="0" containsString="0" containsBlank="1"/>
    </cacheField>
    <cacheField name="Assessment 24" numFmtId="0">
      <sharedItems containsNonDate="0" containsString="0" containsBlank="1"/>
    </cacheField>
    <cacheField name="Assessment 25" numFmtId="0">
      <sharedItems containsNonDate="0" containsString="0" containsBlank="1"/>
    </cacheField>
    <cacheField name="Assessment | Insert new columns before here" numFmtId="0">
      <sharedItems containsNonDate="0" containsString="0" containsBlank="1"/>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ExplPivotTable" cacheId="0" applyNumberFormats="0" applyBorderFormats="0" applyFontFormats="0" applyPatternFormats="0" applyAlignmentFormats="0" applyWidthHeightFormats="1" dataCaption="Values" errorCaption="None" showError="1" updatedVersion="5" minRefreshableVersion="3" enableDrill="0" useAutoFormatting="1" itemPrintTitles="1" createdVersion="5" indent="0" outline="1" outlineData="1" multipleFieldFilters="0" chartFormat="2">
  <location ref="A3:B5" firstHeaderRow="1" firstDataRow="1" firstDataCol="1"/>
  <pivotFields count="48">
    <pivotField axis="axisRow" showAll="0">
      <items count="2">
        <item x="0"/>
        <item t="default"/>
      </items>
    </pivotField>
    <pivotField showAll="0"/>
    <pivotField showAll="0"/>
    <pivotField showAll="0"/>
    <pivotField showAll="0"/>
    <pivotField showAll="0"/>
    <pivotField showAll="0"/>
    <pivotField showAll="0" defaultSubtotal="0"/>
    <pivotField showAll="0" defaultSubtotal="0"/>
    <pivotField showAll="0"/>
    <pivotField dataField="1" numFmtId="164" showAll="0" defaultSubtotal="0"/>
    <pivotField showAll="0" defaultSubtotal="0">
      <items count="4">
        <item x="0"/>
        <item x="2"/>
        <item x="1"/>
        <item x="3"/>
      </items>
    </pivotField>
    <pivotField numFmtId="164" showAll="0" defaultSubtotal="0"/>
    <pivotField numFmtId="164" showAll="0" defaultSubtotal="0"/>
    <pivotField numFmtId="164"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0"/>
  </rowFields>
  <rowItems count="2">
    <i>
      <x/>
    </i>
    <i t="grand">
      <x/>
    </i>
  </rowItems>
  <colItems count="1">
    <i/>
  </colItems>
  <dataFields count="1">
    <dataField name="Average of Running Average" fld="10" subtotal="average" baseField="0" baseItem="0"/>
  </dataFields>
  <formats count="1">
    <format dxfId="368">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rackerdata" displayName="Trackerdata" ref="A11:AV21" headerRowDxfId="448" dataDxfId="446" totalsRowDxfId="444" headerRowBorderDxfId="447" tableBorderDxfId="445">
  <autoFilter ref="A11:AV21"/>
  <tableColumns count="48">
    <tableColumn id="1" name="Class" totalsRowLabel="1" dataDxfId="443"/>
    <tableColumn id="2" name="Name" totalsRowLabel="Student 9" dataDxfId="442"/>
    <tableColumn id="3" name="Race" dataDxfId="441"/>
    <tableColumn id="4" name="Gender" dataDxfId="440"/>
    <tableColumn id="5" name="Age" dataDxfId="439"/>
    <tableColumn id="6" name="Repeated Grades" dataDxfId="438"/>
    <tableColumn id="7" name="Financial Status" dataDxfId="437"/>
    <tableColumn id="28" name="Absent" dataDxfId="436">
      <calculatedColumnFormula>IFERROR(VLOOKUP(Trackerdata[[#This Row],[Name]],AbsentTardyTable[[Student]:[Lates]],2,FALSE),"No match")</calculatedColumnFormula>
    </tableColumn>
    <tableColumn id="8" name="Late" dataDxfId="435">
      <calculatedColumnFormula>IFERROR(VLOOKUP(Trackerdata[[#This Row],[Name]],AbsentTardyTable[[Student]:[Lates]],3,FALSE),"No match")</calculatedColumnFormula>
    </tableColumn>
    <tableColumn id="237" name="Make your own categories" dataDxfId="434"/>
    <tableColumn id="236" name="Running Average" totalsRowFunction="average" dataDxfId="433" dataCellStyle="Percent">
      <calculatedColumnFormula>IFERROR(SUMPRODUCT(PercentageBreakdownCells,$M12:$R12)/SUM(PercentageBreakdownCells),"")</calculatedColumnFormula>
    </tableColumn>
    <tableColumn id="19" name="Letter Grade" dataDxfId="432" dataCellStyle="Percent">
      <calculatedColumnFormula>VLOOKUP(Trackerdata[[#This Row],[Running Average]],TableOfLetterGrades[],2,TRUE)</calculatedColumnFormula>
    </tableColumn>
    <tableColumn id="27" name="Homeworks" dataDxfId="431" dataCellStyle="Percent">
      <calculatedColumnFormula>IFERROR(SUMPRODUCT($S12:$AV12,$S$3:$AV$3,--($S12:$AV12&lt;&gt;"Excused"),--($S$1:$AV$1=M$11))/SUMPRODUCT($S$2:$AV$2,$S$3:$AV$3,--($S12:$AV12&lt;&gt;"Excused"),--($S$1:$AV$1=M$11))*100,"")</calculatedColumnFormula>
    </tableColumn>
    <tableColumn id="42" name="Classworks" dataDxfId="430" dataCellStyle="Percent">
      <calculatedColumnFormula>IFERROR(SUMPRODUCT($S12:$AV12,$S$3:$AV$3,--($S12:$AV12&lt;&gt;"Excused"),--($S$1:$AV$1=N$11))/SUMPRODUCT($S$2:$AV$2,$S$3:$AV$3,--($S12:$AV12&lt;&gt;"Excused"),--($S$1:$AV$1=N$11))*100,"")</calculatedColumnFormula>
    </tableColumn>
    <tableColumn id="233" name="Tests" dataDxfId="429" dataCellStyle="Percent">
      <calculatedColumnFormula>IFERROR(SUMPRODUCT($S12:$AV12,$S$3:$AV$3,--($S12:$AV12&lt;&gt;"Excused"),--($S$1:$AV$1=O$11))/SUMPRODUCT($S$2:$AV$2,$S$3:$AV$3,--($S12:$AV12&lt;&gt;"Excused"),--($S$1:$AV$1=O$11))*100,"")</calculatedColumnFormula>
    </tableColumn>
    <tableColumn id="253" name="Projects" dataDxfId="428" dataCellStyle="Percent">
      <calculatedColumnFormula>IFERROR(SUMPRODUCT($S12:$AV12,$S$3:$AV$3,--($S12:$AV12&lt;&gt;"Excused"),--($S$1:$AV$1=P$11))/SUMPRODUCT($S$2:$AV$2,$S$3:$AV$3,--($S12:$AV12&lt;&gt;"Excused"),--($S$1:$AV$1=P$11))*100,"")</calculatedColumnFormula>
    </tableColumn>
    <tableColumn id="252" name="Another Type" dataDxfId="427" dataCellStyle="Percent">
      <calculatedColumnFormula>IFERROR(SUMPRODUCT($S12:$AV12,$S$3:$AV$3,--($S12:$AV12&lt;&gt;"Excused"),--($S$1:$AV$1=Q$11))/SUMPRODUCT($S$2:$AV$2,$S$3:$AV$3,--($S12:$AV12&lt;&gt;"Excused"),--($S$1:$AV$1=Q$11))*100,"")</calculatedColumnFormula>
    </tableColumn>
    <tableColumn id="251" name="Another Type 2" dataDxfId="426" dataCellStyle="Percent">
      <calculatedColumnFormula>IFERROR(SUMPRODUCT($S12:$AV12,$S$3:$AV$3,--($S12:$AV12&lt;&gt;"Excused"),--($S$1:$AV$1=R$11))/SUMPRODUCT($S$2:$AV$2,$S$3:$AV$3,--($S12:$AV12&lt;&gt;"Excused"),--($S$1:$AV$1=R$11))*100,"")</calculatedColumnFormula>
    </tableColumn>
    <tableColumn id="10" name="Homework One" dataDxfId="425" dataCellStyle="Percent"/>
    <tableColumn id="11" name="Classwork  One" dataDxfId="424" dataCellStyle="Percent"/>
    <tableColumn id="244" name="Homework Two" dataDxfId="423"/>
    <tableColumn id="245" name="First Test" dataDxfId="422"/>
    <tableColumn id="12" name="Project" dataDxfId="421" totalsRowDxfId="420" dataCellStyle="Percent"/>
    <tableColumn id="13" name="Assessment 2" dataDxfId="419" totalsRowDxfId="418" dataCellStyle="Percent"/>
    <tableColumn id="246" name="Assessment 3" dataDxfId="417" totalsRowDxfId="416"/>
    <tableColumn id="247" name="Assessment 4" dataDxfId="415" totalsRowDxfId="414"/>
    <tableColumn id="14" name="Assessment 5" dataDxfId="413" totalsRowDxfId="412" dataCellStyle="Percent"/>
    <tableColumn id="15" name="Assessment 6" dataDxfId="411" totalsRowDxfId="410" dataCellStyle="Percent"/>
    <tableColumn id="16" name="Assessment 7" dataDxfId="409" totalsRowDxfId="408" dataCellStyle="Percent"/>
    <tableColumn id="17" name="Assessment 8" dataDxfId="407" totalsRowDxfId="406" dataCellStyle="Percent"/>
    <tableColumn id="18" name="Assessment 9" dataDxfId="405" totalsRowDxfId="404" dataCellStyle="Percent"/>
    <tableColumn id="30" name="Assessment 10" dataDxfId="403" totalsRowDxfId="402" dataCellStyle="Percent"/>
    <tableColumn id="41" name="Assessment 11" dataDxfId="401" totalsRowDxfId="400" dataCellStyle="Percent"/>
    <tableColumn id="43" name="Assessment 12" dataDxfId="399" totalsRowDxfId="398" dataCellStyle="Percent"/>
    <tableColumn id="44" name="Assessment 13" dataDxfId="397" totalsRowDxfId="396" dataCellStyle="Percent"/>
    <tableColumn id="45" name="Assessment 14" dataDxfId="395" totalsRowDxfId="394" dataCellStyle="Percent"/>
    <tableColumn id="46" name="Assessment 15" dataDxfId="393" totalsRowDxfId="392" dataCellStyle="Percent"/>
    <tableColumn id="47" name="Assessment 16" dataDxfId="391" totalsRowDxfId="390" dataCellStyle="Percent"/>
    <tableColumn id="48" name="Assessment 17" dataDxfId="389" totalsRowDxfId="388" dataCellStyle="Percent"/>
    <tableColumn id="49" name="Assessment 18" dataDxfId="387" totalsRowDxfId="386" dataCellStyle="Percent"/>
    <tableColumn id="50" name="Assessment 19" dataDxfId="385" totalsRowDxfId="384" dataCellStyle="Percent"/>
    <tableColumn id="51" name="Assessment 20" dataDxfId="383" totalsRowDxfId="382" dataCellStyle="Percent"/>
    <tableColumn id="52" name="Assessment 21" dataDxfId="381" totalsRowDxfId="380" dataCellStyle="Percent"/>
    <tableColumn id="53" name="Assessment 22" dataDxfId="379" totalsRowDxfId="378" dataCellStyle="Percent"/>
    <tableColumn id="54" name="Assessment 23" dataDxfId="377" totalsRowDxfId="376" dataCellStyle="Percent"/>
    <tableColumn id="55" name="Assessment 24" dataDxfId="375" totalsRowDxfId="374" dataCellStyle="Percent"/>
    <tableColumn id="56" name="Assessment 25" dataDxfId="373" totalsRowDxfId="372" dataCellStyle="Percent"/>
    <tableColumn id="57" name="Assessment | Insert new columns before here" dataDxfId="371" totalsRowDxfId="370" dataCellStyle="Percent"/>
  </tableColumns>
  <tableStyleInfo name="Table Style Custom 2" showFirstColumn="0" showLastColumn="0" showRowStripes="1" showColumnStripes="0"/>
</table>
</file>

<file path=xl/tables/table2.xml><?xml version="1.0" encoding="utf-8"?>
<table xmlns="http://schemas.openxmlformats.org/spreadsheetml/2006/main" id="2" name="TableOfLetterGrades" displayName="TableOfLetterGrades" ref="A19:C32" totalsRowShown="0">
  <autoFilter ref="A19:C32"/>
  <tableColumns count="3">
    <tableColumn id="1" name="Score"/>
    <tableColumn id="2" name="Grade"/>
    <tableColumn id="3" name="Freq" dataDxfId="369">
      <calculatedColumnFormula>COUNTIF(Trackerdata[Letter Grade],TableOfLetterGrades[[#This Row],[Grade]])</calculatedColumnFormula>
    </tableColumn>
  </tableColumns>
  <tableStyleInfo name="TableStyleMedium16" showFirstColumn="0" showLastColumn="0" showRowStripes="1" showColumnStripes="0"/>
</table>
</file>

<file path=xl/tables/table3.xml><?xml version="1.0" encoding="utf-8"?>
<table xmlns="http://schemas.openxmlformats.org/spreadsheetml/2006/main" id="1" name="AbsentTardyTable" displayName="AbsentTardyTable" ref="A1:ND11" totalsRowShown="0">
  <autoFilter ref="A1:ND11"/>
  <tableColumns count="368">
    <tableColumn id="1" name="Student"/>
    <tableColumn id="2" name="Absences" dataDxfId="366">
      <calculatedColumnFormula>COUNTIF($D2:$ND2,"A")</calculatedColumnFormula>
    </tableColumn>
    <tableColumn id="3" name="Lates" dataDxfId="365">
      <calculatedColumnFormula>COUNTIF($D2:$ND2,"L")</calculatedColumnFormula>
    </tableColumn>
    <tableColumn id="4" name="25-Aug" dataDxfId="364"/>
    <tableColumn id="5" name="26-Aug" dataDxfId="363"/>
    <tableColumn id="6" name="27-Aug" dataDxfId="362"/>
    <tableColumn id="7" name="28-Aug" dataDxfId="361"/>
    <tableColumn id="8" name="29-Aug" dataDxfId="360"/>
    <tableColumn id="9" name="30-Aug" dataDxfId="359"/>
    <tableColumn id="10" name="31-Aug" dataDxfId="358"/>
    <tableColumn id="11" name="1-Sep" dataDxfId="357"/>
    <tableColumn id="12" name="2-Sep" dataDxfId="356"/>
    <tableColumn id="13" name="3-Sep" dataDxfId="355"/>
    <tableColumn id="14" name="4-Sep" dataDxfId="354"/>
    <tableColumn id="15" name="5-Sep" dataDxfId="353"/>
    <tableColumn id="16" name="6-Sep" dataDxfId="352"/>
    <tableColumn id="17" name="7-Sep" dataDxfId="351"/>
    <tableColumn id="18" name="8-Sep" dataDxfId="350"/>
    <tableColumn id="19" name="9-Sep" dataDxfId="349"/>
    <tableColumn id="20" name="10-Sep" dataDxfId="348"/>
    <tableColumn id="21" name="11-Sep" dataDxfId="347"/>
    <tableColumn id="22" name="12-Sep" dataDxfId="346"/>
    <tableColumn id="23" name="13-Sep" dataDxfId="345"/>
    <tableColumn id="24" name="14-Sep" dataDxfId="344"/>
    <tableColumn id="25" name="15-Sep" dataDxfId="343"/>
    <tableColumn id="26" name="16-Sep" dataDxfId="342"/>
    <tableColumn id="27" name="17-Sep" dataDxfId="341"/>
    <tableColumn id="28" name="18-Sep" dataDxfId="340"/>
    <tableColumn id="29" name="19-Sep" dataDxfId="339"/>
    <tableColumn id="30" name="20-Sep" dataDxfId="338"/>
    <tableColumn id="31" name="21-Sep" dataDxfId="337"/>
    <tableColumn id="32" name="22-Sep" dataDxfId="336"/>
    <tableColumn id="33" name="23-Sep" dataDxfId="335"/>
    <tableColumn id="34" name="24-Sep" dataDxfId="334"/>
    <tableColumn id="35" name="25-Sep" dataDxfId="333"/>
    <tableColumn id="36" name="26-Sep" dataDxfId="332"/>
    <tableColumn id="37" name="27-Sep" dataDxfId="331"/>
    <tableColumn id="38" name="28-Sep" dataDxfId="330"/>
    <tableColumn id="39" name="29-Sep" dataDxfId="329"/>
    <tableColumn id="40" name="30-Sep" dataDxfId="328"/>
    <tableColumn id="41" name="1-Oct" dataDxfId="327"/>
    <tableColumn id="42" name="2-Oct" dataDxfId="326"/>
    <tableColumn id="43" name="3-Oct" dataDxfId="325"/>
    <tableColumn id="44" name="4-Oct" dataDxfId="324"/>
    <tableColumn id="45" name="5-Oct" dataDxfId="323"/>
    <tableColumn id="46" name="6-Oct" dataDxfId="322"/>
    <tableColumn id="47" name="7-Oct" dataDxfId="321"/>
    <tableColumn id="48" name="8-Oct" dataDxfId="320"/>
    <tableColumn id="49" name="9-Oct" dataDxfId="319"/>
    <tableColumn id="50" name="10-Oct" dataDxfId="318"/>
    <tableColumn id="51" name="11-Oct" dataDxfId="317"/>
    <tableColumn id="52" name="12-Oct" dataDxfId="316"/>
    <tableColumn id="53" name="13-Oct" dataDxfId="315"/>
    <tableColumn id="54" name="14-Oct" dataDxfId="314"/>
    <tableColumn id="55" name="15-Oct" dataDxfId="313"/>
    <tableColumn id="56" name="16-Oct" dataDxfId="312"/>
    <tableColumn id="57" name="17-Oct" dataDxfId="311"/>
    <tableColumn id="58" name="18-Oct" dataDxfId="310"/>
    <tableColumn id="59" name="19-Oct" dataDxfId="309"/>
    <tableColumn id="60" name="20-Oct" dataDxfId="308"/>
    <tableColumn id="61" name="21-Oct" dataDxfId="307"/>
    <tableColumn id="62" name="22-Oct" dataDxfId="306"/>
    <tableColumn id="63" name="23-Oct" dataDxfId="305"/>
    <tableColumn id="64" name="24-Oct" dataDxfId="304"/>
    <tableColumn id="65" name="25-Oct" dataDxfId="303"/>
    <tableColumn id="66" name="26-Oct" dataDxfId="302"/>
    <tableColumn id="67" name="27-Oct" dataDxfId="301"/>
    <tableColumn id="68" name="28-Oct" dataDxfId="300"/>
    <tableColumn id="69" name="29-Oct" dataDxfId="299"/>
    <tableColumn id="70" name="30-Oct" dataDxfId="298"/>
    <tableColumn id="71" name="31-Oct" dataDxfId="297"/>
    <tableColumn id="72" name="1-Nov" dataDxfId="296"/>
    <tableColumn id="73" name="2-Nov" dataDxfId="295"/>
    <tableColumn id="74" name="3-Nov" dataDxfId="294"/>
    <tableColumn id="75" name="4-Nov" dataDxfId="293"/>
    <tableColumn id="76" name="5-Nov" dataDxfId="292"/>
    <tableColumn id="77" name="6-Nov" dataDxfId="291"/>
    <tableColumn id="78" name="7-Nov" dataDxfId="290"/>
    <tableColumn id="79" name="8-Nov" dataDxfId="289"/>
    <tableColumn id="80" name="9-Nov" dataDxfId="288"/>
    <tableColumn id="81" name="10-Nov" dataDxfId="287"/>
    <tableColumn id="82" name="11-Nov" dataDxfId="286"/>
    <tableColumn id="83" name="12-Nov" dataDxfId="285"/>
    <tableColumn id="84" name="13-Nov" dataDxfId="284"/>
    <tableColumn id="85" name="14-Nov" dataDxfId="283"/>
    <tableColumn id="86" name="15-Nov" dataDxfId="282"/>
    <tableColumn id="87" name="16-Nov" dataDxfId="281"/>
    <tableColumn id="88" name="17-Nov" dataDxfId="280"/>
    <tableColumn id="89" name="18-Nov" dataDxfId="279"/>
    <tableColumn id="90" name="19-Nov" dataDxfId="278"/>
    <tableColumn id="91" name="20-Nov" dataDxfId="277"/>
    <tableColumn id="92" name="21-Nov" dataDxfId="276"/>
    <tableColumn id="93" name="22-Nov" dataDxfId="275"/>
    <tableColumn id="94" name="23-Nov" dataDxfId="274"/>
    <tableColumn id="95" name="24-Nov" dataDxfId="273"/>
    <tableColumn id="96" name="25-Nov" dataDxfId="272"/>
    <tableColumn id="97" name="26-Nov" dataDxfId="271"/>
    <tableColumn id="98" name="27-Nov" dataDxfId="270"/>
    <tableColumn id="99" name="28-Nov" dataDxfId="269"/>
    <tableColumn id="100" name="29-Nov" dataDxfId="268"/>
    <tableColumn id="101" name="30-Nov" dataDxfId="267"/>
    <tableColumn id="102" name="1-Dec" dataDxfId="266"/>
    <tableColumn id="103" name="2-Dec" dataDxfId="265"/>
    <tableColumn id="104" name="3-Dec" dataDxfId="264"/>
    <tableColumn id="105" name="4-Dec" dataDxfId="263"/>
    <tableColumn id="106" name="5-Dec" dataDxfId="262"/>
    <tableColumn id="107" name="6-Dec" dataDxfId="261"/>
    <tableColumn id="108" name="7-Dec" dataDxfId="260"/>
    <tableColumn id="109" name="8-Dec" dataDxfId="259"/>
    <tableColumn id="110" name="9-Dec" dataDxfId="258"/>
    <tableColumn id="111" name="10-Dec" dataDxfId="257"/>
    <tableColumn id="112" name="11-Dec" dataDxfId="256"/>
    <tableColumn id="113" name="12-Dec" dataDxfId="255"/>
    <tableColumn id="114" name="13-Dec" dataDxfId="254"/>
    <tableColumn id="115" name="14-Dec" dataDxfId="253"/>
    <tableColumn id="116" name="15-Dec" dataDxfId="252"/>
    <tableColumn id="117" name="16-Dec" dataDxfId="251"/>
    <tableColumn id="118" name="17-Dec" dataDxfId="250"/>
    <tableColumn id="119" name="18-Dec" dataDxfId="249"/>
    <tableColumn id="120" name="19-Dec" dataDxfId="248"/>
    <tableColumn id="121" name="20-Dec" dataDxfId="247"/>
    <tableColumn id="122" name="21-Dec" dataDxfId="246"/>
    <tableColumn id="123" name="22-Dec" dataDxfId="245"/>
    <tableColumn id="124" name="23-Dec" dataDxfId="244"/>
    <tableColumn id="125" name="24-Dec" dataDxfId="243"/>
    <tableColumn id="126" name="25-Dec" dataDxfId="242"/>
    <tableColumn id="127" name="26-Dec" dataDxfId="241"/>
    <tableColumn id="128" name="27-Dec" dataDxfId="240"/>
    <tableColumn id="129" name="28-Dec" dataDxfId="239"/>
    <tableColumn id="130" name="29-Dec" dataDxfId="238"/>
    <tableColumn id="131" name="30-Dec" dataDxfId="237"/>
    <tableColumn id="132" name="31-Dec" dataDxfId="236"/>
    <tableColumn id="133" name="1-Jan" dataDxfId="235"/>
    <tableColumn id="134" name="2-Jan" dataDxfId="234"/>
    <tableColumn id="135" name="3-Jan" dataDxfId="233"/>
    <tableColumn id="136" name="4-Jan" dataDxfId="232"/>
    <tableColumn id="137" name="5-Jan" dataDxfId="231"/>
    <tableColumn id="138" name="6-Jan" dataDxfId="230"/>
    <tableColumn id="139" name="7-Jan" dataDxfId="229"/>
    <tableColumn id="140" name="8-Jan" dataDxfId="228"/>
    <tableColumn id="141" name="9-Jan" dataDxfId="227"/>
    <tableColumn id="142" name="10-Jan" dataDxfId="226"/>
    <tableColumn id="143" name="11-Jan" dataDxfId="225"/>
    <tableColumn id="144" name="12-Jan" dataDxfId="224"/>
    <tableColumn id="145" name="13-Jan" dataDxfId="223"/>
    <tableColumn id="146" name="14-Jan" dataDxfId="222"/>
    <tableColumn id="147" name="15-Jan" dataDxfId="221"/>
    <tableColumn id="148" name="16-Jan" dataDxfId="220"/>
    <tableColumn id="149" name="17-Jan" dataDxfId="219"/>
    <tableColumn id="150" name="18-Jan" dataDxfId="218"/>
    <tableColumn id="151" name="19-Jan" dataDxfId="217"/>
    <tableColumn id="152" name="20-Jan" dataDxfId="216"/>
    <tableColumn id="153" name="21-Jan" dataDxfId="215"/>
    <tableColumn id="154" name="22-Jan" dataDxfId="214"/>
    <tableColumn id="155" name="23-Jan" dataDxfId="213"/>
    <tableColumn id="156" name="24-Jan" dataDxfId="212"/>
    <tableColumn id="157" name="25-Jan" dataDxfId="211"/>
    <tableColumn id="158" name="26-Jan" dataDxfId="210"/>
    <tableColumn id="159" name="27-Jan" dataDxfId="209"/>
    <tableColumn id="160" name="28-Jan" dataDxfId="208"/>
    <tableColumn id="161" name="29-Jan" dataDxfId="207"/>
    <tableColumn id="162" name="30-Jan" dataDxfId="206"/>
    <tableColumn id="163" name="31-Jan" dataDxfId="205"/>
    <tableColumn id="164" name="1-Feb" dataDxfId="204"/>
    <tableColumn id="165" name="2-Feb" dataDxfId="203"/>
    <tableColumn id="166" name="3-Feb" dataDxfId="202"/>
    <tableColumn id="167" name="4-Feb" dataDxfId="201"/>
    <tableColumn id="168" name="5-Feb" dataDxfId="200"/>
    <tableColumn id="169" name="6-Feb" dataDxfId="199"/>
    <tableColumn id="170" name="7-Feb" dataDxfId="198"/>
    <tableColumn id="171" name="8-Feb" dataDxfId="197"/>
    <tableColumn id="172" name="9-Feb" dataDxfId="196"/>
    <tableColumn id="173" name="10-Feb" dataDxfId="195"/>
    <tableColumn id="174" name="11-Feb" dataDxfId="194"/>
    <tableColumn id="175" name="12-Feb" dataDxfId="193"/>
    <tableColumn id="176" name="13-Feb" dataDxfId="192"/>
    <tableColumn id="177" name="14-Feb" dataDxfId="191"/>
    <tableColumn id="178" name="15-Feb" dataDxfId="190"/>
    <tableColumn id="179" name="16-Feb" dataDxfId="189"/>
    <tableColumn id="180" name="17-Feb" dataDxfId="188"/>
    <tableColumn id="181" name="18-Feb" dataDxfId="187"/>
    <tableColumn id="182" name="19-Feb" dataDxfId="186"/>
    <tableColumn id="183" name="20-Feb" dataDxfId="185"/>
    <tableColumn id="184" name="21-Feb" dataDxfId="184"/>
    <tableColumn id="185" name="22-Feb" dataDxfId="183"/>
    <tableColumn id="186" name="23-Feb" dataDxfId="182"/>
    <tableColumn id="187" name="24-Feb" dataDxfId="181"/>
    <tableColumn id="188" name="25-Feb" dataDxfId="180"/>
    <tableColumn id="189" name="26-Feb" dataDxfId="179"/>
    <tableColumn id="190" name="27-Feb" dataDxfId="178"/>
    <tableColumn id="191" name="28-Feb" dataDxfId="177"/>
    <tableColumn id="192" name="1-Mar" dataDxfId="176"/>
    <tableColumn id="193" name="2-Mar" dataDxfId="175"/>
    <tableColumn id="194" name="3-Mar" dataDxfId="174"/>
    <tableColumn id="195" name="4-Mar" dataDxfId="173"/>
    <tableColumn id="196" name="5-Mar" dataDxfId="172"/>
    <tableColumn id="197" name="6-Mar" dataDxfId="171"/>
    <tableColumn id="198" name="7-Mar" dataDxfId="170"/>
    <tableColumn id="199" name="8-Mar" dataDxfId="169"/>
    <tableColumn id="200" name="9-Mar" dataDxfId="168"/>
    <tableColumn id="201" name="10-Mar" dataDxfId="167"/>
    <tableColumn id="202" name="11-Mar" dataDxfId="166"/>
    <tableColumn id="203" name="12-Mar" dataDxfId="165"/>
    <tableColumn id="204" name="13-Mar" dataDxfId="164"/>
    <tableColumn id="205" name="14-Mar" dataDxfId="163"/>
    <tableColumn id="206" name="15-Mar" dataDxfId="162"/>
    <tableColumn id="207" name="16-Mar" dataDxfId="161"/>
    <tableColumn id="208" name="17-Mar" dataDxfId="160"/>
    <tableColumn id="209" name="18-Mar" dataDxfId="159"/>
    <tableColumn id="210" name="19-Mar" dataDxfId="158"/>
    <tableColumn id="211" name="20-Mar" dataDxfId="157"/>
    <tableColumn id="212" name="21-Mar" dataDxfId="156"/>
    <tableColumn id="213" name="22-Mar" dataDxfId="155"/>
    <tableColumn id="214" name="23-Mar" dataDxfId="154"/>
    <tableColumn id="215" name="24-Mar" dataDxfId="153"/>
    <tableColumn id="216" name="25-Mar" dataDxfId="152"/>
    <tableColumn id="217" name="26-Mar" dataDxfId="151"/>
    <tableColumn id="218" name="27-Mar" dataDxfId="150"/>
    <tableColumn id="219" name="28-Mar" dataDxfId="149"/>
    <tableColumn id="220" name="29-Mar" dataDxfId="148"/>
    <tableColumn id="221" name="30-Mar" dataDxfId="147"/>
    <tableColumn id="222" name="31-Mar" dataDxfId="146"/>
    <tableColumn id="223" name="1-Apr" dataDxfId="145"/>
    <tableColumn id="224" name="2-Apr" dataDxfId="144"/>
    <tableColumn id="225" name="3-Apr" dataDxfId="143"/>
    <tableColumn id="226" name="4-Apr" dataDxfId="142"/>
    <tableColumn id="227" name="5-Apr" dataDxfId="141"/>
    <tableColumn id="228" name="6-Apr" dataDxfId="140"/>
    <tableColumn id="229" name="7-Apr" dataDxfId="139"/>
    <tableColumn id="230" name="8-Apr" dataDxfId="138"/>
    <tableColumn id="231" name="9-Apr" dataDxfId="137"/>
    <tableColumn id="232" name="10-Apr" dataDxfId="136"/>
    <tableColumn id="233" name="11-Apr" dataDxfId="135"/>
    <tableColumn id="234" name="12-Apr" dataDxfId="134"/>
    <tableColumn id="235" name="13-Apr" dataDxfId="133"/>
    <tableColumn id="236" name="14-Apr" dataDxfId="132"/>
    <tableColumn id="237" name="15-Apr" dataDxfId="131"/>
    <tableColumn id="238" name="16-Apr" dataDxfId="130"/>
    <tableColumn id="239" name="17-Apr" dataDxfId="129"/>
    <tableColumn id="240" name="18-Apr" dataDxfId="128"/>
    <tableColumn id="241" name="19-Apr" dataDxfId="127"/>
    <tableColumn id="242" name="20-Apr" dataDxfId="126"/>
    <tableColumn id="243" name="21-Apr" dataDxfId="125"/>
    <tableColumn id="244" name="22-Apr" dataDxfId="124"/>
    <tableColumn id="245" name="23-Apr" dataDxfId="123"/>
    <tableColumn id="246" name="24-Apr" dataDxfId="122"/>
    <tableColumn id="247" name="25-Apr" dataDxfId="121"/>
    <tableColumn id="248" name="26-Apr" dataDxfId="120"/>
    <tableColumn id="249" name="27-Apr" dataDxfId="119"/>
    <tableColumn id="250" name="28-Apr" dataDxfId="118"/>
    <tableColumn id="251" name="29-Apr" dataDxfId="117"/>
    <tableColumn id="252" name="30-Apr" dataDxfId="116"/>
    <tableColumn id="253" name="1-May" dataDxfId="115"/>
    <tableColumn id="254" name="2-May" dataDxfId="114"/>
    <tableColumn id="255" name="3-May" dataDxfId="113"/>
    <tableColumn id="256" name="4-May" dataDxfId="112"/>
    <tableColumn id="257" name="5-May" dataDxfId="111"/>
    <tableColumn id="258" name="6-May" dataDxfId="110"/>
    <tableColumn id="259" name="7-May" dataDxfId="109"/>
    <tableColumn id="260" name="8-May" dataDxfId="108"/>
    <tableColumn id="261" name="9-May" dataDxfId="107"/>
    <tableColumn id="262" name="10-May" dataDxfId="106"/>
    <tableColumn id="263" name="11-May" dataDxfId="105"/>
    <tableColumn id="264" name="12-May" dataDxfId="104"/>
    <tableColumn id="265" name="13-May" dataDxfId="103"/>
    <tableColumn id="266" name="14-May" dataDxfId="102"/>
    <tableColumn id="267" name="15-May" dataDxfId="101"/>
    <tableColumn id="268" name="16-May" dataDxfId="100"/>
    <tableColumn id="269" name="17-May" dataDxfId="99"/>
    <tableColumn id="270" name="18-May" dataDxfId="98"/>
    <tableColumn id="271" name="19-May" dataDxfId="97"/>
    <tableColumn id="272" name="20-May" dataDxfId="96"/>
    <tableColumn id="273" name="21-May" dataDxfId="95"/>
    <tableColumn id="274" name="22-May" dataDxfId="94"/>
    <tableColumn id="275" name="23-May" dataDxfId="93"/>
    <tableColumn id="276" name="24-May" dataDxfId="92"/>
    <tableColumn id="277" name="25-May" dataDxfId="91"/>
    <tableColumn id="278" name="26-May" dataDxfId="90"/>
    <tableColumn id="279" name="27-May" dataDxfId="89"/>
    <tableColumn id="280" name="28-May" dataDxfId="88"/>
    <tableColumn id="281" name="29-May" dataDxfId="87"/>
    <tableColumn id="282" name="30-May" dataDxfId="86"/>
    <tableColumn id="283" name="31-May" dataDxfId="85"/>
    <tableColumn id="284" name="1-Jun" dataDxfId="84"/>
    <tableColumn id="285" name="2-Jun" dataDxfId="83"/>
    <tableColumn id="286" name="3-Jun" dataDxfId="82"/>
    <tableColumn id="287" name="4-Jun" dataDxfId="81"/>
    <tableColumn id="288" name="5-Jun" dataDxfId="80"/>
    <tableColumn id="289" name="6-Jun" dataDxfId="79"/>
    <tableColumn id="290" name="7-Jun" dataDxfId="78"/>
    <tableColumn id="291" name="8-Jun" dataDxfId="77"/>
    <tableColumn id="292" name="9-Jun" dataDxfId="76"/>
    <tableColumn id="293" name="10-Jun" dataDxfId="75"/>
    <tableColumn id="294" name="11-Jun" dataDxfId="74"/>
    <tableColumn id="295" name="12-Jun" dataDxfId="73"/>
    <tableColumn id="296" name="13-Jun" dataDxfId="72"/>
    <tableColumn id="297" name="14-Jun" dataDxfId="71"/>
    <tableColumn id="298" name="15-Jun" dataDxfId="70"/>
    <tableColumn id="299" name="16-Jun" dataDxfId="69"/>
    <tableColumn id="300" name="17-Jun" dataDxfId="68"/>
    <tableColumn id="301" name="18-Jun" dataDxfId="67"/>
    <tableColumn id="302" name="19-Jun" dataDxfId="66"/>
    <tableColumn id="303" name="20-Jun" dataDxfId="65"/>
    <tableColumn id="304" name="21-Jun" dataDxfId="64"/>
    <tableColumn id="305" name="22-Jun" dataDxfId="63"/>
    <tableColumn id="306" name="23-Jun" dataDxfId="62"/>
    <tableColumn id="307" name="24-Jun" dataDxfId="61"/>
    <tableColumn id="308" name="25-Jun" dataDxfId="60"/>
    <tableColumn id="309" name="26-Jun" dataDxfId="59"/>
    <tableColumn id="310" name="27-Jun" dataDxfId="58"/>
    <tableColumn id="311" name="28-Jun" dataDxfId="57"/>
    <tableColumn id="312" name="29-Jun" dataDxfId="56"/>
    <tableColumn id="313" name="30-Jun" dataDxfId="55"/>
    <tableColumn id="314" name="1-Jul" dataDxfId="54"/>
    <tableColumn id="315" name="2-Jul" dataDxfId="53"/>
    <tableColumn id="316" name="3-Jul" dataDxfId="52"/>
    <tableColumn id="317" name="4-Jul" dataDxfId="51"/>
    <tableColumn id="318" name="5-Jul" dataDxfId="50"/>
    <tableColumn id="319" name="6-Jul" dataDxfId="49"/>
    <tableColumn id="320" name="7-Jul" dataDxfId="48"/>
    <tableColumn id="321" name="8-Jul" dataDxfId="47"/>
    <tableColumn id="322" name="9-Jul" dataDxfId="46"/>
    <tableColumn id="323" name="10-Jul" dataDxfId="45"/>
    <tableColumn id="324" name="11-Jul" dataDxfId="44"/>
    <tableColumn id="325" name="12-Jul" dataDxfId="43"/>
    <tableColumn id="326" name="13-Jul" dataDxfId="42"/>
    <tableColumn id="327" name="14-Jul" dataDxfId="41"/>
    <tableColumn id="328" name="15-Jul" dataDxfId="40"/>
    <tableColumn id="329" name="16-Jul" dataDxfId="39"/>
    <tableColumn id="330" name="17-Jul" dataDxfId="38"/>
    <tableColumn id="331" name="18-Jul" dataDxfId="37"/>
    <tableColumn id="332" name="19-Jul" dataDxfId="36"/>
    <tableColumn id="333" name="20-Jul" dataDxfId="35"/>
    <tableColumn id="334" name="21-Jul" dataDxfId="34"/>
    <tableColumn id="335" name="22-Jul" dataDxfId="33"/>
    <tableColumn id="336" name="23-Jul" dataDxfId="32"/>
    <tableColumn id="337" name="24-Jul" dataDxfId="31"/>
    <tableColumn id="338" name="25-Jul" dataDxfId="30"/>
    <tableColumn id="339" name="26-Jul" dataDxfId="29"/>
    <tableColumn id="340" name="27-Jul" dataDxfId="28"/>
    <tableColumn id="341" name="28-Jul" dataDxfId="27"/>
    <tableColumn id="342" name="29-Jul" dataDxfId="26"/>
    <tableColumn id="343" name="30-Jul" dataDxfId="25"/>
    <tableColumn id="344" name="31-Jul" dataDxfId="24"/>
    <tableColumn id="345" name="1-Aug" dataDxfId="23"/>
    <tableColumn id="346" name="2-Aug" dataDxfId="22"/>
    <tableColumn id="347" name="3-Aug" dataDxfId="21"/>
    <tableColumn id="348" name="4-Aug" dataDxfId="20"/>
    <tableColumn id="349" name="5-Aug" dataDxfId="19"/>
    <tableColumn id="350" name="6-Aug" dataDxfId="18"/>
    <tableColumn id="351" name="7-Aug" dataDxfId="17"/>
    <tableColumn id="352" name="8-Aug" dataDxfId="16"/>
    <tableColumn id="353" name="9-Aug" dataDxfId="15"/>
    <tableColumn id="354" name="10-Aug" dataDxfId="14"/>
    <tableColumn id="355" name="11-Aug" dataDxfId="13"/>
    <tableColumn id="356" name="12-Aug" dataDxfId="12"/>
    <tableColumn id="357" name="13-Aug" dataDxfId="11"/>
    <tableColumn id="358" name="14-Aug" dataDxfId="10"/>
    <tableColumn id="359" name="15-Aug" dataDxfId="9"/>
    <tableColumn id="360" name="16-Aug" dataDxfId="8"/>
    <tableColumn id="361" name="17-Aug" dataDxfId="7"/>
    <tableColumn id="362" name="18-Aug" dataDxfId="6"/>
    <tableColumn id="363" name="19-Aug" dataDxfId="5"/>
    <tableColumn id="364" name="20-Aug" dataDxfId="4"/>
    <tableColumn id="365" name="21-Aug" dataDxfId="3"/>
    <tableColumn id="366" name="22-Aug" dataDxfId="2"/>
    <tableColumn id="367" name="23-Aug" dataDxfId="1"/>
    <tableColumn id="368" name="24-Aug"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hyperlink" Target="http://web.mit.edu/jabbott/www/excelgradetracker.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AW29"/>
  <sheetViews>
    <sheetView tabSelected="1" zoomScaleNormal="100" workbookViewId="0">
      <pane xSplit="12" ySplit="11" topLeftCell="M12" activePane="bottomRight" state="frozen"/>
      <selection pane="topRight" activeCell="M1" sqref="M1"/>
      <selection pane="bottomLeft" activeCell="A12" sqref="A12"/>
      <selection pane="bottomRight" activeCell="B12" sqref="B12"/>
    </sheetView>
  </sheetViews>
  <sheetFormatPr defaultColWidth="8.85546875" defaultRowHeight="14.25" outlineLevelCol="1" x14ac:dyDescent="0.2"/>
  <cols>
    <col min="1" max="1" width="7.140625" style="8" customWidth="1"/>
    <col min="2" max="2" width="25" style="8" customWidth="1" collapsed="1"/>
    <col min="3" max="10" width="12.140625" style="8" hidden="1" customWidth="1" outlineLevel="1"/>
    <col min="11" max="11" width="12.140625" style="8" customWidth="1" collapsed="1"/>
    <col min="12" max="12" width="12.140625" style="8" customWidth="1"/>
    <col min="13" max="18" width="12.140625" style="8" customWidth="1" outlineLevel="1"/>
    <col min="19" max="48" width="12.140625" style="8" customWidth="1"/>
    <col min="49" max="49" width="5.42578125" style="8" customWidth="1"/>
    <col min="50" max="16384" width="8.85546875" style="8"/>
  </cols>
  <sheetData>
    <row r="1" spans="1:49" s="2" customFormat="1" x14ac:dyDescent="0.2">
      <c r="A1" s="90"/>
      <c r="B1" s="85" t="s">
        <v>0</v>
      </c>
      <c r="C1" s="37"/>
      <c r="D1" s="37"/>
      <c r="E1" s="37"/>
      <c r="F1" s="37"/>
      <c r="G1" s="37"/>
      <c r="H1" s="37"/>
      <c r="I1" s="37"/>
      <c r="J1" s="37"/>
      <c r="K1" s="38"/>
      <c r="L1" s="38"/>
      <c r="M1" s="49"/>
      <c r="N1" s="1"/>
      <c r="O1" s="1"/>
      <c r="P1" s="1"/>
      <c r="Q1" s="1"/>
      <c r="R1" s="1"/>
      <c r="S1" s="82" t="s">
        <v>459</v>
      </c>
      <c r="T1" s="82" t="s">
        <v>460</v>
      </c>
      <c r="U1" s="82" t="s">
        <v>459</v>
      </c>
      <c r="V1" s="82" t="s">
        <v>461</v>
      </c>
      <c r="W1" s="82" t="s">
        <v>12</v>
      </c>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31"/>
    </row>
    <row r="2" spans="1:49" s="2" customFormat="1" x14ac:dyDescent="0.2">
      <c r="A2" s="3"/>
      <c r="B2" s="4" t="s">
        <v>1</v>
      </c>
      <c r="C2" s="5"/>
      <c r="D2" s="5"/>
      <c r="E2" s="5"/>
      <c r="F2" s="5"/>
      <c r="G2" s="5"/>
      <c r="H2" s="5"/>
      <c r="I2" s="5"/>
      <c r="J2" s="5"/>
      <c r="K2" s="30"/>
      <c r="L2" s="30"/>
      <c r="M2" s="50" t="s">
        <v>448</v>
      </c>
      <c r="N2" s="51"/>
      <c r="O2" s="51"/>
      <c r="P2" s="51"/>
      <c r="Q2" s="51"/>
      <c r="R2" s="52"/>
      <c r="S2" s="83">
        <v>10</v>
      </c>
      <c r="T2" s="83">
        <v>15</v>
      </c>
      <c r="U2" s="83">
        <v>5</v>
      </c>
      <c r="V2" s="83">
        <v>50</v>
      </c>
      <c r="W2" s="83">
        <v>10</v>
      </c>
      <c r="X2" s="83"/>
      <c r="Y2" s="83"/>
      <c r="Z2" s="83"/>
      <c r="AA2" s="83"/>
      <c r="AB2" s="83"/>
      <c r="AC2" s="83"/>
      <c r="AD2" s="84"/>
      <c r="AE2" s="84"/>
      <c r="AF2" s="84"/>
      <c r="AG2" s="84"/>
      <c r="AH2" s="84"/>
      <c r="AI2" s="84"/>
      <c r="AJ2" s="84"/>
      <c r="AK2" s="84"/>
      <c r="AL2" s="84"/>
      <c r="AM2" s="84"/>
      <c r="AN2" s="84"/>
      <c r="AO2" s="84"/>
      <c r="AP2" s="84"/>
      <c r="AQ2" s="84"/>
      <c r="AR2" s="84"/>
      <c r="AS2" s="84"/>
      <c r="AT2" s="84"/>
      <c r="AU2" s="84"/>
      <c r="AV2" s="84"/>
      <c r="AW2" s="31"/>
    </row>
    <row r="3" spans="1:49" s="2" customFormat="1" x14ac:dyDescent="0.2">
      <c r="A3" s="7"/>
      <c r="B3" s="4" t="s">
        <v>449</v>
      </c>
      <c r="C3" s="6"/>
      <c r="D3" s="6"/>
      <c r="E3" s="6"/>
      <c r="F3" s="6"/>
      <c r="G3" s="6"/>
      <c r="H3" s="6"/>
      <c r="I3" s="6"/>
      <c r="J3" s="6"/>
      <c r="K3" s="6"/>
      <c r="L3" s="6"/>
      <c r="M3" s="53" t="str">
        <f>IF(SUM(M4:R4)=100%,"",CONCATENATE("Caution! Make this sum to 100%, not ",TEXT(SUM(M4:R4),"00%")))</f>
        <v/>
      </c>
      <c r="N3" s="54"/>
      <c r="O3" s="54"/>
      <c r="P3" s="54"/>
      <c r="Q3" s="54"/>
      <c r="R3" s="55"/>
      <c r="S3" s="56">
        <v>1</v>
      </c>
      <c r="T3" s="56">
        <v>1</v>
      </c>
      <c r="U3" s="56">
        <v>1</v>
      </c>
      <c r="V3" s="56">
        <v>1</v>
      </c>
      <c r="W3" s="56">
        <v>1</v>
      </c>
      <c r="X3" s="56">
        <v>1</v>
      </c>
      <c r="Y3" s="56">
        <v>1</v>
      </c>
      <c r="Z3" s="56">
        <v>1</v>
      </c>
      <c r="AA3" s="56">
        <v>1</v>
      </c>
      <c r="AB3" s="56">
        <v>1</v>
      </c>
      <c r="AC3" s="56">
        <v>1</v>
      </c>
      <c r="AD3" s="56">
        <v>1</v>
      </c>
      <c r="AE3" s="56">
        <v>1</v>
      </c>
      <c r="AF3" s="56">
        <v>1</v>
      </c>
      <c r="AG3" s="56">
        <v>1</v>
      </c>
      <c r="AH3" s="56">
        <v>1</v>
      </c>
      <c r="AI3" s="56">
        <v>1</v>
      </c>
      <c r="AJ3" s="56">
        <v>1</v>
      </c>
      <c r="AK3" s="56">
        <v>1</v>
      </c>
      <c r="AL3" s="56">
        <v>1</v>
      </c>
      <c r="AM3" s="56">
        <v>1</v>
      </c>
      <c r="AN3" s="56">
        <v>1</v>
      </c>
      <c r="AO3" s="56">
        <v>1</v>
      </c>
      <c r="AP3" s="56">
        <v>1</v>
      </c>
      <c r="AQ3" s="56">
        <v>1</v>
      </c>
      <c r="AR3" s="56">
        <v>1</v>
      </c>
      <c r="AS3" s="56">
        <v>1</v>
      </c>
      <c r="AT3" s="56">
        <v>1</v>
      </c>
      <c r="AU3" s="56">
        <v>1</v>
      </c>
      <c r="AV3" s="56">
        <v>1</v>
      </c>
      <c r="AW3" s="31"/>
    </row>
    <row r="4" spans="1:49" s="26" customFormat="1" x14ac:dyDescent="0.2">
      <c r="A4" s="43"/>
      <c r="B4" s="44" t="s">
        <v>436</v>
      </c>
      <c r="C4" s="45"/>
      <c r="D4" s="45"/>
      <c r="E4" s="45"/>
      <c r="F4" s="45"/>
      <c r="G4" s="45"/>
      <c r="H4" s="45"/>
      <c r="I4" s="45"/>
      <c r="J4" s="45"/>
      <c r="K4" s="45"/>
      <c r="L4" s="45"/>
      <c r="M4" s="79">
        <v>0.1</v>
      </c>
      <c r="N4" s="80">
        <v>0.2</v>
      </c>
      <c r="O4" s="80">
        <v>0.4</v>
      </c>
      <c r="P4" s="80">
        <v>0.3</v>
      </c>
      <c r="Q4" s="80">
        <v>0</v>
      </c>
      <c r="R4" s="81">
        <v>0</v>
      </c>
      <c r="S4" s="46">
        <v>42024</v>
      </c>
      <c r="T4" s="46">
        <v>42029</v>
      </c>
      <c r="U4" s="46">
        <v>42031</v>
      </c>
      <c r="V4" s="46">
        <v>42034</v>
      </c>
      <c r="W4" s="46">
        <v>42035</v>
      </c>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32"/>
    </row>
    <row r="5" spans="1:49" s="26" customFormat="1" ht="23.25" customHeight="1" x14ac:dyDescent="0.2">
      <c r="A5" s="144" t="str">
        <f ca="1">IFERROR(IF(_xlfn.NUMBERVALUE(INFO("release"))&lt;13,"You can hide this row that shows sparkline distribution charts in newer versions of Excel. Select this row (click the 5 to the left of this row) and then right click and click hide.",""),"")</f>
        <v/>
      </c>
      <c r="B5" s="34"/>
      <c r="C5" s="35"/>
      <c r="D5" s="35"/>
      <c r="E5" s="35"/>
      <c r="F5" s="35"/>
      <c r="G5" s="35"/>
      <c r="H5" s="35"/>
      <c r="I5" s="35"/>
      <c r="J5" s="35"/>
      <c r="K5" s="35"/>
      <c r="L5" s="35"/>
      <c r="M5" s="39"/>
      <c r="N5" s="35"/>
      <c r="O5" s="35"/>
      <c r="P5" s="35"/>
      <c r="Q5" s="35"/>
      <c r="R5" s="41"/>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2"/>
    </row>
    <row r="6" spans="1:49" s="26" customFormat="1" hidden="1" x14ac:dyDescent="0.2">
      <c r="A6" s="33" t="s">
        <v>481</v>
      </c>
      <c r="B6" s="33">
        <f>INDEX(TableOfLetterGrades[Score],MATCH(A6,TableOfLetterGrades[Grade],0))</f>
        <v>90</v>
      </c>
      <c r="C6" s="29"/>
      <c r="D6" s="29"/>
      <c r="E6" s="29"/>
      <c r="F6" s="29"/>
      <c r="G6" s="29"/>
      <c r="H6" s="29"/>
      <c r="I6" s="29"/>
      <c r="J6" s="29"/>
      <c r="K6" s="29">
        <f>COUNTIF(Trackerdata[Running Average],"&gt;="&amp;$B6)</f>
        <v>1</v>
      </c>
      <c r="L6" s="29"/>
      <c r="M6" s="40">
        <f>COUNTIF(Trackerdata[Homeworks],"&gt;="&amp;$B6)</f>
        <v>3</v>
      </c>
      <c r="N6" s="29">
        <f>COUNTIF(Trackerdata[Classworks],"&gt;="&amp;$B6)</f>
        <v>2</v>
      </c>
      <c r="O6" s="29">
        <f>COUNTIF(Trackerdata[Tests],"&gt;="&amp;$B6)</f>
        <v>2</v>
      </c>
      <c r="P6" s="29">
        <f>COUNTIF(Trackerdata[Projects],"&gt;="&amp;$B6)</f>
        <v>3</v>
      </c>
      <c r="Q6" s="29">
        <f>COUNTIF(Trackerdata[Another Type],"&gt;="&amp;$B6)</f>
        <v>0</v>
      </c>
      <c r="R6" s="42">
        <f>COUNTIF(Trackerdata[Another Type 2],"&gt;="&amp;$B6)</f>
        <v>0</v>
      </c>
      <c r="S6" s="29">
        <f>COUNTIF(Trackerdata[Homework One],"&gt;="&amp;($B6/100)*S$2)</f>
        <v>3</v>
      </c>
      <c r="T6" s="29">
        <f>COUNTIF(Trackerdata[Classwork  One],"&gt;="&amp;($B6/100)*T$2)</f>
        <v>2</v>
      </c>
      <c r="U6" s="29">
        <f>COUNTIF(Trackerdata[Homework Two],"&gt;="&amp;($B6/100)*U$2)</f>
        <v>1</v>
      </c>
      <c r="V6" s="29">
        <f>COUNTIF(Trackerdata[First Test],"&gt;="&amp;($B6/100)*V$2)</f>
        <v>2</v>
      </c>
      <c r="W6" s="29">
        <f>COUNTIF(Trackerdata[Project],"&gt;="&amp;($B6/100)*W$2)</f>
        <v>3</v>
      </c>
      <c r="X6" s="29">
        <f>COUNTIF(Trackerdata[Assessment 2],"&gt;="&amp;($B6/100)*X$2)</f>
        <v>0</v>
      </c>
      <c r="Y6" s="29">
        <f>COUNTIF(Trackerdata[Assessment 3],"&gt;="&amp;($B6/100)*Y$2)</f>
        <v>0</v>
      </c>
      <c r="Z6" s="29">
        <f>COUNTIF(Trackerdata[Assessment 4],"&gt;="&amp;($B6/100)*Z$2)</f>
        <v>0</v>
      </c>
      <c r="AA6" s="29">
        <f>COUNTIF(Trackerdata[Assessment 5],"&gt;="&amp;($B6/100)*AA$2)</f>
        <v>0</v>
      </c>
      <c r="AB6" s="29">
        <f>COUNTIF(Trackerdata[Assessment 6],"&gt;="&amp;($B6/100)*AB$2)</f>
        <v>0</v>
      </c>
      <c r="AC6" s="29">
        <f>COUNTIF(Trackerdata[Assessment 7],"&gt;="&amp;($B6/100)*AC$2)</f>
        <v>0</v>
      </c>
      <c r="AD6" s="29">
        <f>COUNTIF(Trackerdata[Assessment 8],"&gt;="&amp;($B6/100)*AD$2)</f>
        <v>0</v>
      </c>
      <c r="AE6" s="29">
        <f>COUNTIF(Trackerdata[Assessment 9],"&gt;="&amp;($B6/100)*AE$2)</f>
        <v>0</v>
      </c>
      <c r="AF6" s="29">
        <f>COUNTIF(Trackerdata[Assessment 10],"&gt;="&amp;($B6/100)*AF$2)</f>
        <v>0</v>
      </c>
      <c r="AG6" s="29">
        <f>COUNTIF(Trackerdata[Assessment 11],"&gt;="&amp;($B6/100)*AG$2)</f>
        <v>0</v>
      </c>
      <c r="AH6" s="29">
        <f>COUNTIF(Trackerdata[Assessment 12],"&gt;="&amp;($B6/100)*AH$2)</f>
        <v>0</v>
      </c>
      <c r="AI6" s="29">
        <f>COUNTIF(Trackerdata[Assessment 13],"&gt;="&amp;($B6/100)*AI$2)</f>
        <v>0</v>
      </c>
      <c r="AJ6" s="29">
        <f>COUNTIF(Trackerdata[Assessment 14],"&gt;="&amp;($B6/100)*AJ$2)</f>
        <v>0</v>
      </c>
      <c r="AK6" s="29">
        <f>COUNTIF(Trackerdata[Assessment 15],"&gt;="&amp;($B6/100)*AK$2)</f>
        <v>0</v>
      </c>
      <c r="AL6" s="29">
        <f>COUNTIF(Trackerdata[Assessment 16],"&gt;="&amp;($B6/100)*AL$2)</f>
        <v>0</v>
      </c>
      <c r="AM6" s="29">
        <f>COUNTIF(Trackerdata[Assessment 17],"&gt;="&amp;($B6/100)*AM$2)</f>
        <v>0</v>
      </c>
      <c r="AN6" s="29">
        <f>COUNTIF(Trackerdata[Assessment 18],"&gt;="&amp;($B6/100)*AN$2)</f>
        <v>0</v>
      </c>
      <c r="AO6" s="29">
        <f>COUNTIF(Trackerdata[Assessment 19],"&gt;="&amp;($B6/100)*AO$2)</f>
        <v>0</v>
      </c>
      <c r="AP6" s="29">
        <f>COUNTIF(Trackerdata[Assessment 20],"&gt;="&amp;($B6/100)*AP$2)</f>
        <v>0</v>
      </c>
      <c r="AQ6" s="29">
        <f>COUNTIF(Trackerdata[Assessment 21],"&gt;="&amp;($B6/100)*AQ$2)</f>
        <v>0</v>
      </c>
      <c r="AR6" s="29">
        <f>COUNTIF(Trackerdata[Assessment 22],"&gt;="&amp;($B6/100)*AR$2)</f>
        <v>0</v>
      </c>
      <c r="AS6" s="29">
        <f>COUNTIF(Trackerdata[Assessment 23],"&gt;="&amp;($B6/100)*AS$2)</f>
        <v>0</v>
      </c>
      <c r="AT6" s="29">
        <f>COUNTIF(Trackerdata[Assessment 24],"&gt;="&amp;($B6/100)*AT$2)</f>
        <v>0</v>
      </c>
      <c r="AU6" s="29">
        <f>COUNTIF(Trackerdata[Assessment 25],"&gt;="&amp;($B6/100)*AU$2)</f>
        <v>0</v>
      </c>
      <c r="AV6" s="29">
        <f>COUNTIF(Trackerdata[Assessment | Insert new columns before here],"&gt;="&amp;($B6/100)*AV$2)</f>
        <v>0</v>
      </c>
      <c r="AW6" s="32"/>
    </row>
    <row r="7" spans="1:49" s="26" customFormat="1" hidden="1" x14ac:dyDescent="0.2">
      <c r="A7" s="33" t="s">
        <v>485</v>
      </c>
      <c r="B7" s="33">
        <f>INDEX(TableOfLetterGrades[Score],MATCH(A7,TableOfLetterGrades[Grade],0))</f>
        <v>80</v>
      </c>
      <c r="C7" s="29"/>
      <c r="D7" s="29"/>
      <c r="E7" s="29"/>
      <c r="F7" s="29"/>
      <c r="G7" s="29"/>
      <c r="H7" s="29"/>
      <c r="I7" s="29"/>
      <c r="J7" s="29"/>
      <c r="K7" s="29">
        <f>COUNTIFS(Trackerdata[Running Average],"&gt;="&amp;$B7,Trackerdata[Running Average],"&lt;"&amp;$B6)</f>
        <v>3</v>
      </c>
      <c r="L7" s="29"/>
      <c r="M7" s="40">
        <f>COUNTIFS(Trackerdata[Homeworks],"&gt;="&amp;$B7,Trackerdata[Homeworks],"&lt;"&amp;$B6)</f>
        <v>1</v>
      </c>
      <c r="N7" s="29">
        <f>COUNTIFS(Trackerdata[Classworks],"&gt;="&amp;$B7,Trackerdata[Classworks],"&lt;"&amp;$B6)</f>
        <v>1</v>
      </c>
      <c r="O7" s="29">
        <f>COUNTIFS(Trackerdata[Tests],"&gt;="&amp;$B7,Trackerdata[Tests],"&lt;"&amp;$B6)</f>
        <v>2</v>
      </c>
      <c r="P7" s="29">
        <f>COUNTIFS(Trackerdata[Projects],"&gt;="&amp;$B7,Trackerdata[Projects],"&lt;"&amp;$B6)</f>
        <v>1</v>
      </c>
      <c r="Q7" s="29">
        <f>COUNTIFS(Trackerdata[Another Type],"&gt;="&amp;$B7,Trackerdata[Another Type],"&lt;"&amp;$B6)</f>
        <v>0</v>
      </c>
      <c r="R7" s="42">
        <f>COUNTIFS(Trackerdata[Another Type 2],"&gt;="&amp;$B7,Trackerdata[Another Type 2],"&lt;"&amp;$B6)</f>
        <v>0</v>
      </c>
      <c r="S7" s="29">
        <f>COUNTIFS(Trackerdata[Homework One],"&gt;="&amp;($B7/100)*S$2,Trackerdata[Homework One],"&lt;"&amp;($B6/100)*S$2)</f>
        <v>1</v>
      </c>
      <c r="T7" s="29">
        <f>COUNTIFS(Trackerdata[Classwork  One],"&gt;="&amp;($B7/100)*T$2,Trackerdata[Classwork  One],"&lt;"&amp;($B6/100)*T$2)</f>
        <v>1</v>
      </c>
      <c r="U7" s="29">
        <f>COUNTIFS(Trackerdata[Homework Two],"&gt;="&amp;($B7/100)*U$2,Trackerdata[Homework Two],"&lt;"&amp;($B6/100)*U$2)</f>
        <v>2</v>
      </c>
      <c r="V7" s="29">
        <f>COUNTIFS(Trackerdata[First Test],"&gt;="&amp;($B7/100)*V$2,Trackerdata[First Test],"&lt;"&amp;($B6/100)*V$2)</f>
        <v>2</v>
      </c>
      <c r="W7" s="29">
        <f>COUNTIFS(Trackerdata[Project],"&gt;="&amp;($B7/100)*W$2,Trackerdata[Project],"&lt;"&amp;($B6/100)*W$2)</f>
        <v>1</v>
      </c>
      <c r="X7" s="29">
        <f>COUNTIFS(Trackerdata[Assessment 2],"&gt;="&amp;($B7/100)*X$2,Trackerdata[Assessment 2],"&lt;"&amp;($B6/100)*X$2)</f>
        <v>0</v>
      </c>
      <c r="Y7" s="29">
        <f>COUNTIFS(Trackerdata[Assessment 3],"&gt;="&amp;($B7/100)*Y$2,Trackerdata[Assessment 3],"&lt;"&amp;($B6/100)*Y$2)</f>
        <v>0</v>
      </c>
      <c r="Z7" s="29">
        <f>COUNTIFS(Trackerdata[Assessment 4],"&gt;="&amp;($B7/100)*Z$2,Trackerdata[Assessment 4],"&lt;"&amp;($B6/100)*Z$2)</f>
        <v>0</v>
      </c>
      <c r="AA7" s="29">
        <f>COUNTIFS(Trackerdata[Assessment 5],"&gt;="&amp;($B7/100)*AA$2,Trackerdata[Assessment 5],"&lt;"&amp;($B6/100)*AA$2)</f>
        <v>0</v>
      </c>
      <c r="AB7" s="29">
        <f>COUNTIFS(Trackerdata[Assessment 6],"&gt;="&amp;($B7/100)*AB$2,Trackerdata[Assessment 6],"&lt;"&amp;($B6/100)*AB$2)</f>
        <v>0</v>
      </c>
      <c r="AC7" s="29">
        <f>COUNTIFS(Trackerdata[Assessment 7],"&gt;="&amp;($B7/100)*AC$2,Trackerdata[Assessment 7],"&lt;"&amp;($B6/100)*AC$2)</f>
        <v>0</v>
      </c>
      <c r="AD7" s="29">
        <f>COUNTIFS(Trackerdata[Assessment 8],"&gt;="&amp;($B7/100)*AD$2,Trackerdata[Assessment 8],"&lt;"&amp;($B6/100)*AD$2)</f>
        <v>0</v>
      </c>
      <c r="AE7" s="29">
        <f>COUNTIFS(Trackerdata[Assessment 9],"&gt;="&amp;($B7/100)*AE$2,Trackerdata[Assessment 9],"&lt;"&amp;($B6/100)*AE$2)</f>
        <v>0</v>
      </c>
      <c r="AF7" s="29">
        <f>COUNTIFS(Trackerdata[Assessment 10],"&gt;="&amp;($B7/100)*AF$2,Trackerdata[Assessment 10],"&lt;"&amp;($B6/100)*AF$2)</f>
        <v>0</v>
      </c>
      <c r="AG7" s="29">
        <f>COUNTIFS(Trackerdata[Assessment 11],"&gt;="&amp;($B7/100)*AG$2,Trackerdata[Assessment 11],"&lt;"&amp;($B6/100)*AG$2)</f>
        <v>0</v>
      </c>
      <c r="AH7" s="29">
        <f>COUNTIFS(Trackerdata[Assessment 12],"&gt;="&amp;($B7/100)*AH$2,Trackerdata[Assessment 12],"&lt;"&amp;($B6/100)*AH$2)</f>
        <v>0</v>
      </c>
      <c r="AI7" s="29">
        <f>COUNTIFS(Trackerdata[Assessment 13],"&gt;="&amp;($B7/100)*AI$2,Trackerdata[Assessment 13],"&lt;"&amp;($B6/100)*AI$2)</f>
        <v>0</v>
      </c>
      <c r="AJ7" s="29">
        <f>COUNTIFS(Trackerdata[Assessment 14],"&gt;="&amp;($B7/100)*AJ$2,Trackerdata[Assessment 14],"&lt;"&amp;($B6/100)*AJ$2)</f>
        <v>0</v>
      </c>
      <c r="AK7" s="29">
        <f>COUNTIFS(Trackerdata[Assessment 15],"&gt;="&amp;($B7/100)*AK$2,Trackerdata[Assessment 15],"&lt;"&amp;($B6/100)*AK$2)</f>
        <v>0</v>
      </c>
      <c r="AL7" s="29">
        <f>COUNTIFS(Trackerdata[Assessment 16],"&gt;="&amp;($B7/100)*AL$2,Trackerdata[Assessment 16],"&lt;"&amp;($B6/100)*AL$2)</f>
        <v>0</v>
      </c>
      <c r="AM7" s="29">
        <f>COUNTIFS(Trackerdata[Assessment 17],"&gt;="&amp;($B7/100)*AM$2,Trackerdata[Assessment 17],"&lt;"&amp;($B6/100)*AM$2)</f>
        <v>0</v>
      </c>
      <c r="AN7" s="29">
        <f>COUNTIFS(Trackerdata[Assessment 18],"&gt;="&amp;($B7/100)*AN$2,Trackerdata[Assessment 18],"&lt;"&amp;($B6/100)*AN$2)</f>
        <v>0</v>
      </c>
      <c r="AO7" s="29">
        <f>COUNTIFS(Trackerdata[Assessment 19],"&gt;="&amp;($B7/100)*AO$2,Trackerdata[Assessment 19],"&lt;"&amp;($B6/100)*AO$2)</f>
        <v>0</v>
      </c>
      <c r="AP7" s="29">
        <f>COUNTIFS(Trackerdata[Assessment 20],"&gt;="&amp;($B7/100)*AP$2,Trackerdata[Assessment 20],"&lt;"&amp;($B6/100)*AP$2)</f>
        <v>0</v>
      </c>
      <c r="AQ7" s="29">
        <f>COUNTIFS(Trackerdata[Assessment 21],"&gt;="&amp;($B7/100)*AQ$2,Trackerdata[Assessment 21],"&lt;"&amp;($B6/100)*AQ$2)</f>
        <v>0</v>
      </c>
      <c r="AR7" s="29">
        <f>COUNTIFS(Trackerdata[Assessment 22],"&gt;="&amp;($B7/100)*AR$2,Trackerdata[Assessment 22],"&lt;"&amp;($B6/100)*AR$2)</f>
        <v>0</v>
      </c>
      <c r="AS7" s="29">
        <f>COUNTIFS(Trackerdata[Assessment 23],"&gt;="&amp;($B7/100)*AS$2,Trackerdata[Assessment 23],"&lt;"&amp;($B6/100)*AS$2)</f>
        <v>0</v>
      </c>
      <c r="AT7" s="29">
        <f>COUNTIFS(Trackerdata[Assessment 24],"&gt;="&amp;($B7/100)*AT$2,Trackerdata[Assessment 24],"&lt;"&amp;($B6/100)*AT$2)</f>
        <v>0</v>
      </c>
      <c r="AU7" s="29">
        <f>COUNTIFS(Trackerdata[Assessment 25],"&gt;="&amp;($B7/100)*AU$2,Trackerdata[Assessment 25],"&lt;"&amp;($B6/100)*AU$2)</f>
        <v>0</v>
      </c>
      <c r="AV7" s="29">
        <f>COUNTIFS(Trackerdata[Assessment | Insert new columns before here],"&gt;="&amp;($B7/100)*AV$2,Trackerdata[Assessment | Insert new columns before here],"&lt;"&amp;($B6/100)*AV$2)</f>
        <v>0</v>
      </c>
      <c r="AW7" s="32"/>
    </row>
    <row r="8" spans="1:49" s="26" customFormat="1" hidden="1" x14ac:dyDescent="0.2">
      <c r="A8" s="33" t="s">
        <v>488</v>
      </c>
      <c r="B8" s="33">
        <f>INDEX(TableOfLetterGrades[Score],MATCH(A8,TableOfLetterGrades[Grade],0))</f>
        <v>70</v>
      </c>
      <c r="C8" s="29"/>
      <c r="D8" s="29"/>
      <c r="E8" s="29"/>
      <c r="F8" s="29"/>
      <c r="G8" s="29"/>
      <c r="H8" s="29"/>
      <c r="I8" s="29"/>
      <c r="J8" s="29"/>
      <c r="K8" s="29">
        <f>COUNTIFS(Trackerdata[Running Average],"&gt;="&amp;$B8,Trackerdata[Running Average],"&lt;"&amp;$B7)</f>
        <v>0</v>
      </c>
      <c r="L8" s="29"/>
      <c r="M8" s="40">
        <f>COUNTIFS(Trackerdata[Homeworks],"&gt;="&amp;$B8,Trackerdata[Homeworks],"&lt;"&amp;$B7)</f>
        <v>0</v>
      </c>
      <c r="N8" s="29">
        <f>COUNTIFS(Trackerdata[Classworks],"&gt;="&amp;$B8,Trackerdata[Classworks],"&lt;"&amp;$B7)</f>
        <v>0</v>
      </c>
      <c r="O8" s="29">
        <f>COUNTIFS(Trackerdata[Tests],"&gt;="&amp;$B8,Trackerdata[Tests],"&lt;"&amp;$B7)</f>
        <v>0</v>
      </c>
      <c r="P8" s="29">
        <f>COUNTIFS(Trackerdata[Projects],"&gt;="&amp;$B8,Trackerdata[Projects],"&lt;"&amp;$B7)</f>
        <v>0</v>
      </c>
      <c r="Q8" s="29">
        <f>COUNTIFS(Trackerdata[Another Type],"&gt;="&amp;$B8,Trackerdata[Another Type],"&lt;"&amp;$B7)</f>
        <v>0</v>
      </c>
      <c r="R8" s="42">
        <f>COUNTIFS(Trackerdata[Another Type 2],"&gt;="&amp;$B8,Trackerdata[Another Type 2],"&lt;"&amp;$B7)</f>
        <v>0</v>
      </c>
      <c r="S8" s="29">
        <f>COUNTIFS(Trackerdata[Homework One],"&gt;="&amp;($B8/100)*S$2,Trackerdata[Homework One],"&lt;"&amp;($B7/100)*S$2)</f>
        <v>0</v>
      </c>
      <c r="T8" s="29">
        <f>COUNTIFS(Trackerdata[Classwork  One],"&gt;="&amp;($B8/100)*T$2,Trackerdata[Classwork  One],"&lt;"&amp;($B7/100)*T$2)</f>
        <v>0</v>
      </c>
      <c r="U8" s="29">
        <f>COUNTIFS(Trackerdata[Homework Two],"&gt;="&amp;($B8/100)*U$2,Trackerdata[Homework Two],"&lt;"&amp;($B7/100)*U$2)</f>
        <v>0</v>
      </c>
      <c r="V8" s="29">
        <f>COUNTIFS(Trackerdata[First Test],"&gt;="&amp;($B8/100)*V$2,Trackerdata[First Test],"&lt;"&amp;($B7/100)*V$2)</f>
        <v>0</v>
      </c>
      <c r="W8" s="29">
        <f>COUNTIFS(Trackerdata[Project],"&gt;="&amp;($B8/100)*W$2,Trackerdata[Project],"&lt;"&amp;($B7/100)*W$2)</f>
        <v>0</v>
      </c>
      <c r="X8" s="29">
        <f>COUNTIFS(Trackerdata[Assessment 2],"&gt;="&amp;($B8/100)*X$2,Trackerdata[Assessment 2],"&lt;"&amp;($B7/100)*X$2)</f>
        <v>0</v>
      </c>
      <c r="Y8" s="29">
        <f>COUNTIFS(Trackerdata[Assessment 3],"&gt;="&amp;($B8/100)*Y$2,Trackerdata[Assessment 3],"&lt;"&amp;($B7/100)*Y$2)</f>
        <v>0</v>
      </c>
      <c r="Z8" s="29">
        <f>COUNTIFS(Trackerdata[Assessment 4],"&gt;="&amp;($B8/100)*Z$2,Trackerdata[Assessment 4],"&lt;"&amp;($B7/100)*Z$2)</f>
        <v>0</v>
      </c>
      <c r="AA8" s="29">
        <f>COUNTIFS(Trackerdata[Assessment 5],"&gt;="&amp;($B8/100)*AA$2,Trackerdata[Assessment 5],"&lt;"&amp;($B7/100)*AA$2)</f>
        <v>0</v>
      </c>
      <c r="AB8" s="29">
        <f>COUNTIFS(Trackerdata[Assessment 6],"&gt;="&amp;($B8/100)*AB$2,Trackerdata[Assessment 6],"&lt;"&amp;($B7/100)*AB$2)</f>
        <v>0</v>
      </c>
      <c r="AC8" s="29">
        <f>COUNTIFS(Trackerdata[Assessment 7],"&gt;="&amp;($B8/100)*AC$2,Trackerdata[Assessment 7],"&lt;"&amp;($B7/100)*AC$2)</f>
        <v>0</v>
      </c>
      <c r="AD8" s="29">
        <f>COUNTIFS(Trackerdata[Assessment 8],"&gt;="&amp;($B8/100)*AD$2,Trackerdata[Assessment 8],"&lt;"&amp;($B7/100)*AD$2)</f>
        <v>0</v>
      </c>
      <c r="AE8" s="29">
        <f>COUNTIFS(Trackerdata[Assessment 9],"&gt;="&amp;($B8/100)*AE$2,Trackerdata[Assessment 9],"&lt;"&amp;($B7/100)*AE$2)</f>
        <v>0</v>
      </c>
      <c r="AF8" s="29">
        <f>COUNTIFS(Trackerdata[Assessment 10],"&gt;="&amp;($B8/100)*AF$2,Trackerdata[Assessment 10],"&lt;"&amp;($B7/100)*AF$2)</f>
        <v>0</v>
      </c>
      <c r="AG8" s="29">
        <f>COUNTIFS(Trackerdata[Assessment 11],"&gt;="&amp;($B8/100)*AG$2,Trackerdata[Assessment 11],"&lt;"&amp;($B7/100)*AG$2)</f>
        <v>0</v>
      </c>
      <c r="AH8" s="29">
        <f>COUNTIFS(Trackerdata[Assessment 12],"&gt;="&amp;($B8/100)*AH$2,Trackerdata[Assessment 12],"&lt;"&amp;($B7/100)*AH$2)</f>
        <v>0</v>
      </c>
      <c r="AI8" s="29">
        <f>COUNTIFS(Trackerdata[Assessment 13],"&gt;="&amp;($B8/100)*AI$2,Trackerdata[Assessment 13],"&lt;"&amp;($B7/100)*AI$2)</f>
        <v>0</v>
      </c>
      <c r="AJ8" s="29">
        <f>COUNTIFS(Trackerdata[Assessment 14],"&gt;="&amp;($B8/100)*AJ$2,Trackerdata[Assessment 14],"&lt;"&amp;($B7/100)*AJ$2)</f>
        <v>0</v>
      </c>
      <c r="AK8" s="29">
        <f>COUNTIFS(Trackerdata[Assessment 15],"&gt;="&amp;($B8/100)*AK$2,Trackerdata[Assessment 15],"&lt;"&amp;($B7/100)*AK$2)</f>
        <v>0</v>
      </c>
      <c r="AL8" s="29">
        <f>COUNTIFS(Trackerdata[Assessment 16],"&gt;="&amp;($B8/100)*AL$2,Trackerdata[Assessment 16],"&lt;"&amp;($B7/100)*AL$2)</f>
        <v>0</v>
      </c>
      <c r="AM8" s="29">
        <f>COUNTIFS(Trackerdata[Assessment 17],"&gt;="&amp;($B8/100)*AM$2,Trackerdata[Assessment 17],"&lt;"&amp;($B7/100)*AM$2)</f>
        <v>0</v>
      </c>
      <c r="AN8" s="29">
        <f>COUNTIFS(Trackerdata[Assessment 18],"&gt;="&amp;($B8/100)*AN$2,Trackerdata[Assessment 18],"&lt;"&amp;($B7/100)*AN$2)</f>
        <v>0</v>
      </c>
      <c r="AO8" s="29">
        <f>COUNTIFS(Trackerdata[Assessment 19],"&gt;="&amp;($B8/100)*AO$2,Trackerdata[Assessment 19],"&lt;"&amp;($B7/100)*AO$2)</f>
        <v>0</v>
      </c>
      <c r="AP8" s="29">
        <f>COUNTIFS(Trackerdata[Assessment 20],"&gt;="&amp;($B8/100)*AP$2,Trackerdata[Assessment 20],"&lt;"&amp;($B7/100)*AP$2)</f>
        <v>0</v>
      </c>
      <c r="AQ8" s="29">
        <f>COUNTIFS(Trackerdata[Assessment 21],"&gt;="&amp;($B8/100)*AQ$2,Trackerdata[Assessment 21],"&lt;"&amp;($B7/100)*AQ$2)</f>
        <v>0</v>
      </c>
      <c r="AR8" s="29">
        <f>COUNTIFS(Trackerdata[Assessment 22],"&gt;="&amp;($B8/100)*AR$2,Trackerdata[Assessment 22],"&lt;"&amp;($B7/100)*AR$2)</f>
        <v>0</v>
      </c>
      <c r="AS8" s="29">
        <f>COUNTIFS(Trackerdata[Assessment 23],"&gt;="&amp;($B8/100)*AS$2,Trackerdata[Assessment 23],"&lt;"&amp;($B7/100)*AS$2)</f>
        <v>0</v>
      </c>
      <c r="AT8" s="29">
        <f>COUNTIFS(Trackerdata[Assessment 24],"&gt;="&amp;($B8/100)*AT$2,Trackerdata[Assessment 24],"&lt;"&amp;($B7/100)*AT$2)</f>
        <v>0</v>
      </c>
      <c r="AU8" s="29">
        <f>COUNTIFS(Trackerdata[Assessment 25],"&gt;="&amp;($B8/100)*AU$2,Trackerdata[Assessment 25],"&lt;"&amp;($B7/100)*AU$2)</f>
        <v>0</v>
      </c>
      <c r="AV8" s="29">
        <f>COUNTIFS(Trackerdata[Assessment | Insert new columns before here],"&gt;="&amp;($B8/100)*AV$2,Trackerdata[Assessment | Insert new columns before here],"&lt;"&amp;($B7/100)*AV$2)</f>
        <v>0</v>
      </c>
      <c r="AW8" s="32"/>
    </row>
    <row r="9" spans="1:49" s="26" customFormat="1" hidden="1" x14ac:dyDescent="0.2">
      <c r="A9" s="33" t="s">
        <v>491</v>
      </c>
      <c r="B9" s="33">
        <f>INDEX(TableOfLetterGrades[Score],MATCH(A9,TableOfLetterGrades[Grade],0))</f>
        <v>60</v>
      </c>
      <c r="C9" s="29"/>
      <c r="D9" s="29"/>
      <c r="E9" s="29"/>
      <c r="F9" s="29"/>
      <c r="G9" s="29"/>
      <c r="H9" s="29"/>
      <c r="I9" s="29"/>
      <c r="J9" s="29"/>
      <c r="K9" s="29">
        <f>COUNTIFS(Trackerdata[Running Average],"&gt;="&amp;$B9,Trackerdata[Running Average],"&lt;"&amp;$B8)</f>
        <v>0</v>
      </c>
      <c r="L9" s="29"/>
      <c r="M9" s="40">
        <f>COUNTIFS(Trackerdata[Homeworks],"&gt;="&amp;$B9,Trackerdata[Homeworks],"&lt;"&amp;$B8)</f>
        <v>0</v>
      </c>
      <c r="N9" s="29">
        <f>COUNTIFS(Trackerdata[Classworks],"&gt;="&amp;$B9,Trackerdata[Classworks],"&lt;"&amp;$B8)</f>
        <v>1</v>
      </c>
      <c r="O9" s="29">
        <f>COUNTIFS(Trackerdata[Tests],"&gt;="&amp;$B9,Trackerdata[Tests],"&lt;"&amp;$B8)</f>
        <v>0</v>
      </c>
      <c r="P9" s="29">
        <f>COUNTIFS(Trackerdata[Projects],"&gt;="&amp;$B9,Trackerdata[Projects],"&lt;"&amp;$B8)</f>
        <v>0</v>
      </c>
      <c r="Q9" s="29">
        <f>COUNTIFS(Trackerdata[Another Type],"&gt;="&amp;$B9,Trackerdata[Another Type],"&lt;"&amp;$B8)</f>
        <v>0</v>
      </c>
      <c r="R9" s="42">
        <f>COUNTIFS(Trackerdata[Another Type 2],"&gt;="&amp;$B9,Trackerdata[Another Type 2],"&lt;"&amp;$B8)</f>
        <v>0</v>
      </c>
      <c r="S9" s="29">
        <f>COUNTIFS(Trackerdata[Homework One],"&gt;="&amp;($B9/100)*S$2,Trackerdata[Homework One],"&lt;"&amp;($B8/100)*S$2)</f>
        <v>0</v>
      </c>
      <c r="T9" s="29">
        <f>COUNTIFS(Trackerdata[Classwork  One],"&gt;="&amp;($B9/100)*T$2,Trackerdata[Classwork  One],"&lt;"&amp;($B8/100)*T$2)</f>
        <v>1</v>
      </c>
      <c r="U9" s="29">
        <f>COUNTIFS(Trackerdata[Homework Two],"&gt;="&amp;($B9/100)*U$2,Trackerdata[Homework Two],"&lt;"&amp;($B8/100)*U$2)</f>
        <v>0</v>
      </c>
      <c r="V9" s="29">
        <f>COUNTIFS(Trackerdata[First Test],"&gt;="&amp;($B9/100)*V$2,Trackerdata[First Test],"&lt;"&amp;($B8/100)*V$2)</f>
        <v>0</v>
      </c>
      <c r="W9" s="29">
        <f>COUNTIFS(Trackerdata[Project],"&gt;="&amp;($B9/100)*W$2,Trackerdata[Project],"&lt;"&amp;($B8/100)*W$2)</f>
        <v>0</v>
      </c>
      <c r="X9" s="29">
        <f>COUNTIFS(Trackerdata[Assessment 2],"&gt;="&amp;($B9/100)*X$2,Trackerdata[Assessment 2],"&lt;"&amp;($B8/100)*X$2)</f>
        <v>0</v>
      </c>
      <c r="Y9" s="29">
        <f>COUNTIFS(Trackerdata[Assessment 3],"&gt;="&amp;($B9/100)*Y$2,Trackerdata[Assessment 3],"&lt;"&amp;($B8/100)*Y$2)</f>
        <v>0</v>
      </c>
      <c r="Z9" s="29">
        <f>COUNTIFS(Trackerdata[Assessment 4],"&gt;="&amp;($B9/100)*Z$2,Trackerdata[Assessment 4],"&lt;"&amp;($B8/100)*Z$2)</f>
        <v>0</v>
      </c>
      <c r="AA9" s="29">
        <f>COUNTIFS(Trackerdata[Assessment 5],"&gt;="&amp;($B9/100)*AA$2,Trackerdata[Assessment 5],"&lt;"&amp;($B8/100)*AA$2)</f>
        <v>0</v>
      </c>
      <c r="AB9" s="29">
        <f>COUNTIFS(Trackerdata[Assessment 6],"&gt;="&amp;($B9/100)*AB$2,Trackerdata[Assessment 6],"&lt;"&amp;($B8/100)*AB$2)</f>
        <v>0</v>
      </c>
      <c r="AC9" s="29">
        <f>COUNTIFS(Trackerdata[Assessment 7],"&gt;="&amp;($B9/100)*AC$2,Trackerdata[Assessment 7],"&lt;"&amp;($B8/100)*AC$2)</f>
        <v>0</v>
      </c>
      <c r="AD9" s="29">
        <f>COUNTIFS(Trackerdata[Assessment 8],"&gt;="&amp;($B9/100)*AD$2,Trackerdata[Assessment 8],"&lt;"&amp;($B8/100)*AD$2)</f>
        <v>0</v>
      </c>
      <c r="AE9" s="29">
        <f>COUNTIFS(Trackerdata[Assessment 9],"&gt;="&amp;($B9/100)*AE$2,Trackerdata[Assessment 9],"&lt;"&amp;($B8/100)*AE$2)</f>
        <v>0</v>
      </c>
      <c r="AF9" s="29">
        <f>COUNTIFS(Trackerdata[Assessment 10],"&gt;="&amp;($B9/100)*AF$2,Trackerdata[Assessment 10],"&lt;"&amp;($B8/100)*AF$2)</f>
        <v>0</v>
      </c>
      <c r="AG9" s="29">
        <f>COUNTIFS(Trackerdata[Assessment 11],"&gt;="&amp;($B9/100)*AG$2,Trackerdata[Assessment 11],"&lt;"&amp;($B8/100)*AG$2)</f>
        <v>0</v>
      </c>
      <c r="AH9" s="29">
        <f>COUNTIFS(Trackerdata[Assessment 12],"&gt;="&amp;($B9/100)*AH$2,Trackerdata[Assessment 12],"&lt;"&amp;($B8/100)*AH$2)</f>
        <v>0</v>
      </c>
      <c r="AI9" s="29">
        <f>COUNTIFS(Trackerdata[Assessment 13],"&gt;="&amp;($B9/100)*AI$2,Trackerdata[Assessment 13],"&lt;"&amp;($B8/100)*AI$2)</f>
        <v>0</v>
      </c>
      <c r="AJ9" s="29">
        <f>COUNTIFS(Trackerdata[Assessment 14],"&gt;="&amp;($B9/100)*AJ$2,Trackerdata[Assessment 14],"&lt;"&amp;($B8/100)*AJ$2)</f>
        <v>0</v>
      </c>
      <c r="AK9" s="29">
        <f>COUNTIFS(Trackerdata[Assessment 15],"&gt;="&amp;($B9/100)*AK$2,Trackerdata[Assessment 15],"&lt;"&amp;($B8/100)*AK$2)</f>
        <v>0</v>
      </c>
      <c r="AL9" s="29">
        <f>COUNTIFS(Trackerdata[Assessment 16],"&gt;="&amp;($B9/100)*AL$2,Trackerdata[Assessment 16],"&lt;"&amp;($B8/100)*AL$2)</f>
        <v>0</v>
      </c>
      <c r="AM9" s="29">
        <f>COUNTIFS(Trackerdata[Assessment 17],"&gt;="&amp;($B9/100)*AM$2,Trackerdata[Assessment 17],"&lt;"&amp;($B8/100)*AM$2)</f>
        <v>0</v>
      </c>
      <c r="AN9" s="29">
        <f>COUNTIFS(Trackerdata[Assessment 18],"&gt;="&amp;($B9/100)*AN$2,Trackerdata[Assessment 18],"&lt;"&amp;($B8/100)*AN$2)</f>
        <v>0</v>
      </c>
      <c r="AO9" s="29">
        <f>COUNTIFS(Trackerdata[Assessment 19],"&gt;="&amp;($B9/100)*AO$2,Trackerdata[Assessment 19],"&lt;"&amp;($B8/100)*AO$2)</f>
        <v>0</v>
      </c>
      <c r="AP9" s="29">
        <f>COUNTIFS(Trackerdata[Assessment 20],"&gt;="&amp;($B9/100)*AP$2,Trackerdata[Assessment 20],"&lt;"&amp;($B8/100)*AP$2)</f>
        <v>0</v>
      </c>
      <c r="AQ9" s="29">
        <f>COUNTIFS(Trackerdata[Assessment 21],"&gt;="&amp;($B9/100)*AQ$2,Trackerdata[Assessment 21],"&lt;"&amp;($B8/100)*AQ$2)</f>
        <v>0</v>
      </c>
      <c r="AR9" s="29">
        <f>COUNTIFS(Trackerdata[Assessment 22],"&gt;="&amp;($B9/100)*AR$2,Trackerdata[Assessment 22],"&lt;"&amp;($B8/100)*AR$2)</f>
        <v>0</v>
      </c>
      <c r="AS9" s="29">
        <f>COUNTIFS(Trackerdata[Assessment 23],"&gt;="&amp;($B9/100)*AS$2,Trackerdata[Assessment 23],"&lt;"&amp;($B8/100)*AS$2)</f>
        <v>0</v>
      </c>
      <c r="AT9" s="29">
        <f>COUNTIFS(Trackerdata[Assessment 24],"&gt;="&amp;($B9/100)*AT$2,Trackerdata[Assessment 24],"&lt;"&amp;($B8/100)*AT$2)</f>
        <v>0</v>
      </c>
      <c r="AU9" s="29">
        <f>COUNTIFS(Trackerdata[Assessment 25],"&gt;="&amp;($B9/100)*AU$2,Trackerdata[Assessment 25],"&lt;"&amp;($B8/100)*AU$2)</f>
        <v>0</v>
      </c>
      <c r="AV9" s="29">
        <f>COUNTIFS(Trackerdata[Assessment | Insert new columns before here],"&gt;="&amp;($B9/100)*AV$2,Trackerdata[Assessment | Insert new columns before here],"&lt;"&amp;($B8/100)*AV$2)</f>
        <v>0</v>
      </c>
      <c r="AW9" s="32"/>
    </row>
    <row r="10" spans="1:49" s="26" customFormat="1" hidden="1" x14ac:dyDescent="0.2">
      <c r="A10" s="33" t="s">
        <v>440</v>
      </c>
      <c r="B10" s="33">
        <v>0</v>
      </c>
      <c r="C10" s="29"/>
      <c r="D10" s="29"/>
      <c r="E10" s="29"/>
      <c r="F10" s="29"/>
      <c r="G10" s="29"/>
      <c r="H10" s="29"/>
      <c r="I10" s="29"/>
      <c r="J10" s="29"/>
      <c r="K10" s="29">
        <f>COUNTIF(Trackerdata[Running Average],"&lt;"&amp;$B9)</f>
        <v>6</v>
      </c>
      <c r="L10" s="29"/>
      <c r="M10" s="48">
        <f>COUNTIF(Trackerdata[Homeworks],"&lt;"&amp;$B9)</f>
        <v>6</v>
      </c>
      <c r="N10" s="45">
        <f>COUNTIF(Trackerdata[Classworks],"&lt;"&amp;$B9)</f>
        <v>6</v>
      </c>
      <c r="O10" s="45">
        <f>COUNTIF(Trackerdata[Tests],"&lt;"&amp;$B9)</f>
        <v>6</v>
      </c>
      <c r="P10" s="45">
        <f>COUNTIF(Trackerdata[Projects],"&lt;"&amp;$B9)</f>
        <v>6</v>
      </c>
      <c r="Q10" s="45">
        <f>COUNTIF(Trackerdata[Another Type],"&lt;"&amp;$B9)</f>
        <v>0</v>
      </c>
      <c r="R10" s="47">
        <f>COUNTIF(Trackerdata[Another Type 2],"&lt;"&amp;$B9)</f>
        <v>0</v>
      </c>
      <c r="S10" s="29">
        <f>COUNTIF(Trackerdata[Homework One],"&lt;"&amp;($B9/100)*S$2)</f>
        <v>0</v>
      </c>
      <c r="T10" s="29">
        <f>COUNTIF(Trackerdata[Classwork  One],"&lt;"&amp;($B9/100)*T$2)</f>
        <v>0</v>
      </c>
      <c r="U10" s="29">
        <f>COUNTIF(Trackerdata[Homework Two],"&lt;"&amp;($B9/100)*U$2)</f>
        <v>0</v>
      </c>
      <c r="V10" s="29">
        <f>COUNTIF(Trackerdata[First Test],"&lt;"&amp;($B9/100)*V$2)</f>
        <v>0</v>
      </c>
      <c r="W10" s="29">
        <f>COUNTIF(Trackerdata[Project],"&lt;"&amp;($B9/100)*W$2)</f>
        <v>0</v>
      </c>
      <c r="X10" s="29">
        <f>COUNTIF(Trackerdata[Assessment 2],"&lt;"&amp;($B9/100)*X$2)</f>
        <v>0</v>
      </c>
      <c r="Y10" s="29">
        <f>COUNTIF(Trackerdata[Assessment 3],"&lt;"&amp;($B9/100)*Y$2)</f>
        <v>0</v>
      </c>
      <c r="Z10" s="29">
        <f>COUNTIF(Trackerdata[Assessment 4],"&lt;"&amp;($B9/100)*Z$2)</f>
        <v>0</v>
      </c>
      <c r="AA10" s="29">
        <f>COUNTIF(Trackerdata[Assessment 5],"&lt;"&amp;($B9/100)*AA$2)</f>
        <v>0</v>
      </c>
      <c r="AB10" s="29">
        <f>COUNTIF(Trackerdata[Assessment 6],"&lt;"&amp;($B9/100)*AB$2)</f>
        <v>0</v>
      </c>
      <c r="AC10" s="29">
        <f>COUNTIF(Trackerdata[Assessment 7],"&lt;"&amp;($B9/100)*AC$2)</f>
        <v>0</v>
      </c>
      <c r="AD10" s="29">
        <f>COUNTIF(Trackerdata[Assessment 8],"&lt;"&amp;($B9/100)*AD$2)</f>
        <v>0</v>
      </c>
      <c r="AE10" s="29">
        <f>COUNTIF(Trackerdata[Assessment 9],"&lt;"&amp;($B9/100)*AE$2)</f>
        <v>0</v>
      </c>
      <c r="AF10" s="29">
        <f>COUNTIF(Trackerdata[Assessment 10],"&lt;"&amp;($B9/100)*AF$2)</f>
        <v>0</v>
      </c>
      <c r="AG10" s="29">
        <f>COUNTIF(Trackerdata[Assessment 11],"&lt;"&amp;($B9/100)*AG$2)</f>
        <v>0</v>
      </c>
      <c r="AH10" s="29">
        <f>COUNTIF(Trackerdata[Assessment 12],"&lt;"&amp;($B9/100)*AH$2)</f>
        <v>0</v>
      </c>
      <c r="AI10" s="29">
        <f>COUNTIF(Trackerdata[Assessment 13],"&lt;"&amp;($B9/100)*AI$2)</f>
        <v>0</v>
      </c>
      <c r="AJ10" s="29">
        <f>COUNTIF(Trackerdata[Assessment 14],"&lt;"&amp;($B9/100)*AJ$2)</f>
        <v>0</v>
      </c>
      <c r="AK10" s="29">
        <f>COUNTIF(Trackerdata[Assessment 15],"&lt;"&amp;($B9/100)*AK$2)</f>
        <v>0</v>
      </c>
      <c r="AL10" s="29">
        <f>COUNTIF(Trackerdata[Assessment 16],"&lt;"&amp;($B9/100)*AL$2)</f>
        <v>0</v>
      </c>
      <c r="AM10" s="29">
        <f>COUNTIF(Trackerdata[Assessment 17],"&lt;"&amp;($B9/100)*AM$2)</f>
        <v>0</v>
      </c>
      <c r="AN10" s="29">
        <f>COUNTIF(Trackerdata[Assessment 18],"&lt;"&amp;($B9/100)*AN$2)</f>
        <v>0</v>
      </c>
      <c r="AO10" s="29">
        <f>COUNTIF(Trackerdata[Assessment 19],"&lt;"&amp;($B9/100)*AO$2)</f>
        <v>0</v>
      </c>
      <c r="AP10" s="29">
        <f>COUNTIF(Trackerdata[Assessment 20],"&lt;"&amp;($B9/100)*AP$2)</f>
        <v>0</v>
      </c>
      <c r="AQ10" s="29">
        <f>COUNTIF(Trackerdata[Assessment 21],"&lt;"&amp;($B9/100)*AQ$2)</f>
        <v>0</v>
      </c>
      <c r="AR10" s="29">
        <f>COUNTIF(Trackerdata[Assessment 22],"&lt;"&amp;($B9/100)*AR$2)</f>
        <v>0</v>
      </c>
      <c r="AS10" s="29">
        <f>COUNTIF(Trackerdata[Assessment 23],"&lt;"&amp;($B9/100)*AS$2)</f>
        <v>0</v>
      </c>
      <c r="AT10" s="29">
        <f>COUNTIF(Trackerdata[Assessment 24],"&lt;"&amp;($B9/100)*AT$2)</f>
        <v>0</v>
      </c>
      <c r="AU10" s="29">
        <f>COUNTIF(Trackerdata[Assessment 25],"&lt;"&amp;($B9/100)*AU$2)</f>
        <v>0</v>
      </c>
      <c r="AV10" s="29">
        <f>COUNTIF(Trackerdata[Assessment | Insert new columns before here],"&lt;"&amp;($B9/100)*AV$2)</f>
        <v>0</v>
      </c>
      <c r="AW10" s="32"/>
    </row>
    <row r="11" spans="1:49" s="2" customFormat="1" ht="135" customHeight="1" x14ac:dyDescent="0.2">
      <c r="A11" s="60" t="s">
        <v>3</v>
      </c>
      <c r="B11" s="61" t="s">
        <v>4</v>
      </c>
      <c r="C11" s="62" t="s">
        <v>5</v>
      </c>
      <c r="D11" s="62" t="s">
        <v>6</v>
      </c>
      <c r="E11" s="62" t="s">
        <v>7</v>
      </c>
      <c r="F11" s="62" t="s">
        <v>8</v>
      </c>
      <c r="G11" s="62" t="s">
        <v>9</v>
      </c>
      <c r="H11" s="62" t="s">
        <v>441</v>
      </c>
      <c r="I11" s="62" t="s">
        <v>442</v>
      </c>
      <c r="J11" s="62" t="s">
        <v>11</v>
      </c>
      <c r="K11" s="89" t="s">
        <v>443</v>
      </c>
      <c r="L11" s="89" t="s">
        <v>494</v>
      </c>
      <c r="M11" s="88" t="s">
        <v>459</v>
      </c>
      <c r="N11" s="88" t="s">
        <v>460</v>
      </c>
      <c r="O11" s="88" t="s">
        <v>461</v>
      </c>
      <c r="P11" s="88" t="s">
        <v>12</v>
      </c>
      <c r="Q11" s="88" t="s">
        <v>465</v>
      </c>
      <c r="R11" s="88" t="s">
        <v>464</v>
      </c>
      <c r="S11" s="86" t="s">
        <v>454</v>
      </c>
      <c r="T11" s="86" t="s">
        <v>455</v>
      </c>
      <c r="U11" s="86" t="s">
        <v>456</v>
      </c>
      <c r="V11" s="86" t="s">
        <v>457</v>
      </c>
      <c r="W11" s="86" t="s">
        <v>458</v>
      </c>
      <c r="X11" s="86" t="s">
        <v>13</v>
      </c>
      <c r="Y11" s="86" t="s">
        <v>14</v>
      </c>
      <c r="Z11" s="86" t="s">
        <v>15</v>
      </c>
      <c r="AA11" s="86" t="s">
        <v>16</v>
      </c>
      <c r="AB11" s="86" t="s">
        <v>17</v>
      </c>
      <c r="AC11" s="86" t="s">
        <v>18</v>
      </c>
      <c r="AD11" s="86" t="s">
        <v>19</v>
      </c>
      <c r="AE11" s="86" t="s">
        <v>20</v>
      </c>
      <c r="AF11" s="86" t="s">
        <v>21</v>
      </c>
      <c r="AG11" s="86" t="s">
        <v>22</v>
      </c>
      <c r="AH11" s="86" t="s">
        <v>23</v>
      </c>
      <c r="AI11" s="86" t="s">
        <v>24</v>
      </c>
      <c r="AJ11" s="86" t="s">
        <v>25</v>
      </c>
      <c r="AK11" s="86" t="s">
        <v>26</v>
      </c>
      <c r="AL11" s="86" t="s">
        <v>27</v>
      </c>
      <c r="AM11" s="86" t="s">
        <v>28</v>
      </c>
      <c r="AN11" s="86" t="s">
        <v>29</v>
      </c>
      <c r="AO11" s="86" t="s">
        <v>30</v>
      </c>
      <c r="AP11" s="86" t="s">
        <v>31</v>
      </c>
      <c r="AQ11" s="86" t="s">
        <v>32</v>
      </c>
      <c r="AR11" s="86" t="s">
        <v>33</v>
      </c>
      <c r="AS11" s="86" t="s">
        <v>34</v>
      </c>
      <c r="AT11" s="86" t="s">
        <v>35</v>
      </c>
      <c r="AU11" s="86" t="s">
        <v>36</v>
      </c>
      <c r="AV11" s="87" t="s">
        <v>437</v>
      </c>
      <c r="AW11" s="31"/>
    </row>
    <row r="12" spans="1:49" s="2" customFormat="1" x14ac:dyDescent="0.2">
      <c r="A12" s="63">
        <v>1</v>
      </c>
      <c r="B12" s="64" t="s">
        <v>37</v>
      </c>
      <c r="C12" s="65"/>
      <c r="D12" s="65"/>
      <c r="E12" s="65"/>
      <c r="F12" s="65"/>
      <c r="G12" s="65"/>
      <c r="H12" s="65">
        <f>IFERROR(VLOOKUP(Trackerdata[[#This Row],[Name]],AbsentTardyTable[[Student]:[Lates]],2,FALSE),"No match")</f>
        <v>1</v>
      </c>
      <c r="I12" s="65">
        <f>IFERROR(VLOOKUP(Trackerdata[[#This Row],[Name]],AbsentTardyTable[[Student]:[Lates]],3,FALSE),"No match")</f>
        <v>0</v>
      </c>
      <c r="J12" s="65"/>
      <c r="K12" s="57">
        <f t="shared" ref="K12:K21" si="0">IFERROR(SUMPRODUCT(PercentageBreakdownCells,$M12:$R12)/SUM(PercentageBreakdownCells),"")</f>
        <v>100</v>
      </c>
      <c r="L12" s="57" t="str">
        <f>VLOOKUP(Trackerdata[[#This Row],[Running Average]],TableOfLetterGrades[],2,TRUE)</f>
        <v>A+</v>
      </c>
      <c r="M12" s="57">
        <f t="shared" ref="M12:M21" si="1">IFERROR(SUMPRODUCT($S12:$AV12,$S$3:$AV$3,--($S12:$AV12&lt;&gt;"Excused"),--($S$1:$AV$1=M$11))/SUMPRODUCT($S$2:$AV$2,$S$3:$AV$3,--($S12:$AV12&lt;&gt;"Excused"),--($S$1:$AV$1=M$11))*100,"")</f>
        <v>100</v>
      </c>
      <c r="N12" s="57">
        <f t="shared" ref="N12:R21" si="2">IFERROR(SUMPRODUCT($S12:$AV12,$S$3:$AV$3,--($S12:$AV12&lt;&gt;"Excused"),--($S$1:$AV$1=N$11))/SUMPRODUCT($S$2:$AV$2,$S$3:$AV$3,--($S12:$AV12&lt;&gt;"Excused"),--($S$1:$AV$1=N$11))*100,"")</f>
        <v>100</v>
      </c>
      <c r="O12" s="57">
        <f t="shared" si="2"/>
        <v>100</v>
      </c>
      <c r="P12" s="57">
        <f t="shared" si="2"/>
        <v>100</v>
      </c>
      <c r="Q12" s="57" t="str">
        <f t="shared" si="2"/>
        <v/>
      </c>
      <c r="R12" s="57" t="str">
        <f t="shared" si="2"/>
        <v/>
      </c>
      <c r="S12" s="65">
        <v>10</v>
      </c>
      <c r="T12" s="65">
        <v>15</v>
      </c>
      <c r="U12" s="65">
        <v>5</v>
      </c>
      <c r="V12" s="65">
        <v>50</v>
      </c>
      <c r="W12" s="65">
        <v>10</v>
      </c>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6"/>
    </row>
    <row r="13" spans="1:49" s="2" customFormat="1" x14ac:dyDescent="0.2">
      <c r="A13" s="63">
        <v>1</v>
      </c>
      <c r="B13" s="64" t="s">
        <v>38</v>
      </c>
      <c r="C13" s="65"/>
      <c r="D13" s="65"/>
      <c r="E13" s="65"/>
      <c r="F13" s="65"/>
      <c r="G13" s="65"/>
      <c r="H13" s="65">
        <f>IFERROR(VLOOKUP(Trackerdata[[#This Row],[Name]],AbsentTardyTable[[Student]:[Lates]],2,FALSE),"No match")</f>
        <v>0</v>
      </c>
      <c r="I13" s="65">
        <f>IFERROR(VLOOKUP(Trackerdata[[#This Row],[Name]],AbsentTardyTable[[Student]:[Lates]],3,FALSE),"No match")</f>
        <v>1</v>
      </c>
      <c r="J13" s="65"/>
      <c r="K13" s="57">
        <f t="shared" si="0"/>
        <v>89.733333333333334</v>
      </c>
      <c r="L13" s="57" t="str">
        <f>VLOOKUP(Trackerdata[[#This Row],[Running Average]],TableOfLetterGrades[],2,TRUE)</f>
        <v>B+</v>
      </c>
      <c r="M13" s="57">
        <f t="shared" si="1"/>
        <v>80</v>
      </c>
      <c r="N13" s="57">
        <f t="shared" si="2"/>
        <v>66.666666666666657</v>
      </c>
      <c r="O13" s="57">
        <f t="shared" si="2"/>
        <v>96</v>
      </c>
      <c r="P13" s="57">
        <f t="shared" si="2"/>
        <v>100</v>
      </c>
      <c r="Q13" s="57" t="str">
        <f t="shared" si="2"/>
        <v/>
      </c>
      <c r="R13" s="57" t="str">
        <f t="shared" si="2"/>
        <v/>
      </c>
      <c r="S13" s="65">
        <v>8</v>
      </c>
      <c r="T13" s="65">
        <v>10</v>
      </c>
      <c r="U13" s="65">
        <v>4</v>
      </c>
      <c r="V13" s="65">
        <v>48</v>
      </c>
      <c r="W13" s="65">
        <v>10</v>
      </c>
      <c r="X13" s="65"/>
      <c r="Y13" s="65"/>
      <c r="Z13" s="65"/>
      <c r="AA13" s="65"/>
      <c r="AB13" s="65"/>
      <c r="AC13" s="65"/>
      <c r="AD13" s="65"/>
      <c r="AE13" s="65"/>
      <c r="AF13" s="65"/>
      <c r="AG13" s="65"/>
      <c r="AH13" s="65"/>
      <c r="AI13" s="65"/>
      <c r="AJ13" s="65"/>
      <c r="AK13" s="65"/>
      <c r="AL13" s="65"/>
      <c r="AM13" s="65"/>
      <c r="AN13" s="65"/>
      <c r="AO13" s="65"/>
      <c r="AP13" s="65"/>
      <c r="AQ13" s="65"/>
      <c r="AR13" s="65"/>
      <c r="AS13" s="65"/>
      <c r="AT13" s="65"/>
      <c r="AU13" s="65"/>
      <c r="AV13" s="66"/>
    </row>
    <row r="14" spans="1:49" s="2" customFormat="1" x14ac:dyDescent="0.2">
      <c r="A14" s="63">
        <v>1</v>
      </c>
      <c r="B14" s="64" t="s">
        <v>39</v>
      </c>
      <c r="C14" s="65"/>
      <c r="D14" s="65"/>
      <c r="E14" s="65"/>
      <c r="F14" s="65"/>
      <c r="G14" s="65"/>
      <c r="H14" s="65">
        <f>IFERROR(VLOOKUP(Trackerdata[[#This Row],[Name]],AbsentTardyTable[[Student]:[Lates]],2,FALSE),"No match")</f>
        <v>2</v>
      </c>
      <c r="I14" s="65">
        <f>IFERROR(VLOOKUP(Trackerdata[[#This Row],[Name]],AbsentTardyTable[[Student]:[Lates]],3,FALSE),"No match")</f>
        <v>0</v>
      </c>
      <c r="J14" s="65"/>
      <c r="K14" s="57">
        <f t="shared" si="0"/>
        <v>82</v>
      </c>
      <c r="L14" s="57" t="str">
        <f>VLOOKUP(Trackerdata[[#This Row],[Running Average]],TableOfLetterGrades[],2,TRUE)</f>
        <v>B-</v>
      </c>
      <c r="M14" s="57">
        <f t="shared" si="1"/>
        <v>100</v>
      </c>
      <c r="N14" s="57">
        <f t="shared" si="2"/>
        <v>80</v>
      </c>
      <c r="O14" s="57">
        <f t="shared" si="2"/>
        <v>80</v>
      </c>
      <c r="P14" s="57">
        <f t="shared" si="2"/>
        <v>80</v>
      </c>
      <c r="Q14" s="57" t="str">
        <f t="shared" si="2"/>
        <v/>
      </c>
      <c r="R14" s="57" t="str">
        <f t="shared" si="2"/>
        <v/>
      </c>
      <c r="S14" s="65">
        <v>10</v>
      </c>
      <c r="T14" s="65">
        <v>12</v>
      </c>
      <c r="U14" s="65" t="s">
        <v>40</v>
      </c>
      <c r="V14" s="65">
        <v>40</v>
      </c>
      <c r="W14" s="65">
        <v>8</v>
      </c>
      <c r="X14" s="65"/>
      <c r="Y14" s="65"/>
      <c r="Z14" s="65"/>
      <c r="AA14" s="65"/>
      <c r="AB14" s="65"/>
      <c r="AC14" s="65"/>
      <c r="AD14" s="65"/>
      <c r="AE14" s="65"/>
      <c r="AF14" s="65"/>
      <c r="AG14" s="65"/>
      <c r="AH14" s="65"/>
      <c r="AI14" s="65"/>
      <c r="AJ14" s="65"/>
      <c r="AK14" s="65"/>
      <c r="AL14" s="65"/>
      <c r="AM14" s="65"/>
      <c r="AN14" s="65"/>
      <c r="AO14" s="65"/>
      <c r="AP14" s="65"/>
      <c r="AQ14" s="65"/>
      <c r="AR14" s="65"/>
      <c r="AS14" s="65"/>
      <c r="AT14" s="65"/>
      <c r="AU14" s="65"/>
      <c r="AV14" s="66"/>
    </row>
    <row r="15" spans="1:49" s="2" customFormat="1" x14ac:dyDescent="0.2">
      <c r="A15" s="63">
        <v>1</v>
      </c>
      <c r="B15" s="64" t="s">
        <v>41</v>
      </c>
      <c r="C15" s="65"/>
      <c r="D15" s="65"/>
      <c r="E15" s="65"/>
      <c r="F15" s="65"/>
      <c r="G15" s="65"/>
      <c r="H15" s="65">
        <f>IFERROR(VLOOKUP(Trackerdata[[#This Row],[Name]],AbsentTardyTable[[Student]:[Lates]],2,FALSE),"No match")</f>
        <v>0</v>
      </c>
      <c r="I15" s="65">
        <f>IFERROR(VLOOKUP(Trackerdata[[#This Row],[Name]],AbsentTardyTable[[Student]:[Lates]],3,FALSE),"No match")</f>
        <v>0</v>
      </c>
      <c r="J15" s="65"/>
      <c r="K15" s="57">
        <f t="shared" si="0"/>
        <v>88.333333333333343</v>
      </c>
      <c r="L15" s="57" t="str">
        <f>VLOOKUP(Trackerdata[[#This Row],[Running Average]],TableOfLetterGrades[],2,TRUE)</f>
        <v>B+</v>
      </c>
      <c r="M15" s="57">
        <f t="shared" si="1"/>
        <v>93.333333333333329</v>
      </c>
      <c r="N15" s="57">
        <f t="shared" si="2"/>
        <v>100</v>
      </c>
      <c r="O15" s="57">
        <f t="shared" si="2"/>
        <v>80</v>
      </c>
      <c r="P15" s="57">
        <f t="shared" si="2"/>
        <v>90</v>
      </c>
      <c r="Q15" s="57" t="str">
        <f t="shared" si="2"/>
        <v/>
      </c>
      <c r="R15" s="57" t="str">
        <f t="shared" si="2"/>
        <v/>
      </c>
      <c r="S15" s="65">
        <v>10</v>
      </c>
      <c r="T15" s="65">
        <v>15</v>
      </c>
      <c r="U15" s="65">
        <v>4</v>
      </c>
      <c r="V15" s="65">
        <v>40</v>
      </c>
      <c r="W15" s="65">
        <v>9</v>
      </c>
      <c r="X15" s="65"/>
      <c r="Y15" s="65"/>
      <c r="Z15" s="65"/>
      <c r="AA15" s="65"/>
      <c r="AB15" s="65"/>
      <c r="AC15" s="65"/>
      <c r="AD15" s="65"/>
      <c r="AE15" s="65"/>
      <c r="AF15" s="65"/>
      <c r="AG15" s="65"/>
      <c r="AH15" s="65"/>
      <c r="AI15" s="65"/>
      <c r="AJ15" s="65"/>
      <c r="AK15" s="65"/>
      <c r="AL15" s="65"/>
      <c r="AM15" s="65"/>
      <c r="AN15" s="65"/>
      <c r="AO15" s="67"/>
      <c r="AP15" s="67"/>
      <c r="AQ15" s="67"/>
      <c r="AR15" s="67"/>
      <c r="AS15" s="67"/>
      <c r="AT15" s="67"/>
      <c r="AU15" s="67"/>
      <c r="AV15" s="68"/>
    </row>
    <row r="16" spans="1:49" s="2" customFormat="1" x14ac:dyDescent="0.2">
      <c r="A16" s="63">
        <v>1</v>
      </c>
      <c r="B16" s="64" t="s">
        <v>42</v>
      </c>
      <c r="C16" s="65"/>
      <c r="D16" s="65"/>
      <c r="E16" s="65"/>
      <c r="F16" s="65"/>
      <c r="G16" s="65"/>
      <c r="H16" s="65">
        <f>IFERROR(VLOOKUP(Trackerdata[[#This Row],[Name]],AbsentTardyTable[[Student]:[Lates]],2,FALSE),"No match")</f>
        <v>0</v>
      </c>
      <c r="I16" s="65">
        <f>IFERROR(VLOOKUP(Trackerdata[[#This Row],[Name]],AbsentTardyTable[[Student]:[Lates]],3,FALSE),"No match")</f>
        <v>0</v>
      </c>
      <c r="J16" s="65"/>
      <c r="K16" s="57">
        <f t="shared" si="0"/>
        <v>0</v>
      </c>
      <c r="L16" s="57" t="str">
        <f>VLOOKUP(Trackerdata[[#This Row],[Running Average]],TableOfLetterGrades[],2,TRUE)</f>
        <v>F</v>
      </c>
      <c r="M16" s="57">
        <f t="shared" si="1"/>
        <v>0</v>
      </c>
      <c r="N16" s="57">
        <f t="shared" si="2"/>
        <v>0</v>
      </c>
      <c r="O16" s="57">
        <f t="shared" si="2"/>
        <v>0</v>
      </c>
      <c r="P16" s="57">
        <f t="shared" si="2"/>
        <v>0</v>
      </c>
      <c r="Q16" s="57" t="str">
        <f t="shared" si="2"/>
        <v/>
      </c>
      <c r="R16" s="57" t="str">
        <f t="shared" si="2"/>
        <v/>
      </c>
      <c r="S16" s="65"/>
      <c r="T16" s="65"/>
      <c r="U16" s="65"/>
      <c r="V16" s="65"/>
      <c r="W16" s="65"/>
      <c r="X16" s="65"/>
      <c r="Y16" s="65"/>
      <c r="Z16" s="65"/>
      <c r="AA16" s="65"/>
      <c r="AB16" s="65"/>
      <c r="AC16" s="65"/>
      <c r="AD16" s="65"/>
      <c r="AE16" s="65"/>
      <c r="AF16" s="65"/>
      <c r="AG16" s="65"/>
      <c r="AH16" s="65"/>
      <c r="AI16" s="65"/>
      <c r="AJ16" s="65"/>
      <c r="AK16" s="65"/>
      <c r="AL16" s="65"/>
      <c r="AM16" s="65"/>
      <c r="AN16" s="65"/>
      <c r="AO16" s="65"/>
      <c r="AP16" s="65"/>
      <c r="AQ16" s="65"/>
      <c r="AR16" s="65"/>
      <c r="AS16" s="65"/>
      <c r="AT16" s="65"/>
      <c r="AU16" s="65"/>
      <c r="AV16" s="66"/>
    </row>
    <row r="17" spans="1:48" s="2" customFormat="1" x14ac:dyDescent="0.2">
      <c r="A17" s="63">
        <v>1</v>
      </c>
      <c r="B17" s="64" t="s">
        <v>43</v>
      </c>
      <c r="C17" s="65"/>
      <c r="D17" s="65"/>
      <c r="E17" s="65"/>
      <c r="F17" s="65"/>
      <c r="G17" s="65"/>
      <c r="H17" s="65">
        <f>IFERROR(VLOOKUP(Trackerdata[[#This Row],[Name]],AbsentTardyTable[[Student]:[Lates]],2,FALSE),"No match")</f>
        <v>0</v>
      </c>
      <c r="I17" s="65">
        <f>IFERROR(VLOOKUP(Trackerdata[[#This Row],[Name]],AbsentTardyTable[[Student]:[Lates]],3,FALSE),"No match")</f>
        <v>0</v>
      </c>
      <c r="J17" s="65"/>
      <c r="K17" s="57">
        <f t="shared" si="0"/>
        <v>0</v>
      </c>
      <c r="L17" s="57" t="str">
        <f>VLOOKUP(Trackerdata[[#This Row],[Running Average]],TableOfLetterGrades[],2,TRUE)</f>
        <v>F</v>
      </c>
      <c r="M17" s="57">
        <f t="shared" si="1"/>
        <v>0</v>
      </c>
      <c r="N17" s="57">
        <f t="shared" si="2"/>
        <v>0</v>
      </c>
      <c r="O17" s="57">
        <f t="shared" si="2"/>
        <v>0</v>
      </c>
      <c r="P17" s="57">
        <f t="shared" si="2"/>
        <v>0</v>
      </c>
      <c r="Q17" s="57" t="str">
        <f t="shared" si="2"/>
        <v/>
      </c>
      <c r="R17" s="57" t="str">
        <f t="shared" si="2"/>
        <v/>
      </c>
      <c r="S17" s="65"/>
      <c r="T17" s="65"/>
      <c r="U17" s="65"/>
      <c r="V17" s="65"/>
      <c r="W17" s="65"/>
      <c r="X17" s="65"/>
      <c r="Y17" s="65"/>
      <c r="Z17" s="65"/>
      <c r="AA17" s="65"/>
      <c r="AB17" s="65"/>
      <c r="AC17" s="65"/>
      <c r="AD17" s="65"/>
      <c r="AE17" s="65"/>
      <c r="AF17" s="65"/>
      <c r="AG17" s="65"/>
      <c r="AH17" s="65"/>
      <c r="AI17" s="65"/>
      <c r="AJ17" s="65"/>
      <c r="AK17" s="65"/>
      <c r="AL17" s="65"/>
      <c r="AM17" s="65"/>
      <c r="AN17" s="65"/>
      <c r="AO17" s="65"/>
      <c r="AP17" s="65"/>
      <c r="AQ17" s="65"/>
      <c r="AR17" s="65"/>
      <c r="AS17" s="65"/>
      <c r="AT17" s="65"/>
      <c r="AU17" s="65"/>
      <c r="AV17" s="66"/>
    </row>
    <row r="18" spans="1:48" s="2" customFormat="1" x14ac:dyDescent="0.2">
      <c r="A18" s="63">
        <v>1</v>
      </c>
      <c r="B18" s="64" t="s">
        <v>44</v>
      </c>
      <c r="C18" s="65"/>
      <c r="D18" s="65"/>
      <c r="E18" s="65"/>
      <c r="F18" s="65"/>
      <c r="G18" s="65"/>
      <c r="H18" s="65">
        <f>IFERROR(VLOOKUP(Trackerdata[[#This Row],[Name]],AbsentTardyTable[[Student]:[Lates]],2,FALSE),"No match")</f>
        <v>0</v>
      </c>
      <c r="I18" s="65">
        <f>IFERROR(VLOOKUP(Trackerdata[[#This Row],[Name]],AbsentTardyTable[[Student]:[Lates]],3,FALSE),"No match")</f>
        <v>0</v>
      </c>
      <c r="J18" s="65"/>
      <c r="K18" s="57">
        <f t="shared" si="0"/>
        <v>0</v>
      </c>
      <c r="L18" s="57" t="str">
        <f>VLOOKUP(Trackerdata[[#This Row],[Running Average]],TableOfLetterGrades[],2,TRUE)</f>
        <v>F</v>
      </c>
      <c r="M18" s="57">
        <f t="shared" si="1"/>
        <v>0</v>
      </c>
      <c r="N18" s="57">
        <f t="shared" si="2"/>
        <v>0</v>
      </c>
      <c r="O18" s="57">
        <f t="shared" si="2"/>
        <v>0</v>
      </c>
      <c r="P18" s="57">
        <f t="shared" si="2"/>
        <v>0</v>
      </c>
      <c r="Q18" s="57" t="str">
        <f t="shared" si="2"/>
        <v/>
      </c>
      <c r="R18" s="57" t="str">
        <f t="shared" si="2"/>
        <v/>
      </c>
      <c r="S18" s="65"/>
      <c r="T18" s="65"/>
      <c r="U18" s="65"/>
      <c r="V18" s="65"/>
      <c r="W18" s="65"/>
      <c r="X18" s="65"/>
      <c r="Y18" s="65"/>
      <c r="Z18" s="65"/>
      <c r="AA18" s="65"/>
      <c r="AB18" s="65"/>
      <c r="AC18" s="65"/>
      <c r="AD18" s="65"/>
      <c r="AE18" s="65"/>
      <c r="AF18" s="65"/>
      <c r="AG18" s="65"/>
      <c r="AH18" s="65"/>
      <c r="AI18" s="65"/>
      <c r="AJ18" s="65"/>
      <c r="AK18" s="65"/>
      <c r="AL18" s="65"/>
      <c r="AM18" s="65"/>
      <c r="AN18" s="65"/>
      <c r="AO18" s="65"/>
      <c r="AP18" s="65"/>
      <c r="AQ18" s="65"/>
      <c r="AR18" s="65"/>
      <c r="AS18" s="65"/>
      <c r="AT18" s="65"/>
      <c r="AU18" s="65"/>
      <c r="AV18" s="66"/>
    </row>
    <row r="19" spans="1:48" s="2" customFormat="1" x14ac:dyDescent="0.2">
      <c r="A19" s="63">
        <v>1</v>
      </c>
      <c r="B19" s="64" t="s">
        <v>45</v>
      </c>
      <c r="C19" s="65"/>
      <c r="D19" s="65"/>
      <c r="E19" s="65"/>
      <c r="F19" s="65"/>
      <c r="G19" s="65"/>
      <c r="H19" s="65">
        <f>IFERROR(VLOOKUP(Trackerdata[[#This Row],[Name]],AbsentTardyTable[[Student]:[Lates]],2,FALSE),"No match")</f>
        <v>0</v>
      </c>
      <c r="I19" s="65">
        <f>IFERROR(VLOOKUP(Trackerdata[[#This Row],[Name]],AbsentTardyTable[[Student]:[Lates]],3,FALSE),"No match")</f>
        <v>0</v>
      </c>
      <c r="J19" s="65"/>
      <c r="K19" s="57">
        <f t="shared" si="0"/>
        <v>0</v>
      </c>
      <c r="L19" s="57" t="str">
        <f>VLOOKUP(Trackerdata[[#This Row],[Running Average]],TableOfLetterGrades[],2,TRUE)</f>
        <v>F</v>
      </c>
      <c r="M19" s="57">
        <f t="shared" si="1"/>
        <v>0</v>
      </c>
      <c r="N19" s="57">
        <f t="shared" si="2"/>
        <v>0</v>
      </c>
      <c r="O19" s="57">
        <f t="shared" si="2"/>
        <v>0</v>
      </c>
      <c r="P19" s="57">
        <f t="shared" si="2"/>
        <v>0</v>
      </c>
      <c r="Q19" s="57" t="str">
        <f t="shared" si="2"/>
        <v/>
      </c>
      <c r="R19" s="57" t="str">
        <f t="shared" si="2"/>
        <v/>
      </c>
      <c r="S19" s="65"/>
      <c r="T19" s="65"/>
      <c r="U19" s="65"/>
      <c r="V19" s="65"/>
      <c r="W19" s="65"/>
      <c r="X19" s="65"/>
      <c r="Y19" s="65"/>
      <c r="Z19" s="65"/>
      <c r="AA19" s="65"/>
      <c r="AB19" s="65"/>
      <c r="AC19" s="65"/>
      <c r="AD19" s="65"/>
      <c r="AE19" s="65"/>
      <c r="AF19" s="65"/>
      <c r="AG19" s="65"/>
      <c r="AH19" s="65"/>
      <c r="AI19" s="65"/>
      <c r="AJ19" s="65"/>
      <c r="AK19" s="65"/>
      <c r="AL19" s="65"/>
      <c r="AM19" s="65"/>
      <c r="AN19" s="65"/>
      <c r="AO19" s="65"/>
      <c r="AP19" s="65"/>
      <c r="AQ19" s="65"/>
      <c r="AR19" s="65"/>
      <c r="AS19" s="65"/>
      <c r="AT19" s="65"/>
      <c r="AU19" s="65"/>
      <c r="AV19" s="66"/>
    </row>
    <row r="20" spans="1:48" x14ac:dyDescent="0.2">
      <c r="A20" s="69">
        <v>1</v>
      </c>
      <c r="B20" s="70" t="s">
        <v>46</v>
      </c>
      <c r="C20" s="71"/>
      <c r="D20" s="71"/>
      <c r="E20" s="71"/>
      <c r="F20" s="71"/>
      <c r="G20" s="71"/>
      <c r="H20" s="71">
        <f>IFERROR(VLOOKUP(Trackerdata[[#This Row],[Name]],AbsentTardyTable[[Student]:[Lates]],2,FALSE),"No match")</f>
        <v>0</v>
      </c>
      <c r="I20" s="71">
        <f>IFERROR(VLOOKUP(Trackerdata[[#This Row],[Name]],AbsentTardyTable[[Student]:[Lates]],3,FALSE),"No match")</f>
        <v>0</v>
      </c>
      <c r="J20" s="71"/>
      <c r="K20" s="58">
        <f t="shared" si="0"/>
        <v>0</v>
      </c>
      <c r="L20" s="58" t="str">
        <f>VLOOKUP(Trackerdata[[#This Row],[Running Average]],TableOfLetterGrades[],2,TRUE)</f>
        <v>F</v>
      </c>
      <c r="M20" s="58">
        <f t="shared" si="1"/>
        <v>0</v>
      </c>
      <c r="N20" s="58">
        <f t="shared" si="2"/>
        <v>0</v>
      </c>
      <c r="O20" s="58">
        <f t="shared" si="2"/>
        <v>0</v>
      </c>
      <c r="P20" s="58">
        <f t="shared" si="2"/>
        <v>0</v>
      </c>
      <c r="Q20" s="58" t="str">
        <f t="shared" si="2"/>
        <v/>
      </c>
      <c r="R20" s="58" t="str">
        <f t="shared" si="2"/>
        <v/>
      </c>
      <c r="S20" s="72"/>
      <c r="T20" s="72"/>
      <c r="U20" s="71"/>
      <c r="V20" s="71"/>
      <c r="W20" s="72"/>
      <c r="X20" s="72"/>
      <c r="Y20" s="71"/>
      <c r="Z20" s="71"/>
      <c r="AA20" s="72"/>
      <c r="AB20" s="72"/>
      <c r="AC20" s="72"/>
      <c r="AD20" s="72"/>
      <c r="AE20" s="72"/>
      <c r="AF20" s="72"/>
      <c r="AG20" s="72"/>
      <c r="AH20" s="72"/>
      <c r="AI20" s="72"/>
      <c r="AJ20" s="72"/>
      <c r="AK20" s="72"/>
      <c r="AL20" s="72"/>
      <c r="AM20" s="72"/>
      <c r="AN20" s="72"/>
      <c r="AO20" s="72"/>
      <c r="AP20" s="72"/>
      <c r="AQ20" s="72"/>
      <c r="AR20" s="72"/>
      <c r="AS20" s="72"/>
      <c r="AT20" s="72"/>
      <c r="AU20" s="72"/>
      <c r="AV20" s="73"/>
    </row>
    <row r="21" spans="1:48" x14ac:dyDescent="0.2">
      <c r="A21" s="74">
        <v>1</v>
      </c>
      <c r="B21" s="75" t="s">
        <v>47</v>
      </c>
      <c r="C21" s="76"/>
      <c r="D21" s="76"/>
      <c r="E21" s="76"/>
      <c r="F21" s="76"/>
      <c r="G21" s="76"/>
      <c r="H21" s="76">
        <f>IFERROR(VLOOKUP(Trackerdata[[#This Row],[Name]],AbsentTardyTable[[Student]:[Lates]],2,FALSE),"No match")</f>
        <v>0</v>
      </c>
      <c r="I21" s="76">
        <f>IFERROR(VLOOKUP(Trackerdata[[#This Row],[Name]],AbsentTardyTable[[Student]:[Lates]],3,FALSE),"No match")</f>
        <v>0</v>
      </c>
      <c r="J21" s="76"/>
      <c r="K21" s="59">
        <f t="shared" si="0"/>
        <v>0</v>
      </c>
      <c r="L21" s="59" t="str">
        <f>VLOOKUP(Trackerdata[[#This Row],[Running Average]],TableOfLetterGrades[],2,TRUE)</f>
        <v>F</v>
      </c>
      <c r="M21" s="59">
        <f t="shared" si="1"/>
        <v>0</v>
      </c>
      <c r="N21" s="59">
        <f t="shared" si="2"/>
        <v>0</v>
      </c>
      <c r="O21" s="59">
        <f t="shared" si="2"/>
        <v>0</v>
      </c>
      <c r="P21" s="59">
        <f t="shared" si="2"/>
        <v>0</v>
      </c>
      <c r="Q21" s="59" t="str">
        <f t="shared" si="2"/>
        <v/>
      </c>
      <c r="R21" s="59" t="str">
        <f t="shared" si="2"/>
        <v/>
      </c>
      <c r="S21" s="77"/>
      <c r="T21" s="77"/>
      <c r="U21" s="76"/>
      <c r="V21" s="76"/>
      <c r="W21" s="77"/>
      <c r="X21" s="77"/>
      <c r="Y21" s="76"/>
      <c r="Z21" s="76"/>
      <c r="AA21" s="77"/>
      <c r="AB21" s="77"/>
      <c r="AC21" s="77"/>
      <c r="AD21" s="77"/>
      <c r="AE21" s="77"/>
      <c r="AF21" s="77"/>
      <c r="AG21" s="77"/>
      <c r="AH21" s="77"/>
      <c r="AI21" s="77"/>
      <c r="AJ21" s="77"/>
      <c r="AK21" s="77"/>
      <c r="AL21" s="77"/>
      <c r="AM21" s="77"/>
      <c r="AN21" s="77"/>
      <c r="AO21" s="77"/>
      <c r="AP21" s="77"/>
      <c r="AQ21" s="77"/>
      <c r="AR21" s="77"/>
      <c r="AS21" s="77"/>
      <c r="AT21" s="77"/>
      <c r="AU21" s="77"/>
      <c r="AV21" s="78"/>
    </row>
    <row r="29" spans="1:48" x14ac:dyDescent="0.2">
      <c r="B29" s="8" t="s">
        <v>495</v>
      </c>
    </row>
  </sheetData>
  <conditionalFormatting sqref="S3:AV3">
    <cfRule type="expression" dxfId="463" priority="14">
      <formula>AND(S$1="",S$2="")</formula>
    </cfRule>
    <cfRule type="expression" dxfId="462" priority="15">
      <formula>IF(AND(S$2&lt;&gt;"",S3=""),1,0)</formula>
    </cfRule>
  </conditionalFormatting>
  <conditionalFormatting sqref="S12:AV21">
    <cfRule type="expression" dxfId="461" priority="16">
      <formula>IFERROR(AND(IF(S12/S$2*100&lt;Greenthreshold,1,""),IF(S12/S$2*100&gt;=Yellowthreshold,1,""),(ColorTable="yes"),S12&lt;&gt;""),"")</formula>
    </cfRule>
    <cfRule type="expression" dxfId="460" priority="17">
      <formula>IFERROR(AND(IF(S12/S$2*100&gt;=Greenthreshold,1,""),(ColorTable="yes")),"")</formula>
    </cfRule>
    <cfRule type="expression" dxfId="459" priority="1">
      <formula>IFERROR(AND(IF(S12/S$2*100&lt;Yellowthreshold,1,""),(ColorTable="yes"),IF(S12&lt;&gt;"",1,0)),"")</formula>
    </cfRule>
  </conditionalFormatting>
  <conditionalFormatting sqref="K12:L21">
    <cfRule type="expression" dxfId="458" priority="12">
      <formula>IFERROR(AND(IF($K12&gt;=Greenthreshold,1,""),(ColorTable="yes"),$K12&lt;&gt;""),"")</formula>
    </cfRule>
    <cfRule type="expression" dxfId="457" priority="13">
      <formula>IFERROR(AND(IF($K12&lt;Greenthreshold,1,""),IF($K12&gt;=Yellowthreshold,1,""),(ColorTable="yes"),$K12&lt;&gt;""),"")</formula>
    </cfRule>
    <cfRule type="expression" dxfId="456" priority="3">
      <formula>IFERROR(AND(IF($K12&lt;Yellowthreshold,1,""),(ColorTable="yes"),$K12&lt;&gt;""),"")</formula>
    </cfRule>
  </conditionalFormatting>
  <conditionalFormatting sqref="M12:R21">
    <cfRule type="expression" dxfId="455" priority="10">
      <formula>IFERROR(AND(IF(M12&gt;=Greenthreshold,1,""),(ColorTable="yes"),M12&lt;&gt;""),"")</formula>
    </cfRule>
    <cfRule type="expression" dxfId="454" priority="11">
      <formula>IFERROR(AND(IF(M12&lt;Greenthreshold,1,""),IF(M12&gt;=Yellowthreshold,1,""),(ColorTable="yes"),M12&lt;&gt;""),"")</formula>
    </cfRule>
    <cfRule type="expression" dxfId="453" priority="2">
      <formula>IFERROR(AND(IF(M12&lt;Yellowthreshold,1,""),(ColorTable="yes"),M12&lt;&gt;""),"")</formula>
    </cfRule>
  </conditionalFormatting>
  <conditionalFormatting sqref="S2:AV2">
    <cfRule type="expression" dxfId="452" priority="9">
      <formula>IF(OR(AND(S$2="",SUM(S$6:S$10)&lt;&gt;0),AND(S$2="",S1&lt;&gt;"")),1,0)</formula>
    </cfRule>
  </conditionalFormatting>
  <conditionalFormatting sqref="S11:AV11">
    <cfRule type="expression" dxfId="451" priority="8">
      <formula>IF(AND(OR(S$1="",S$2="",S$3=""),SUM(S$6:S$10)&lt;&gt;0),1,0)</formula>
    </cfRule>
  </conditionalFormatting>
  <conditionalFormatting sqref="M3">
    <cfRule type="expression" dxfId="450" priority="6">
      <formula>IF(LEFT(M3,7)="Caution",1,0)</formula>
    </cfRule>
  </conditionalFormatting>
  <conditionalFormatting sqref="S1:AV1">
    <cfRule type="expression" dxfId="449" priority="5">
      <formula>IF(AND(S1="",OR(S2&lt;&gt;"",SUM(S12:S21)&lt;&gt;0)),1,0)</formula>
    </cfRule>
  </conditionalFormatting>
  <dataValidations xWindow="459" yWindow="679" count="9">
    <dataValidation type="list" errorStyle="information" allowBlank="1" showInputMessage="1" showErrorMessage="1" errorTitle="Use Consistent Names Here" error="You want the assessment type names to be *perfectly* consistent._x000a__x000a_Tip: Use the in-cell dropdown_x000a__x000a_Did you want to customize the assessment types names? _x000a_Then edit the assessment type names starting in cell M11" sqref="S1:AV1">
      <formula1>$M$11:$R$11</formula1>
    </dataValidation>
    <dataValidation errorStyle="information" allowBlank="1" showInputMessage="1" showErrorMessage="1" errorTitle="Invalid Category" error="Please enter &quot;Grade&quot;, &quot;Mastery&quot;, or &quot;Helper&quot;._x000a__x000a_These categories help to calculate summary information." sqref="S2:AV2"/>
    <dataValidation allowBlank="1" sqref="A12:A21"/>
    <dataValidation allowBlank="1" showErrorMessage="1" promptTitle="Assessment Type Percent" prompt="Enter the percent of the running average you want to be from this assessment type (Ex: Homework could be 10%)" sqref="M4:R4"/>
    <dataValidation allowBlank="1" showErrorMessage="1" sqref="M3"/>
    <dataValidation allowBlank="1" showInputMessage="1" showErrorMessage="1" promptTitle="Averages By Assessment Type" prompt="These cells are not for typing in scores. Instead these are averages calculated from the assignments to the right." sqref="M12:R21"/>
    <dataValidation type="custom" errorStyle="information" allowBlank="1" showErrorMessage="1" errorTitle="Hmm" error="These cells were not made to be reference to anything. You can add stuff if you'd like; else just hit cancel. =)" promptTitle="Data Hesre?" prompt="Go ahead and add numbe" sqref="C1:L4">
      <formula1>""</formula1>
    </dataValidation>
    <dataValidation allowBlank="1" showInputMessage="1" promptTitle="Editing the letter grade ranges" prompt="You can find this on the Options and Things to Try sheet._x000a_Note: the ranges for the sparklines charts are separate and are hidden in rows 6-10." sqref="L11:L21"/>
    <dataValidation allowBlank="1" showInputMessage="1" showErrorMessage="1" promptTitle="Point Multiplier" prompt="Generally leave at 100%, but you can make an assignment effectively worth more points._x000a_For instance, if a student earned 8 out of 10 points, a point multipler of 200% would make it this count as 16 out of 20 points." sqref="S3:AV3"/>
  </dataValidations>
  <pageMargins left="0.7" right="0.7" top="0.75" bottom="0.75" header="0.3" footer="0.3"/>
  <pageSetup scale="86" fitToHeight="10" orientation="landscape" r:id="rId1"/>
  <ignoredErrors>
    <ignoredError sqref="M3" formulaRange="1"/>
  </ignoredErrors>
  <drawing r:id="rId2"/>
  <tableParts count="1">
    <tablePart r:id="rId3"/>
  </tableParts>
  <extLst>
    <ext xmlns:x14="http://schemas.microsoft.com/office/spreadsheetml/2009/9/main" uri="{05C60535-1F16-4fd2-B633-F4F36F0B64E0}">
      <x14:sparklineGroups xmlns:xm="http://schemas.microsoft.com/office/excel/2006/main">
        <x14:sparklineGroup manualMin="0" type="column" displayEmptyCellsAs="gap" displayXAxis="1" displayHidden="1" minAxisType="custom" rightToLeft="1">
          <x14:colorSeries theme="2" tint="-0.499984740745262"/>
          <x14:colorNegative rgb="FFD00000"/>
          <x14:colorAxis rgb="FF000000"/>
          <x14:colorMarkers rgb="FFD00000"/>
          <x14:colorFirst rgb="FFD00000"/>
          <x14:colorLast rgb="FFD00000"/>
          <x14:colorHigh rgb="FFD00000"/>
          <x14:colorLow rgb="FFD00000"/>
          <x14:sparklines>
            <x14:sparkline>
              <xm:f>'Data Entry'!M6:M10</xm:f>
              <xm:sqref>M5</xm:sqref>
            </x14:sparkline>
            <x14:sparkline>
              <xm:f>'Data Entry'!N6:N10</xm:f>
              <xm:sqref>N5</xm:sqref>
            </x14:sparkline>
            <x14:sparkline>
              <xm:f>'Data Entry'!O6:O10</xm:f>
              <xm:sqref>O5</xm:sqref>
            </x14:sparkline>
            <x14:sparkline>
              <xm:f>'Data Entry'!P6:P10</xm:f>
              <xm:sqref>P5</xm:sqref>
            </x14:sparkline>
            <x14:sparkline>
              <xm:f>'Data Entry'!Q6:Q10</xm:f>
              <xm:sqref>Q5</xm:sqref>
            </x14:sparkline>
            <x14:sparkline>
              <xm:f>'Data Entry'!R6:R10</xm:f>
              <xm:sqref>R5</xm:sqref>
            </x14:sparkline>
          </x14:sparklines>
        </x14:sparklineGroup>
        <x14:sparklineGroup manualMin="0" type="column" displayEmptyCellsAs="gap" displayXAxis="1" displayHidden="1" minAxisType="custom" rightToLeft="1">
          <x14:colorSeries theme="9" tint="-0.249977111117893"/>
          <x14:colorNegative rgb="FFD00000"/>
          <x14:colorAxis rgb="FF000000"/>
          <x14:colorMarkers rgb="FFD00000"/>
          <x14:colorFirst rgb="FFD00000"/>
          <x14:colorLast rgb="FFD00000"/>
          <x14:colorHigh rgb="FFD00000"/>
          <x14:colorLow rgb="FFD00000"/>
          <x14:sparklines>
            <x14:sparkline>
              <xm:f>'Data Entry'!S6:S10</xm:f>
              <xm:sqref>S5</xm:sqref>
            </x14:sparkline>
            <x14:sparkline>
              <xm:f>'Data Entry'!T6:T10</xm:f>
              <xm:sqref>T5</xm:sqref>
            </x14:sparkline>
            <x14:sparkline>
              <xm:f>'Data Entry'!U6:U10</xm:f>
              <xm:sqref>U5</xm:sqref>
            </x14:sparkline>
            <x14:sparkline>
              <xm:f>'Data Entry'!V6:V10</xm:f>
              <xm:sqref>V5</xm:sqref>
            </x14:sparkline>
            <x14:sparkline>
              <xm:f>'Data Entry'!W6:W10</xm:f>
              <xm:sqref>W5</xm:sqref>
            </x14:sparkline>
            <x14:sparkline>
              <xm:f>'Data Entry'!X6:X10</xm:f>
              <xm:sqref>X5</xm:sqref>
            </x14:sparkline>
            <x14:sparkline>
              <xm:f>'Data Entry'!Y6:Y10</xm:f>
              <xm:sqref>Y5</xm:sqref>
            </x14:sparkline>
            <x14:sparkline>
              <xm:f>'Data Entry'!Z6:Z10</xm:f>
              <xm:sqref>Z5</xm:sqref>
            </x14:sparkline>
            <x14:sparkline>
              <xm:f>'Data Entry'!AA6:AA10</xm:f>
              <xm:sqref>AA5</xm:sqref>
            </x14:sparkline>
            <x14:sparkline>
              <xm:f>'Data Entry'!AB6:AB10</xm:f>
              <xm:sqref>AB5</xm:sqref>
            </x14:sparkline>
            <x14:sparkline>
              <xm:f>'Data Entry'!AC6:AC10</xm:f>
              <xm:sqref>AC5</xm:sqref>
            </x14:sparkline>
            <x14:sparkline>
              <xm:f>'Data Entry'!AD6:AD10</xm:f>
              <xm:sqref>AD5</xm:sqref>
            </x14:sparkline>
            <x14:sparkline>
              <xm:f>'Data Entry'!AE6:AE10</xm:f>
              <xm:sqref>AE5</xm:sqref>
            </x14:sparkline>
            <x14:sparkline>
              <xm:f>'Data Entry'!AF6:AF10</xm:f>
              <xm:sqref>AF5</xm:sqref>
            </x14:sparkline>
            <x14:sparkline>
              <xm:f>'Data Entry'!AG6:AG10</xm:f>
              <xm:sqref>AG5</xm:sqref>
            </x14:sparkline>
            <x14:sparkline>
              <xm:f>'Data Entry'!AH6:AH10</xm:f>
              <xm:sqref>AH5</xm:sqref>
            </x14:sparkline>
            <x14:sparkline>
              <xm:f>'Data Entry'!AI6:AI10</xm:f>
              <xm:sqref>AI5</xm:sqref>
            </x14:sparkline>
            <x14:sparkline>
              <xm:f>'Data Entry'!AJ6:AJ10</xm:f>
              <xm:sqref>AJ5</xm:sqref>
            </x14:sparkline>
            <x14:sparkline>
              <xm:f>'Data Entry'!AK6:AK10</xm:f>
              <xm:sqref>AK5</xm:sqref>
            </x14:sparkline>
            <x14:sparkline>
              <xm:f>'Data Entry'!AL6:AL10</xm:f>
              <xm:sqref>AL5</xm:sqref>
            </x14:sparkline>
            <x14:sparkline>
              <xm:f>'Data Entry'!AM6:AM10</xm:f>
              <xm:sqref>AM5</xm:sqref>
            </x14:sparkline>
            <x14:sparkline>
              <xm:f>'Data Entry'!AN6:AN10</xm:f>
              <xm:sqref>AN5</xm:sqref>
            </x14:sparkline>
            <x14:sparkline>
              <xm:f>'Data Entry'!AO6:AO10</xm:f>
              <xm:sqref>AO5</xm:sqref>
            </x14:sparkline>
            <x14:sparkline>
              <xm:f>'Data Entry'!AP6:AP10</xm:f>
              <xm:sqref>AP5</xm:sqref>
            </x14:sparkline>
            <x14:sparkline>
              <xm:f>'Data Entry'!AQ6:AQ10</xm:f>
              <xm:sqref>AQ5</xm:sqref>
            </x14:sparkline>
            <x14:sparkline>
              <xm:f>'Data Entry'!AR6:AR10</xm:f>
              <xm:sqref>AR5</xm:sqref>
            </x14:sparkline>
            <x14:sparkline>
              <xm:f>'Data Entry'!AS6:AS10</xm:f>
              <xm:sqref>AS5</xm:sqref>
            </x14:sparkline>
            <x14:sparkline>
              <xm:f>'Data Entry'!AT6:AT10</xm:f>
              <xm:sqref>AT5</xm:sqref>
            </x14:sparkline>
            <x14:sparkline>
              <xm:f>'Data Entry'!AU6:AU10</xm:f>
              <xm:sqref>AU5</xm:sqref>
            </x14:sparkline>
            <x14:sparkline>
              <xm:f>'Data Entry'!AV6:AV10</xm:f>
              <xm:sqref>AV5</xm:sqref>
            </x14:sparkline>
          </x14:sparklines>
        </x14:sparklineGroup>
        <x14:sparklineGroup manualMin="0" type="column" displayEmptyCellsAs="gap" displayXAxis="1" displayHidden="1" minAxisType="custom" rightToLeft="1">
          <x14:colorSeries theme="3" tint="0.39997558519241921"/>
          <x14:colorNegative rgb="FFD00000"/>
          <x14:colorAxis rgb="FF000000"/>
          <x14:colorMarkers rgb="FFD00000"/>
          <x14:colorFirst rgb="FFD00000"/>
          <x14:colorLast rgb="FFD00000"/>
          <x14:colorHigh rgb="FFD00000"/>
          <x14:colorLow rgb="FFD00000"/>
          <x14:sparklines>
            <x14:sparkline>
              <xm:f>'Data Entry'!K6:K10</xm:f>
              <xm:sqref>K5</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D61"/>
  <sheetViews>
    <sheetView zoomScaleNormal="100" workbookViewId="0"/>
  </sheetViews>
  <sheetFormatPr defaultRowHeight="15" x14ac:dyDescent="0.25"/>
  <cols>
    <col min="1" max="1" width="20" bestFit="1" customWidth="1"/>
    <col min="2" max="2" width="9.5703125" customWidth="1"/>
    <col min="3" max="3" width="8.7109375" customWidth="1"/>
    <col min="4" max="4" width="70.28515625" customWidth="1"/>
  </cols>
  <sheetData>
    <row r="1" spans="1:4" ht="23.25" x14ac:dyDescent="0.35">
      <c r="A1" s="9" t="s">
        <v>48</v>
      </c>
      <c r="B1" s="9"/>
      <c r="C1" s="9"/>
      <c r="D1" s="9"/>
    </row>
    <row r="3" spans="1:4" x14ac:dyDescent="0.25">
      <c r="A3" s="17" t="s">
        <v>450</v>
      </c>
      <c r="B3" s="11"/>
      <c r="C3" s="11"/>
      <c r="D3" s="11"/>
    </row>
    <row r="4" spans="1:4" x14ac:dyDescent="0.25">
      <c r="A4" s="146" t="s">
        <v>498</v>
      </c>
      <c r="B4" s="146"/>
      <c r="C4" s="146"/>
      <c r="D4" s="11"/>
    </row>
    <row r="5" spans="1:4" x14ac:dyDescent="0.25">
      <c r="A5" s="146"/>
      <c r="B5" s="146"/>
      <c r="C5" s="146"/>
      <c r="D5" s="11"/>
    </row>
    <row r="6" spans="1:4" x14ac:dyDescent="0.25">
      <c r="A6" s="146"/>
      <c r="B6" s="146"/>
      <c r="C6" s="146"/>
      <c r="D6" s="11"/>
    </row>
    <row r="7" spans="1:4" x14ac:dyDescent="0.25">
      <c r="A7" s="146"/>
      <c r="B7" s="146"/>
      <c r="C7" s="146"/>
      <c r="D7" s="11"/>
    </row>
    <row r="8" spans="1:4" x14ac:dyDescent="0.25">
      <c r="A8" s="146"/>
      <c r="B8" s="146"/>
      <c r="C8" s="146"/>
      <c r="D8" s="11"/>
    </row>
    <row r="9" spans="1:4" x14ac:dyDescent="0.25">
      <c r="A9" s="146"/>
      <c r="B9" s="146"/>
      <c r="C9" s="146"/>
      <c r="D9" s="11"/>
    </row>
    <row r="10" spans="1:4" x14ac:dyDescent="0.25">
      <c r="A10" s="146"/>
      <c r="B10" s="146"/>
      <c r="C10" s="146"/>
      <c r="D10" s="11"/>
    </row>
    <row r="11" spans="1:4" x14ac:dyDescent="0.25">
      <c r="A11" s="146"/>
      <c r="B11" s="146"/>
      <c r="C11" s="146"/>
      <c r="D11" s="11"/>
    </row>
    <row r="12" spans="1:4" x14ac:dyDescent="0.25">
      <c r="A12" s="146"/>
      <c r="B12" s="146"/>
      <c r="C12" s="146"/>
      <c r="D12" s="11"/>
    </row>
    <row r="13" spans="1:4" x14ac:dyDescent="0.25">
      <c r="A13" s="146"/>
      <c r="B13" s="146"/>
      <c r="C13" s="146"/>
      <c r="D13" s="11"/>
    </row>
    <row r="14" spans="1:4" x14ac:dyDescent="0.25">
      <c r="A14" s="146"/>
      <c r="B14" s="146"/>
      <c r="C14" s="146"/>
      <c r="D14" s="11"/>
    </row>
    <row r="15" spans="1:4" x14ac:dyDescent="0.25">
      <c r="A15" s="146"/>
      <c r="B15" s="146"/>
      <c r="C15" s="146"/>
      <c r="D15" s="11"/>
    </row>
    <row r="16" spans="1:4" x14ac:dyDescent="0.25">
      <c r="A16" s="94"/>
      <c r="B16" s="94"/>
      <c r="C16" s="94"/>
      <c r="D16" s="11"/>
    </row>
    <row r="18" spans="1:4" x14ac:dyDescent="0.25">
      <c r="A18" s="17" t="s">
        <v>493</v>
      </c>
      <c r="B18" s="11"/>
      <c r="C18" s="11"/>
      <c r="D18" s="11"/>
    </row>
    <row r="19" spans="1:4" x14ac:dyDescent="0.25">
      <c r="A19" t="s">
        <v>68</v>
      </c>
      <c r="B19" t="s">
        <v>479</v>
      </c>
      <c r="C19" t="s">
        <v>496</v>
      </c>
      <c r="D19" s="147" t="s">
        <v>497</v>
      </c>
    </row>
    <row r="20" spans="1:4" x14ac:dyDescent="0.25">
      <c r="A20">
        <v>0</v>
      </c>
      <c r="B20" t="s">
        <v>489</v>
      </c>
      <c r="C20">
        <f>COUNTIF(Trackerdata[Letter Grade],TableOfLetterGrades[[#This Row],[Grade]])</f>
        <v>6</v>
      </c>
      <c r="D20" s="148"/>
    </row>
    <row r="21" spans="1:4" x14ac:dyDescent="0.25">
      <c r="A21">
        <v>60</v>
      </c>
      <c r="B21" t="s">
        <v>491</v>
      </c>
      <c r="C21">
        <f>COUNTIF(Trackerdata[Letter Grade],TableOfLetterGrades[[#This Row],[Grade]])</f>
        <v>0</v>
      </c>
      <c r="D21" s="148"/>
    </row>
    <row r="22" spans="1:4" x14ac:dyDescent="0.25">
      <c r="A22">
        <v>64</v>
      </c>
      <c r="B22" t="s">
        <v>492</v>
      </c>
      <c r="C22">
        <f>COUNTIF(Trackerdata[Letter Grade],TableOfLetterGrades[[#This Row],[Grade]])</f>
        <v>0</v>
      </c>
      <c r="D22" s="148"/>
    </row>
    <row r="23" spans="1:4" x14ac:dyDescent="0.25">
      <c r="A23">
        <v>67</v>
      </c>
      <c r="B23" t="s">
        <v>490</v>
      </c>
      <c r="C23">
        <f>COUNTIF(Trackerdata[Letter Grade],TableOfLetterGrades[[#This Row],[Grade]])</f>
        <v>0</v>
      </c>
      <c r="D23" s="148"/>
    </row>
    <row r="24" spans="1:4" ht="14.25" customHeight="1" x14ac:dyDescent="0.25">
      <c r="A24">
        <v>70</v>
      </c>
      <c r="B24" t="s">
        <v>488</v>
      </c>
      <c r="C24">
        <f>COUNTIF(Trackerdata[Letter Grade],TableOfLetterGrades[[#This Row],[Grade]])</f>
        <v>0</v>
      </c>
      <c r="D24" s="148"/>
    </row>
    <row r="25" spans="1:4" x14ac:dyDescent="0.25">
      <c r="A25">
        <v>73</v>
      </c>
      <c r="B25" t="s">
        <v>486</v>
      </c>
      <c r="C25">
        <f>COUNTIF(Trackerdata[Letter Grade],TableOfLetterGrades[[#This Row],[Grade]])</f>
        <v>0</v>
      </c>
      <c r="D25" s="148"/>
    </row>
    <row r="26" spans="1:4" x14ac:dyDescent="0.25">
      <c r="A26">
        <v>76</v>
      </c>
      <c r="B26" t="s">
        <v>487</v>
      </c>
      <c r="C26">
        <f>COUNTIF(Trackerdata[Letter Grade],TableOfLetterGrades[[#This Row],[Grade]])</f>
        <v>0</v>
      </c>
      <c r="D26" s="148"/>
    </row>
    <row r="27" spans="1:4" x14ac:dyDescent="0.25">
      <c r="A27">
        <v>80</v>
      </c>
      <c r="B27" t="s">
        <v>485</v>
      </c>
      <c r="C27">
        <f>COUNTIF(Trackerdata[Letter Grade],TableOfLetterGrades[[#This Row],[Grade]])</f>
        <v>1</v>
      </c>
      <c r="D27" s="148"/>
    </row>
    <row r="28" spans="1:4" x14ac:dyDescent="0.25">
      <c r="A28">
        <v>83</v>
      </c>
      <c r="B28" t="s">
        <v>483</v>
      </c>
      <c r="C28">
        <f>COUNTIF(Trackerdata[Letter Grade],TableOfLetterGrades[[#This Row],[Grade]])</f>
        <v>0</v>
      </c>
      <c r="D28" s="148"/>
    </row>
    <row r="29" spans="1:4" x14ac:dyDescent="0.25">
      <c r="A29">
        <v>86</v>
      </c>
      <c r="B29" t="s">
        <v>484</v>
      </c>
      <c r="C29">
        <f>COUNTIF(Trackerdata[Letter Grade],TableOfLetterGrades[[#This Row],[Grade]])</f>
        <v>2</v>
      </c>
      <c r="D29" s="148"/>
    </row>
    <row r="30" spans="1:4" x14ac:dyDescent="0.25">
      <c r="A30">
        <v>90</v>
      </c>
      <c r="B30" t="s">
        <v>481</v>
      </c>
      <c r="C30">
        <f>COUNTIF(Trackerdata[Letter Grade],TableOfLetterGrades[[#This Row],[Grade]])</f>
        <v>0</v>
      </c>
      <c r="D30" s="148"/>
    </row>
    <row r="31" spans="1:4" x14ac:dyDescent="0.25">
      <c r="A31">
        <v>94</v>
      </c>
      <c r="B31" t="s">
        <v>482</v>
      </c>
      <c r="C31">
        <f>COUNTIF(Trackerdata[Letter Grade],TableOfLetterGrades[[#This Row],[Grade]])</f>
        <v>0</v>
      </c>
      <c r="D31" s="148"/>
    </row>
    <row r="32" spans="1:4" x14ac:dyDescent="0.25">
      <c r="A32">
        <v>96</v>
      </c>
      <c r="B32" t="s">
        <v>480</v>
      </c>
      <c r="C32">
        <f>COUNTIF(Trackerdata[Letter Grade],TableOfLetterGrades[[#This Row],[Grade]])</f>
        <v>1</v>
      </c>
      <c r="D32" s="148"/>
    </row>
    <row r="33" spans="1:4" x14ac:dyDescent="0.25">
      <c r="A33" s="11"/>
      <c r="B33" s="11"/>
      <c r="C33" s="11"/>
      <c r="D33" s="11"/>
    </row>
    <row r="35" spans="1:4" x14ac:dyDescent="0.25">
      <c r="A35" s="10" t="s">
        <v>49</v>
      </c>
      <c r="B35" s="11"/>
      <c r="C35" s="11"/>
      <c r="D35" s="11"/>
    </row>
    <row r="36" spans="1:4" x14ac:dyDescent="0.25">
      <c r="A36" s="11" t="s">
        <v>462</v>
      </c>
      <c r="B36" s="12" t="s">
        <v>50</v>
      </c>
      <c r="C36" s="13">
        <f t="shared" ref="C36" si="0">IF(B36="Yes",1,0)</f>
        <v>1</v>
      </c>
      <c r="D36" s="14" t="str">
        <f>IF(ColorTable="Yes","Use colors inside the table using the following color thresholds","Do not use colors inside the table")</f>
        <v>Use colors inside the table using the following color thresholds</v>
      </c>
    </row>
    <row r="37" spans="1:4" x14ac:dyDescent="0.25">
      <c r="A37" s="11" t="s">
        <v>504</v>
      </c>
      <c r="B37" s="12">
        <v>85</v>
      </c>
      <c r="C37" s="11"/>
      <c r="D37" s="14" t="str">
        <f>CONCATENATE("Color grades ",Greenthreshold,"% or higher green")</f>
        <v>Color grades 85% or higher green</v>
      </c>
    </row>
    <row r="38" spans="1:4" x14ac:dyDescent="0.25">
      <c r="A38" s="11" t="s">
        <v>503</v>
      </c>
      <c r="B38" s="12">
        <v>0</v>
      </c>
      <c r="C38" s="11"/>
      <c r="D38" s="14" t="str">
        <f>CONCATENATE("Color grades ",Yellowthreshold,"%  to ",Greenthreshold,"% yellow, and below ",Yellowthreshold,"% red")</f>
        <v>Color grades 0%  to 85% yellow, and below 0% red</v>
      </c>
    </row>
    <row r="39" spans="1:4" x14ac:dyDescent="0.25">
      <c r="D39" s="15"/>
    </row>
    <row r="40" spans="1:4" x14ac:dyDescent="0.25">
      <c r="D40" s="15"/>
    </row>
    <row r="41" spans="1:4" x14ac:dyDescent="0.25">
      <c r="D41" s="15"/>
    </row>
    <row r="42" spans="1:4" x14ac:dyDescent="0.25">
      <c r="A42" s="10" t="s">
        <v>51</v>
      </c>
      <c r="B42" s="11"/>
      <c r="C42" s="11"/>
      <c r="D42" s="11"/>
    </row>
    <row r="43" spans="1:4" x14ac:dyDescent="0.25">
      <c r="A43" s="11" t="s">
        <v>52</v>
      </c>
      <c r="B43" s="16" t="s">
        <v>463</v>
      </c>
      <c r="C43" s="13">
        <f>IF(B43="Tried It",1,0)</f>
        <v>0</v>
      </c>
      <c r="D43" s="14" t="str">
        <f>IF(B43="Not Yet","Change Excel's main settings to autosave every 3-5 minutes","Perfect! Also remember to backup")</f>
        <v>Change Excel's main settings to autosave every 3-5 minutes</v>
      </c>
    </row>
    <row r="44" spans="1:4" x14ac:dyDescent="0.25">
      <c r="A44" s="11" t="s">
        <v>53</v>
      </c>
      <c r="B44" s="16" t="s">
        <v>463</v>
      </c>
      <c r="C44" s="13">
        <f t="shared" ref="C44:C54" si="1">IF(B44="Tried It",1,0)</f>
        <v>0</v>
      </c>
      <c r="D44" s="14" t="str">
        <f>IF(B44="Not Yet","Click in the table, and under table options in the ribbon, click total row","Perfect! You can add additional 'total rows' using formulas.")</f>
        <v>Click in the table, and under table options in the ribbon, click total row</v>
      </c>
    </row>
    <row r="45" spans="1:4" x14ac:dyDescent="0.25">
      <c r="A45" s="11" t="s">
        <v>54</v>
      </c>
      <c r="B45" s="16" t="s">
        <v>463</v>
      </c>
      <c r="C45" s="13">
        <f t="shared" si="1"/>
        <v>0</v>
      </c>
      <c r="D45" s="14" t="str">
        <f>IF(B45="Not Yet","Click on the plus box above column K","Perfect! Now you can graph data based on subgroups of students")</f>
        <v>Click on the plus box above column K</v>
      </c>
    </row>
    <row r="46" spans="1:4" x14ac:dyDescent="0.25">
      <c r="A46" s="11" t="s">
        <v>55</v>
      </c>
      <c r="B46" s="16" t="s">
        <v>463</v>
      </c>
      <c r="C46" s="13">
        <f t="shared" si="1"/>
        <v>0</v>
      </c>
      <c r="D46" s="14" t="str">
        <f>IF(B46="Not Yet","Click on the dropdown boxes in the header row of the main table","Perfect! Consider sorting by score or filtering by class.")</f>
        <v>Click on the dropdown boxes in the header row of the main table</v>
      </c>
    </row>
    <row r="47" spans="1:4" x14ac:dyDescent="0.25">
      <c r="A47" s="11" t="s">
        <v>466</v>
      </c>
      <c r="B47" s="16" t="s">
        <v>463</v>
      </c>
      <c r="C47" s="13">
        <f t="shared" si="1"/>
        <v>0</v>
      </c>
      <c r="D47" s="14" t="str">
        <f>IF(B47="Not Yet","Helper columns are useful for retakes, notes, and curving grades","Simply weight a column by 0%. To curve: use a formula in an adjacent column")</f>
        <v>Helper columns are useful for retakes, notes, and curving grades</v>
      </c>
    </row>
    <row r="48" spans="1:4" x14ac:dyDescent="0.25">
      <c r="A48" s="11" t="s">
        <v>467</v>
      </c>
      <c r="B48" s="16" t="s">
        <v>463</v>
      </c>
      <c r="C48" s="13">
        <f t="shared" si="1"/>
        <v>0</v>
      </c>
      <c r="D48" s="14" t="str">
        <f>IF(B48="Not Yet","Use zero points and say 100% weight","Perfect! They'll appreciate it")</f>
        <v>Use zero points and say 100% weight</v>
      </c>
    </row>
    <row r="49" spans="1:4" x14ac:dyDescent="0.25">
      <c r="A49" s="11" t="s">
        <v>468</v>
      </c>
      <c r="B49" s="16" t="s">
        <v>463</v>
      </c>
      <c r="C49" s="13">
        <f t="shared" si="1"/>
        <v>0</v>
      </c>
      <c r="D49" s="14" t="str">
        <f>IF(B49="Tried it","*Unhide* the Absences sheet by right clicking on the sheet tabs","This is completely optional, but a hidden sheet is built in")</f>
        <v>This is completely optional, but a hidden sheet is built in</v>
      </c>
    </row>
    <row r="50" spans="1:4" x14ac:dyDescent="0.25">
      <c r="A50" s="11" t="s">
        <v>56</v>
      </c>
      <c r="B50" s="16" t="s">
        <v>463</v>
      </c>
      <c r="C50" s="13">
        <f t="shared" si="1"/>
        <v>0</v>
      </c>
      <c r="D50" s="14" t="str">
        <f>IF(B50="Not Yet","Under Page Layout in the ribbon, change the color scheme","Cool! Hope you like the new colors")</f>
        <v>Under Page Layout in the ribbon, change the color scheme</v>
      </c>
    </row>
    <row r="51" spans="1:4" x14ac:dyDescent="0.25">
      <c r="A51" s="11" t="s">
        <v>438</v>
      </c>
      <c r="B51" s="16" t="s">
        <v>463</v>
      </c>
      <c r="C51" s="13">
        <f t="shared" si="1"/>
        <v>0</v>
      </c>
      <c r="D51" s="14" t="str">
        <f ca="1">IFERROR(IF(INFO("release")&lt;13,"Note: the sparkline graphs only show in Excel 2010 or above",IF(B51="Not Yet","Change the 'sparkline' histogram ranges","Set the grade cutoffs in the table above, then see B6:B10 on the Data Entry sheet")),IF(B51="Not Yet","Change the 'sparkline' histogram ranges","Set the grade cutoffs in the table above, then see B6:B10 on the Data Entry sheet"))</f>
        <v>Change the 'sparkline' histogram ranges</v>
      </c>
    </row>
    <row r="52" spans="1:4" x14ac:dyDescent="0.25">
      <c r="A52" s="11" t="s">
        <v>469</v>
      </c>
      <c r="B52" s="16" t="s">
        <v>463</v>
      </c>
      <c r="C52" s="13">
        <f t="shared" si="1"/>
        <v>0</v>
      </c>
      <c r="D52" s="14" t="str">
        <f>IF(B52="Not Yet","Type Excused in one of the assignment scores","This will excuse this assignment within the assignment type for the student")</f>
        <v>Type Excused in one of the assignment scores</v>
      </c>
    </row>
    <row r="53" spans="1:4" x14ac:dyDescent="0.25">
      <c r="A53" s="11" t="s">
        <v>439</v>
      </c>
      <c r="B53" s="16" t="s">
        <v>463</v>
      </c>
      <c r="C53" s="13">
        <f t="shared" si="1"/>
        <v>0</v>
      </c>
      <c r="D53" s="14" t="str">
        <f>IF(B53="Not Yet","Double click on the ribbon tab title like 'HOME' for the ribbon to hide","Double clicking again brings it back")</f>
        <v>Double click on the ribbon tab title like 'HOME' for the ribbon to hide</v>
      </c>
    </row>
    <row r="54" spans="1:4" x14ac:dyDescent="0.25">
      <c r="A54" s="11" t="s">
        <v>470</v>
      </c>
      <c r="B54" s="16" t="s">
        <v>463</v>
      </c>
      <c r="C54" s="13">
        <f t="shared" si="1"/>
        <v>0</v>
      </c>
      <c r="D54" s="14" t="str">
        <f>IF(B54="Not Yet","If you have another marking period, save a new copy of this gradebook","And remember to back up your gradebooks")</f>
        <v>If you have another marking period, save a new copy of this gradebook</v>
      </c>
    </row>
    <row r="56" spans="1:4" x14ac:dyDescent="0.25">
      <c r="A56" s="17" t="s">
        <v>57</v>
      </c>
      <c r="B56" s="11"/>
      <c r="C56" s="11"/>
      <c r="D56" s="11"/>
    </row>
    <row r="57" spans="1:4" x14ac:dyDescent="0.25">
      <c r="A57" s="11" t="s">
        <v>501</v>
      </c>
      <c r="B57" s="145">
        <v>42200</v>
      </c>
      <c r="C57" s="11"/>
      <c r="D57" s="14" t="s">
        <v>502</v>
      </c>
    </row>
    <row r="58" spans="1:4" x14ac:dyDescent="0.25">
      <c r="A58" s="11" t="s">
        <v>58</v>
      </c>
      <c r="B58" s="18" t="s">
        <v>500</v>
      </c>
      <c r="C58" s="11"/>
      <c r="D58" s="14" t="s">
        <v>499</v>
      </c>
    </row>
    <row r="59" spans="1:4" x14ac:dyDescent="0.25">
      <c r="A59" s="11" t="s">
        <v>451</v>
      </c>
      <c r="B59" s="11"/>
      <c r="C59" s="11"/>
      <c r="D59" s="19" t="s">
        <v>59</v>
      </c>
    </row>
    <row r="60" spans="1:4" x14ac:dyDescent="0.25">
      <c r="A60" s="11" t="s">
        <v>60</v>
      </c>
      <c r="B60" s="20" t="s">
        <v>61</v>
      </c>
      <c r="C60" s="21"/>
      <c r="D60" s="22" t="s">
        <v>447</v>
      </c>
    </row>
    <row r="61" spans="1:4" x14ac:dyDescent="0.25">
      <c r="A61" s="11" t="s">
        <v>452</v>
      </c>
      <c r="B61" s="11"/>
      <c r="C61" s="11"/>
      <c r="D61" s="14" t="s">
        <v>453</v>
      </c>
    </row>
  </sheetData>
  <mergeCells count="2">
    <mergeCell ref="A4:C15"/>
    <mergeCell ref="D19:D32"/>
  </mergeCells>
  <conditionalFormatting sqref="C36">
    <cfRule type="iconSet" priority="7">
      <iconSet iconSet="4TrafficLights" showValue="0">
        <cfvo type="percent" val="0"/>
        <cfvo type="num" val="0.2" gte="0"/>
        <cfvo type="num" val="0.3"/>
        <cfvo type="num" val="1"/>
      </iconSet>
    </cfRule>
  </conditionalFormatting>
  <conditionalFormatting sqref="C43:C54">
    <cfRule type="iconSet" priority="2">
      <iconSet iconSet="3Symbols2" showValue="0">
        <cfvo type="percent" val="0"/>
        <cfvo type="num" val="0.3"/>
        <cfvo type="num" val="0.5"/>
      </iconSet>
    </cfRule>
    <cfRule type="iconSet" priority="3">
      <iconSet iconSet="4TrafficLights" showValue="0">
        <cfvo type="percent" val="0"/>
        <cfvo type="num" val="0.2" gte="0"/>
        <cfvo type="num" val="0.3"/>
        <cfvo type="num" val="1"/>
      </iconSet>
    </cfRule>
  </conditionalFormatting>
  <dataValidations count="2">
    <dataValidation type="list" allowBlank="1" sqref="B36">
      <formula1>"Yes,No"</formula1>
    </dataValidation>
    <dataValidation type="list" allowBlank="1" sqref="B43:B54">
      <formula1>"Tried It,Not Yet"</formula1>
    </dataValidation>
  </dataValidations>
  <hyperlinks>
    <hyperlink ref="D59" r:id="rId1"/>
  </hyperlinks>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3:B5"/>
  <sheetViews>
    <sheetView workbookViewId="0">
      <selection activeCell="B4" sqref="B4"/>
    </sheetView>
  </sheetViews>
  <sheetFormatPr defaultRowHeight="15" x14ac:dyDescent="0.25"/>
  <cols>
    <col min="1" max="1" width="13.140625" bestFit="1" customWidth="1"/>
    <col min="2" max="2" width="26.5703125" bestFit="1" customWidth="1"/>
  </cols>
  <sheetData>
    <row r="3" spans="1:2" x14ac:dyDescent="0.25">
      <c r="A3" s="23" t="s">
        <v>62</v>
      </c>
      <c r="B3" t="s">
        <v>444</v>
      </c>
    </row>
    <row r="4" spans="1:2" x14ac:dyDescent="0.25">
      <c r="A4" s="24">
        <v>1</v>
      </c>
      <c r="B4" s="25">
        <v>36.006666666666675</v>
      </c>
    </row>
    <row r="5" spans="1:2" x14ac:dyDescent="0.25">
      <c r="A5" s="24" t="s">
        <v>63</v>
      </c>
      <c r="B5" s="25">
        <v>36.006666666666675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8"/>
  <sheetViews>
    <sheetView workbookViewId="0">
      <selection activeCell="C3" sqref="C3"/>
    </sheetView>
  </sheetViews>
  <sheetFormatPr defaultRowHeight="15" outlineLevelRow="1" x14ac:dyDescent="0.25"/>
  <cols>
    <col min="1" max="2" width="3" customWidth="1"/>
    <col min="3" max="3" width="11.5703125" bestFit="1" customWidth="1"/>
    <col min="6" max="6" width="9.7109375" bestFit="1" customWidth="1"/>
    <col min="7" max="7" width="22.7109375" customWidth="1"/>
    <col min="8" max="46" width="22.85546875" customWidth="1"/>
  </cols>
  <sheetData>
    <row r="1" spans="1:17" x14ac:dyDescent="0.25">
      <c r="A1" s="92"/>
      <c r="B1" s="92"/>
      <c r="C1" s="92"/>
      <c r="D1" s="92"/>
      <c r="E1" s="92"/>
      <c r="F1" s="92"/>
      <c r="G1" s="92"/>
      <c r="H1" s="92"/>
      <c r="I1" s="92"/>
      <c r="J1" s="92"/>
      <c r="K1" s="92"/>
      <c r="L1" s="92"/>
      <c r="M1" s="92"/>
      <c r="N1" s="92"/>
      <c r="O1" s="92"/>
      <c r="P1" s="92"/>
      <c r="Q1" s="92"/>
    </row>
    <row r="2" spans="1:17" ht="19.5" x14ac:dyDescent="0.25">
      <c r="A2" s="92"/>
      <c r="B2" s="92"/>
      <c r="C2" s="91" t="s">
        <v>64</v>
      </c>
      <c r="D2" s="93"/>
      <c r="E2" s="93"/>
      <c r="F2" s="93"/>
      <c r="G2" s="93"/>
      <c r="H2" s="93"/>
      <c r="I2" s="93"/>
      <c r="J2" s="93"/>
      <c r="K2" s="93"/>
      <c r="L2" s="93"/>
      <c r="M2" s="93"/>
      <c r="N2" s="93"/>
      <c r="O2" s="93"/>
      <c r="P2" s="93"/>
      <c r="Q2" s="93"/>
    </row>
    <row r="3" spans="1:17" ht="18.75" x14ac:dyDescent="0.3">
      <c r="A3" s="92"/>
      <c r="B3" s="92"/>
      <c r="C3" s="117" t="s">
        <v>65</v>
      </c>
      <c r="D3" s="92"/>
      <c r="E3" s="92"/>
      <c r="F3" s="92"/>
      <c r="G3" s="92"/>
      <c r="H3" s="92"/>
      <c r="I3" s="92"/>
      <c r="J3" s="92"/>
      <c r="K3" s="92"/>
      <c r="L3" s="92"/>
      <c r="M3" s="92"/>
      <c r="N3" s="92"/>
      <c r="O3" s="92"/>
      <c r="P3" s="92"/>
      <c r="Q3" s="92"/>
    </row>
    <row r="4" spans="1:17" x14ac:dyDescent="0.25">
      <c r="A4" s="92"/>
      <c r="B4" s="92"/>
      <c r="C4" s="118" t="s">
        <v>66</v>
      </c>
      <c r="D4" s="92"/>
      <c r="E4" s="92"/>
      <c r="F4" s="92"/>
      <c r="G4" s="92"/>
      <c r="H4" s="92"/>
      <c r="I4" s="92"/>
      <c r="J4" s="92"/>
      <c r="K4" s="92"/>
      <c r="L4" s="92"/>
      <c r="M4" s="92"/>
      <c r="N4" s="92"/>
      <c r="O4" s="92"/>
      <c r="P4" s="92"/>
      <c r="Q4" s="92"/>
    </row>
    <row r="5" spans="1:17" x14ac:dyDescent="0.25">
      <c r="A5" s="92"/>
      <c r="B5" s="92"/>
      <c r="C5" s="119" t="s">
        <v>67</v>
      </c>
      <c r="D5" s="92"/>
      <c r="E5" s="92"/>
      <c r="F5" s="92"/>
      <c r="G5" s="92"/>
      <c r="H5" s="92"/>
      <c r="I5" s="92"/>
      <c r="J5" s="92"/>
      <c r="K5" s="92"/>
      <c r="L5" s="92"/>
      <c r="M5" s="92"/>
      <c r="N5" s="92"/>
      <c r="O5" s="92"/>
      <c r="P5" s="92"/>
      <c r="Q5" s="92"/>
    </row>
    <row r="6" spans="1:17" x14ac:dyDescent="0.25">
      <c r="A6" s="92"/>
      <c r="B6" s="92"/>
      <c r="C6" s="119" t="str">
        <f ca="1">CONCATENATE("Date: ",TEXT(TODAY(),"dd-mmm-yyyy"))</f>
        <v>Date: 15-Jul-2015</v>
      </c>
      <c r="D6" s="92"/>
      <c r="E6" s="92"/>
      <c r="F6" s="92"/>
      <c r="G6" s="92"/>
      <c r="H6" s="92"/>
      <c r="I6" s="92"/>
      <c r="J6" s="92"/>
      <c r="K6" s="92"/>
      <c r="L6" s="92"/>
      <c r="M6" s="92"/>
      <c r="N6" s="92"/>
      <c r="O6" s="92"/>
      <c r="P6" s="92"/>
      <c r="Q6" s="92"/>
    </row>
    <row r="7" spans="1:17" x14ac:dyDescent="0.25">
      <c r="A7" s="92"/>
      <c r="B7" s="92"/>
      <c r="C7" s="92"/>
      <c r="D7" s="92"/>
      <c r="E7" s="92"/>
      <c r="F7" s="92"/>
      <c r="G7" s="92"/>
      <c r="H7" s="92"/>
      <c r="I7" s="92"/>
      <c r="J7" s="92"/>
      <c r="K7" s="92"/>
      <c r="L7" s="92"/>
      <c r="M7" s="92"/>
      <c r="N7" s="92"/>
      <c r="O7" s="92"/>
      <c r="P7" s="92"/>
      <c r="Q7" s="92"/>
    </row>
    <row r="8" spans="1:17" x14ac:dyDescent="0.25">
      <c r="A8" s="92"/>
      <c r="B8" s="92"/>
      <c r="C8" s="120" t="s">
        <v>472</v>
      </c>
      <c r="D8" s="92"/>
      <c r="E8" s="92"/>
      <c r="F8" s="92"/>
      <c r="G8" s="92"/>
      <c r="H8" s="92"/>
      <c r="I8" s="92"/>
      <c r="J8" s="92"/>
      <c r="K8" s="92"/>
      <c r="L8" s="92"/>
      <c r="M8" s="92"/>
      <c r="N8" s="92"/>
      <c r="O8" s="92"/>
      <c r="P8" s="92"/>
      <c r="Q8" s="92"/>
    </row>
    <row r="9" spans="1:17" ht="30" customHeight="1" x14ac:dyDescent="0.25">
      <c r="A9" s="92"/>
      <c r="B9" s="92"/>
      <c r="C9" s="149"/>
      <c r="D9" s="149"/>
      <c r="E9" s="149"/>
      <c r="F9" s="149"/>
      <c r="G9" s="149"/>
      <c r="H9" s="92"/>
      <c r="I9" s="92"/>
      <c r="J9" s="92"/>
      <c r="K9" s="92"/>
      <c r="L9" s="92"/>
      <c r="M9" s="92"/>
      <c r="N9" s="92"/>
      <c r="O9" s="92"/>
      <c r="P9" s="92"/>
      <c r="Q9" s="92"/>
    </row>
    <row r="10" spans="1:17" x14ac:dyDescent="0.25">
      <c r="A10" s="92"/>
      <c r="B10" s="92"/>
      <c r="C10" s="92"/>
      <c r="D10" s="92"/>
      <c r="E10" s="92"/>
      <c r="F10" s="92"/>
      <c r="G10" s="92"/>
      <c r="H10" s="92"/>
      <c r="I10" s="92"/>
      <c r="J10" s="92"/>
      <c r="K10" s="92"/>
      <c r="L10" s="92"/>
      <c r="M10" s="92"/>
      <c r="N10" s="92"/>
      <c r="O10" s="92"/>
      <c r="P10" s="92"/>
      <c r="Q10" s="92"/>
    </row>
    <row r="11" spans="1:17" x14ac:dyDescent="0.25">
      <c r="A11" s="92"/>
      <c r="B11" s="92"/>
      <c r="C11" s="120" t="s">
        <v>475</v>
      </c>
      <c r="D11" s="92"/>
      <c r="E11" s="92"/>
      <c r="F11" s="92"/>
      <c r="G11" s="92"/>
      <c r="H11" s="92"/>
      <c r="I11" s="92"/>
      <c r="J11" s="92"/>
      <c r="K11" s="92"/>
      <c r="L11" s="92"/>
      <c r="M11" s="92"/>
      <c r="N11" s="92"/>
      <c r="O11" s="92"/>
      <c r="P11" s="92"/>
      <c r="Q11" s="92"/>
    </row>
    <row r="12" spans="1:17" ht="30" customHeight="1" x14ac:dyDescent="0.25">
      <c r="A12" s="92"/>
      <c r="B12" s="92"/>
      <c r="C12" s="149"/>
      <c r="D12" s="149"/>
      <c r="E12" s="149"/>
      <c r="F12" s="149"/>
      <c r="G12" s="149"/>
      <c r="H12" s="92"/>
      <c r="I12" s="92"/>
      <c r="J12" s="92"/>
      <c r="K12" s="92"/>
      <c r="L12" s="92"/>
      <c r="M12" s="92"/>
      <c r="N12" s="92"/>
      <c r="O12" s="92"/>
      <c r="P12" s="92"/>
      <c r="Q12" s="92"/>
    </row>
    <row r="13" spans="1:17" x14ac:dyDescent="0.25">
      <c r="A13" s="92"/>
      <c r="B13" s="92"/>
      <c r="C13" s="92"/>
      <c r="D13" s="92"/>
      <c r="E13" s="92"/>
      <c r="F13" s="92"/>
      <c r="G13" s="92"/>
      <c r="H13" s="92"/>
      <c r="I13" s="92"/>
      <c r="J13" s="92"/>
      <c r="K13" s="92"/>
      <c r="L13" s="92"/>
      <c r="M13" s="92"/>
      <c r="N13" s="92"/>
      <c r="O13" s="92"/>
      <c r="P13" s="92"/>
      <c r="Q13" s="92"/>
    </row>
    <row r="14" spans="1:17" x14ac:dyDescent="0.25">
      <c r="A14" s="92"/>
      <c r="B14" s="92"/>
      <c r="C14" s="92"/>
      <c r="D14" s="92"/>
      <c r="E14" s="92"/>
      <c r="F14" s="92"/>
      <c r="G14" s="92"/>
      <c r="H14" s="92"/>
      <c r="I14" s="92"/>
      <c r="J14" s="92"/>
      <c r="K14" s="92"/>
      <c r="L14" s="92"/>
      <c r="M14" s="92"/>
      <c r="N14" s="92"/>
      <c r="O14" s="92"/>
      <c r="P14" s="92"/>
      <c r="Q14" s="92"/>
    </row>
    <row r="15" spans="1:17" ht="15.75" outlineLevel="1" thickBot="1" x14ac:dyDescent="0.3">
      <c r="A15" s="92"/>
      <c r="B15" s="92"/>
      <c r="C15" s="110">
        <v>0</v>
      </c>
      <c r="D15" s="110">
        <v>1</v>
      </c>
      <c r="E15" s="110">
        <v>2</v>
      </c>
      <c r="F15" s="110">
        <v>3</v>
      </c>
      <c r="G15" s="110">
        <v>10</v>
      </c>
      <c r="H15" s="110">
        <v>11</v>
      </c>
      <c r="I15" s="110">
        <f>H15+1</f>
        <v>12</v>
      </c>
      <c r="J15" s="110">
        <f t="shared" ref="J15:Q15" si="0">I15+1</f>
        <v>13</v>
      </c>
      <c r="K15" s="110">
        <f t="shared" si="0"/>
        <v>14</v>
      </c>
      <c r="L15" s="110">
        <f t="shared" si="0"/>
        <v>15</v>
      </c>
      <c r="M15" s="110">
        <f t="shared" si="0"/>
        <v>16</v>
      </c>
      <c r="N15" s="110">
        <f t="shared" si="0"/>
        <v>17</v>
      </c>
      <c r="O15" s="110">
        <f t="shared" si="0"/>
        <v>18</v>
      </c>
      <c r="P15" s="110">
        <f t="shared" si="0"/>
        <v>19</v>
      </c>
      <c r="Q15" s="110">
        <f t="shared" si="0"/>
        <v>20</v>
      </c>
    </row>
    <row r="16" spans="1:17" x14ac:dyDescent="0.25">
      <c r="B16">
        <v>1</v>
      </c>
      <c r="C16" s="156" t="s">
        <v>435</v>
      </c>
      <c r="D16" s="157"/>
      <c r="E16" s="157"/>
      <c r="F16" s="157"/>
      <c r="G16" s="157"/>
      <c r="H16" s="138" t="str">
        <f ca="1">OFFSET('Data Entry'!$A$1,Printouts!H$15,Printouts!$B16)</f>
        <v>Student 1</v>
      </c>
      <c r="I16" s="138" t="str">
        <f ca="1">OFFSET('Data Entry'!$A$1,Printouts!I$15,Printouts!$B16)</f>
        <v>Student 2</v>
      </c>
      <c r="J16" s="138" t="str">
        <f ca="1">OFFSET('Data Entry'!$A$1,Printouts!J$15,Printouts!$B16)</f>
        <v>Student 3</v>
      </c>
      <c r="K16" s="138" t="str">
        <f ca="1">OFFSET('Data Entry'!$A$1,Printouts!K$15,Printouts!$B16)</f>
        <v>Student 4</v>
      </c>
      <c r="L16" s="138" t="str">
        <f ca="1">OFFSET('Data Entry'!$A$1,Printouts!L$15,Printouts!$B16)</f>
        <v>Student 5</v>
      </c>
      <c r="M16" s="138" t="str">
        <f ca="1">OFFSET('Data Entry'!$A$1,Printouts!M$15,Printouts!$B16)</f>
        <v>Student 6</v>
      </c>
      <c r="N16" s="138" t="str">
        <f ca="1">OFFSET('Data Entry'!$A$1,Printouts!N$15,Printouts!$B16)</f>
        <v>Student 7</v>
      </c>
      <c r="O16" s="138" t="str">
        <f ca="1">OFFSET('Data Entry'!$A$1,Printouts!O$15,Printouts!$B16)</f>
        <v>Student 8</v>
      </c>
      <c r="P16" s="138" t="str">
        <f ca="1">OFFSET('Data Entry'!$A$1,Printouts!P$15,Printouts!$B16)</f>
        <v>Student 9</v>
      </c>
      <c r="Q16" s="138" t="str">
        <f ca="1">OFFSET('Data Entry'!$A$1,Printouts!Q$15,Printouts!$B16)</f>
        <v>Student 10</v>
      </c>
    </row>
    <row r="17" spans="2:17" hidden="1" x14ac:dyDescent="0.25">
      <c r="B17">
        <v>7</v>
      </c>
      <c r="C17" s="113" t="str">
        <f ca="1">OFFSET('Data Entry'!$A$1,Printouts!G$15,Printouts!$B17)</f>
        <v>Absent</v>
      </c>
      <c r="D17" s="114"/>
      <c r="E17" s="114"/>
      <c r="F17" s="121"/>
      <c r="G17" s="121"/>
      <c r="H17" s="131">
        <f ca="1">OFFSET('Data Entry'!$A$1,Printouts!H$15,Printouts!$B17)</f>
        <v>1</v>
      </c>
      <c r="I17" s="131">
        <f ca="1">OFFSET('Data Entry'!$A$1,Printouts!I$15,Printouts!$B17)</f>
        <v>0</v>
      </c>
      <c r="J17" s="131">
        <f ca="1">OFFSET('Data Entry'!$A$1,Printouts!J$15,Printouts!$B17)</f>
        <v>2</v>
      </c>
      <c r="K17" s="131">
        <f ca="1">OFFSET('Data Entry'!$A$1,Printouts!K$15,Printouts!$B17)</f>
        <v>0</v>
      </c>
      <c r="L17" s="131">
        <f ca="1">OFFSET('Data Entry'!$A$1,Printouts!L$15,Printouts!$B17)</f>
        <v>0</v>
      </c>
      <c r="M17" s="131">
        <f ca="1">OFFSET('Data Entry'!$A$1,Printouts!M$15,Printouts!$B17)</f>
        <v>0</v>
      </c>
      <c r="N17" s="131">
        <f ca="1">OFFSET('Data Entry'!$A$1,Printouts!N$15,Printouts!$B17)</f>
        <v>0</v>
      </c>
      <c r="O17" s="131">
        <f ca="1">OFFSET('Data Entry'!$A$1,Printouts!O$15,Printouts!$B17)</f>
        <v>0</v>
      </c>
      <c r="P17" s="131">
        <f ca="1">OFFSET('Data Entry'!$A$1,Printouts!P$15,Printouts!$B17)</f>
        <v>0</v>
      </c>
      <c r="Q17" s="111">
        <f ca="1">OFFSET('Data Entry'!$A$1,Printouts!Q$15,Printouts!$B17)</f>
        <v>0</v>
      </c>
    </row>
    <row r="18" spans="2:17" hidden="1" x14ac:dyDescent="0.25">
      <c r="B18">
        <v>8</v>
      </c>
      <c r="C18" s="115" t="str">
        <f ca="1">OFFSET('Data Entry'!$A$1,Printouts!G$15,Printouts!$B18)</f>
        <v>Late</v>
      </c>
      <c r="D18" s="116"/>
      <c r="E18" s="116"/>
      <c r="F18" s="121"/>
      <c r="G18" s="121"/>
      <c r="H18" s="132">
        <f ca="1">OFFSET('Data Entry'!$A$1,Printouts!H$15,Printouts!$B18)</f>
        <v>0</v>
      </c>
      <c r="I18" s="132">
        <f ca="1">OFFSET('Data Entry'!$A$1,Printouts!I$15,Printouts!$B18)</f>
        <v>1</v>
      </c>
      <c r="J18" s="132">
        <f ca="1">OFFSET('Data Entry'!$A$1,Printouts!J$15,Printouts!$B18)</f>
        <v>0</v>
      </c>
      <c r="K18" s="132">
        <f ca="1">OFFSET('Data Entry'!$A$1,Printouts!K$15,Printouts!$B18)</f>
        <v>0</v>
      </c>
      <c r="L18" s="132">
        <f ca="1">OFFSET('Data Entry'!$A$1,Printouts!L$15,Printouts!$B18)</f>
        <v>0</v>
      </c>
      <c r="M18" s="132">
        <f ca="1">OFFSET('Data Entry'!$A$1,Printouts!M$15,Printouts!$B18)</f>
        <v>0</v>
      </c>
      <c r="N18" s="132">
        <f ca="1">OFFSET('Data Entry'!$A$1,Printouts!N$15,Printouts!$B18)</f>
        <v>0</v>
      </c>
      <c r="O18" s="132">
        <f ca="1">OFFSET('Data Entry'!$A$1,Printouts!O$15,Printouts!$B18)</f>
        <v>0</v>
      </c>
      <c r="P18" s="132">
        <f ca="1">OFFSET('Data Entry'!$A$1,Printouts!P$15,Printouts!$B18)</f>
        <v>0</v>
      </c>
      <c r="Q18" s="112">
        <f ca="1">OFFSET('Data Entry'!$A$1,Printouts!Q$15,Printouts!$B18)</f>
        <v>0</v>
      </c>
    </row>
    <row r="19" spans="2:17" x14ac:dyDescent="0.25">
      <c r="B19">
        <v>10</v>
      </c>
      <c r="C19" s="158" t="str">
        <f ca="1">OFFSET('Data Entry'!$A$1,Printouts!G$15,Printouts!$B19)</f>
        <v>Running Average</v>
      </c>
      <c r="D19" s="159"/>
      <c r="E19" s="159"/>
      <c r="F19" s="159"/>
      <c r="G19" s="159"/>
      <c r="H19" s="136">
        <f ca="1">OFFSET('Data Entry'!$A$1,Printouts!H$15,Printouts!$B19)</f>
        <v>100</v>
      </c>
      <c r="I19" s="136">
        <f ca="1">OFFSET('Data Entry'!$A$1,Printouts!I$15,Printouts!$B19)</f>
        <v>89.733333333333334</v>
      </c>
      <c r="J19" s="136">
        <f ca="1">OFFSET('Data Entry'!$A$1,Printouts!J$15,Printouts!$B19)</f>
        <v>82</v>
      </c>
      <c r="K19" s="136">
        <f ca="1">OFFSET('Data Entry'!$A$1,Printouts!K$15,Printouts!$B19)</f>
        <v>88.333333333333343</v>
      </c>
      <c r="L19" s="136">
        <f ca="1">OFFSET('Data Entry'!$A$1,Printouts!L$15,Printouts!$B19)</f>
        <v>0</v>
      </c>
      <c r="M19" s="136">
        <f ca="1">OFFSET('Data Entry'!$A$1,Printouts!M$15,Printouts!$B19)</f>
        <v>0</v>
      </c>
      <c r="N19" s="136">
        <f ca="1">OFFSET('Data Entry'!$A$1,Printouts!N$15,Printouts!$B19)</f>
        <v>0</v>
      </c>
      <c r="O19" s="136">
        <f ca="1">OFFSET('Data Entry'!$A$1,Printouts!O$15,Printouts!$B19)</f>
        <v>0</v>
      </c>
      <c r="P19" s="136">
        <f ca="1">OFFSET('Data Entry'!$A$1,Printouts!P$15,Printouts!$B19)</f>
        <v>0</v>
      </c>
      <c r="Q19" s="136">
        <f ca="1">OFFSET('Data Entry'!$A$1,Printouts!Q$15,Printouts!$B19)</f>
        <v>0</v>
      </c>
    </row>
    <row r="20" spans="2:17" ht="15.75" thickBot="1" x14ac:dyDescent="0.3">
      <c r="B20">
        <v>11</v>
      </c>
      <c r="C20" s="135" t="s">
        <v>494</v>
      </c>
      <c r="D20" s="134"/>
      <c r="E20" s="134"/>
      <c r="F20" s="134"/>
      <c r="G20" s="133"/>
      <c r="H20" s="137" t="str">
        <f ca="1">OFFSET('Data Entry'!$A$1,Printouts!H$15,Printouts!$B20)</f>
        <v>A+</v>
      </c>
      <c r="I20" s="137" t="str">
        <f ca="1">OFFSET('Data Entry'!$A$1,Printouts!I$15,Printouts!$B20)</f>
        <v>B+</v>
      </c>
      <c r="J20" s="137" t="str">
        <f ca="1">OFFSET('Data Entry'!$A$1,Printouts!J$15,Printouts!$B20)</f>
        <v>B-</v>
      </c>
      <c r="K20" s="137" t="str">
        <f ca="1">OFFSET('Data Entry'!$A$1,Printouts!K$15,Printouts!$B20)</f>
        <v>B+</v>
      </c>
      <c r="L20" s="137" t="str">
        <f ca="1">OFFSET('Data Entry'!$A$1,Printouts!L$15,Printouts!$B20)</f>
        <v>F</v>
      </c>
      <c r="M20" s="137" t="str">
        <f ca="1">OFFSET('Data Entry'!$A$1,Printouts!M$15,Printouts!$B20)</f>
        <v>F</v>
      </c>
      <c r="N20" s="137" t="str">
        <f ca="1">OFFSET('Data Entry'!$A$1,Printouts!N$15,Printouts!$B20)</f>
        <v>F</v>
      </c>
      <c r="O20" s="137" t="str">
        <f ca="1">OFFSET('Data Entry'!$A$1,Printouts!O$15,Printouts!$B20)</f>
        <v>F</v>
      </c>
      <c r="P20" s="137" t="str">
        <f ca="1">OFFSET('Data Entry'!$A$1,Printouts!P$15,Printouts!$B20)</f>
        <v>F</v>
      </c>
      <c r="Q20" s="137" t="str">
        <f ca="1">OFFSET('Data Entry'!$A$1,Printouts!Q$15,Printouts!$B20)</f>
        <v>F</v>
      </c>
    </row>
    <row r="21" spans="2:17" x14ac:dyDescent="0.25">
      <c r="C21" s="150" t="s">
        <v>0</v>
      </c>
      <c r="D21" s="151"/>
      <c r="E21" s="151"/>
      <c r="F21" s="151"/>
      <c r="G21" s="122" t="s">
        <v>477</v>
      </c>
      <c r="H21" s="125" t="s">
        <v>476</v>
      </c>
      <c r="I21" s="125" t="s">
        <v>476</v>
      </c>
      <c r="J21" s="125" t="s">
        <v>476</v>
      </c>
      <c r="K21" s="125" t="s">
        <v>476</v>
      </c>
      <c r="L21" s="125" t="s">
        <v>476</v>
      </c>
      <c r="M21" s="125" t="s">
        <v>476</v>
      </c>
      <c r="N21" s="125" t="s">
        <v>476</v>
      </c>
      <c r="O21" s="125" t="s">
        <v>476</v>
      </c>
      <c r="P21" s="125" t="s">
        <v>476</v>
      </c>
      <c r="Q21" s="125" t="s">
        <v>476</v>
      </c>
    </row>
    <row r="22" spans="2:17" x14ac:dyDescent="0.25">
      <c r="B22">
        <v>12</v>
      </c>
      <c r="C22" s="152" t="str">
        <f ca="1">OFFSET('Data Entry'!$A$1,Printouts!G$15,Printouts!$B22)</f>
        <v>Homeworks</v>
      </c>
      <c r="D22" s="153"/>
      <c r="E22" s="153"/>
      <c r="F22" s="153"/>
      <c r="G22" s="123">
        <f ca="1">OFFSET('Data Entry'!$A$1,Printouts!F$15,Printouts!$B22)</f>
        <v>0.1</v>
      </c>
      <c r="H22" s="126">
        <f ca="1">OFFSET('Data Entry'!$A$1,Printouts!H$15,Printouts!$B22)</f>
        <v>100</v>
      </c>
      <c r="I22" s="126">
        <f ca="1">OFFSET('Data Entry'!$A$1,Printouts!I$15,Printouts!$B22)</f>
        <v>80</v>
      </c>
      <c r="J22" s="126">
        <f ca="1">OFFSET('Data Entry'!$A$1,Printouts!J$15,Printouts!$B22)</f>
        <v>100</v>
      </c>
      <c r="K22" s="126">
        <f ca="1">OFFSET('Data Entry'!$A$1,Printouts!K$15,Printouts!$B22)</f>
        <v>93.333333333333329</v>
      </c>
      <c r="L22" s="126">
        <f ca="1">OFFSET('Data Entry'!$A$1,Printouts!L$15,Printouts!$B22)</f>
        <v>0</v>
      </c>
      <c r="M22" s="126">
        <f ca="1">OFFSET('Data Entry'!$A$1,Printouts!M$15,Printouts!$B22)</f>
        <v>0</v>
      </c>
      <c r="N22" s="126">
        <f ca="1">OFFSET('Data Entry'!$A$1,Printouts!N$15,Printouts!$B22)</f>
        <v>0</v>
      </c>
      <c r="O22" s="126">
        <f ca="1">OFFSET('Data Entry'!$A$1,Printouts!O$15,Printouts!$B22)</f>
        <v>0</v>
      </c>
      <c r="P22" s="126">
        <f ca="1">OFFSET('Data Entry'!$A$1,Printouts!P$15,Printouts!$B22)</f>
        <v>0</v>
      </c>
      <c r="Q22" s="126">
        <f ca="1">OFFSET('Data Entry'!$A$1,Printouts!Q$15,Printouts!$B22)</f>
        <v>0</v>
      </c>
    </row>
    <row r="23" spans="2:17" x14ac:dyDescent="0.25">
      <c r="B23">
        <f>B22+1</f>
        <v>13</v>
      </c>
      <c r="C23" s="152" t="str">
        <f ca="1">OFFSET('Data Entry'!$A$1,Printouts!G$15,Printouts!$B23)</f>
        <v>Classworks</v>
      </c>
      <c r="D23" s="153"/>
      <c r="E23" s="153"/>
      <c r="F23" s="153"/>
      <c r="G23" s="123">
        <f ca="1">OFFSET('Data Entry'!$A$1,Printouts!F$15,Printouts!$B23)</f>
        <v>0.2</v>
      </c>
      <c r="H23" s="127">
        <f ca="1">OFFSET('Data Entry'!$A$1,Printouts!H$15,Printouts!$B23)</f>
        <v>100</v>
      </c>
      <c r="I23" s="127">
        <f ca="1">OFFSET('Data Entry'!$A$1,Printouts!I$15,Printouts!$B23)</f>
        <v>66.666666666666657</v>
      </c>
      <c r="J23" s="127">
        <f ca="1">OFFSET('Data Entry'!$A$1,Printouts!J$15,Printouts!$B23)</f>
        <v>80</v>
      </c>
      <c r="K23" s="127">
        <f ca="1">OFFSET('Data Entry'!$A$1,Printouts!K$15,Printouts!$B23)</f>
        <v>100</v>
      </c>
      <c r="L23" s="127">
        <f ca="1">OFFSET('Data Entry'!$A$1,Printouts!L$15,Printouts!$B23)</f>
        <v>0</v>
      </c>
      <c r="M23" s="127">
        <f ca="1">OFFSET('Data Entry'!$A$1,Printouts!M$15,Printouts!$B23)</f>
        <v>0</v>
      </c>
      <c r="N23" s="127">
        <f ca="1">OFFSET('Data Entry'!$A$1,Printouts!N$15,Printouts!$B23)</f>
        <v>0</v>
      </c>
      <c r="O23" s="127">
        <f ca="1">OFFSET('Data Entry'!$A$1,Printouts!O$15,Printouts!$B23)</f>
        <v>0</v>
      </c>
      <c r="P23" s="127">
        <f ca="1">OFFSET('Data Entry'!$A$1,Printouts!P$15,Printouts!$B23)</f>
        <v>0</v>
      </c>
      <c r="Q23" s="127">
        <f ca="1">OFFSET('Data Entry'!$A$1,Printouts!Q$15,Printouts!$B23)</f>
        <v>0</v>
      </c>
    </row>
    <row r="24" spans="2:17" x14ac:dyDescent="0.25">
      <c r="B24">
        <f t="shared" ref="B24:B27" si="1">B23+1</f>
        <v>14</v>
      </c>
      <c r="C24" s="152" t="str">
        <f ca="1">OFFSET('Data Entry'!$A$1,Printouts!G$15,Printouts!$B24)</f>
        <v>Tests</v>
      </c>
      <c r="D24" s="153"/>
      <c r="E24" s="153"/>
      <c r="F24" s="153"/>
      <c r="G24" s="123">
        <f ca="1">OFFSET('Data Entry'!$A$1,Printouts!F$15,Printouts!$B24)</f>
        <v>0.4</v>
      </c>
      <c r="H24" s="127">
        <f ca="1">OFFSET('Data Entry'!$A$1,Printouts!H$15,Printouts!$B24)</f>
        <v>100</v>
      </c>
      <c r="I24" s="127">
        <f ca="1">OFFSET('Data Entry'!$A$1,Printouts!I$15,Printouts!$B24)</f>
        <v>96</v>
      </c>
      <c r="J24" s="127">
        <f ca="1">OFFSET('Data Entry'!$A$1,Printouts!J$15,Printouts!$B24)</f>
        <v>80</v>
      </c>
      <c r="K24" s="127">
        <f ca="1">OFFSET('Data Entry'!$A$1,Printouts!K$15,Printouts!$B24)</f>
        <v>80</v>
      </c>
      <c r="L24" s="127">
        <f ca="1">OFFSET('Data Entry'!$A$1,Printouts!L$15,Printouts!$B24)</f>
        <v>0</v>
      </c>
      <c r="M24" s="127">
        <f ca="1">OFFSET('Data Entry'!$A$1,Printouts!M$15,Printouts!$B24)</f>
        <v>0</v>
      </c>
      <c r="N24" s="127">
        <f ca="1">OFFSET('Data Entry'!$A$1,Printouts!N$15,Printouts!$B24)</f>
        <v>0</v>
      </c>
      <c r="O24" s="127">
        <f ca="1">OFFSET('Data Entry'!$A$1,Printouts!O$15,Printouts!$B24)</f>
        <v>0</v>
      </c>
      <c r="P24" s="127">
        <f ca="1">OFFSET('Data Entry'!$A$1,Printouts!P$15,Printouts!$B24)</f>
        <v>0</v>
      </c>
      <c r="Q24" s="127">
        <f ca="1">OFFSET('Data Entry'!$A$1,Printouts!Q$15,Printouts!$B24)</f>
        <v>0</v>
      </c>
    </row>
    <row r="25" spans="2:17" x14ac:dyDescent="0.25">
      <c r="B25">
        <f t="shared" si="1"/>
        <v>15</v>
      </c>
      <c r="C25" s="152" t="str">
        <f ca="1">OFFSET('Data Entry'!$A$1,Printouts!G$15,Printouts!$B25)</f>
        <v>Projects</v>
      </c>
      <c r="D25" s="153"/>
      <c r="E25" s="153"/>
      <c r="F25" s="153"/>
      <c r="G25" s="123">
        <f ca="1">OFFSET('Data Entry'!$A$1,Printouts!F$15,Printouts!$B25)</f>
        <v>0.3</v>
      </c>
      <c r="H25" s="127">
        <f ca="1">OFFSET('Data Entry'!$A$1,Printouts!H$15,Printouts!$B25)</f>
        <v>100</v>
      </c>
      <c r="I25" s="127">
        <f ca="1">OFFSET('Data Entry'!$A$1,Printouts!I$15,Printouts!$B25)</f>
        <v>100</v>
      </c>
      <c r="J25" s="127">
        <f ca="1">OFFSET('Data Entry'!$A$1,Printouts!J$15,Printouts!$B25)</f>
        <v>80</v>
      </c>
      <c r="K25" s="127">
        <f ca="1">OFFSET('Data Entry'!$A$1,Printouts!K$15,Printouts!$B25)</f>
        <v>90</v>
      </c>
      <c r="L25" s="127">
        <f ca="1">OFFSET('Data Entry'!$A$1,Printouts!L$15,Printouts!$B25)</f>
        <v>0</v>
      </c>
      <c r="M25" s="127">
        <f ca="1">OFFSET('Data Entry'!$A$1,Printouts!M$15,Printouts!$B25)</f>
        <v>0</v>
      </c>
      <c r="N25" s="127">
        <f ca="1">OFFSET('Data Entry'!$A$1,Printouts!N$15,Printouts!$B25)</f>
        <v>0</v>
      </c>
      <c r="O25" s="127">
        <f ca="1">OFFSET('Data Entry'!$A$1,Printouts!O$15,Printouts!$B25)</f>
        <v>0</v>
      </c>
      <c r="P25" s="127">
        <f ca="1">OFFSET('Data Entry'!$A$1,Printouts!P$15,Printouts!$B25)</f>
        <v>0</v>
      </c>
      <c r="Q25" s="127">
        <f ca="1">OFFSET('Data Entry'!$A$1,Printouts!Q$15,Printouts!$B25)</f>
        <v>0</v>
      </c>
    </row>
    <row r="26" spans="2:17" x14ac:dyDescent="0.25">
      <c r="B26">
        <f t="shared" si="1"/>
        <v>16</v>
      </c>
      <c r="C26" s="152" t="str">
        <f ca="1">OFFSET('Data Entry'!$A$1,Printouts!G$15,Printouts!$B26)</f>
        <v>Another Type</v>
      </c>
      <c r="D26" s="153"/>
      <c r="E26" s="153"/>
      <c r="F26" s="153"/>
      <c r="G26" s="123">
        <f ca="1">OFFSET('Data Entry'!$A$1,Printouts!F$15,Printouts!$B26)</f>
        <v>0</v>
      </c>
      <c r="H26" s="127" t="str">
        <f ca="1">OFFSET('Data Entry'!$A$1,Printouts!H$15,Printouts!$B26)</f>
        <v/>
      </c>
      <c r="I26" s="127" t="str">
        <f ca="1">OFFSET('Data Entry'!$A$1,Printouts!I$15,Printouts!$B26)</f>
        <v/>
      </c>
      <c r="J26" s="127" t="str">
        <f ca="1">OFFSET('Data Entry'!$A$1,Printouts!J$15,Printouts!$B26)</f>
        <v/>
      </c>
      <c r="K26" s="127" t="str">
        <f ca="1">OFFSET('Data Entry'!$A$1,Printouts!K$15,Printouts!$B26)</f>
        <v/>
      </c>
      <c r="L26" s="127" t="str">
        <f ca="1">OFFSET('Data Entry'!$A$1,Printouts!L$15,Printouts!$B26)</f>
        <v/>
      </c>
      <c r="M26" s="127" t="str">
        <f ca="1">OFFSET('Data Entry'!$A$1,Printouts!M$15,Printouts!$B26)</f>
        <v/>
      </c>
      <c r="N26" s="127" t="str">
        <f ca="1">OFFSET('Data Entry'!$A$1,Printouts!N$15,Printouts!$B26)</f>
        <v/>
      </c>
      <c r="O26" s="127" t="str">
        <f ca="1">OFFSET('Data Entry'!$A$1,Printouts!O$15,Printouts!$B26)</f>
        <v/>
      </c>
      <c r="P26" s="127" t="str">
        <f ca="1">OFFSET('Data Entry'!$A$1,Printouts!P$15,Printouts!$B26)</f>
        <v/>
      </c>
      <c r="Q26" s="127" t="str">
        <f ca="1">OFFSET('Data Entry'!$A$1,Printouts!Q$15,Printouts!$B26)</f>
        <v/>
      </c>
    </row>
    <row r="27" spans="2:17" ht="15.75" thickBot="1" x14ac:dyDescent="0.3">
      <c r="B27">
        <f t="shared" si="1"/>
        <v>17</v>
      </c>
      <c r="C27" s="154" t="str">
        <f ca="1">OFFSET('Data Entry'!$A$1,Printouts!G$15,Printouts!$B27)</f>
        <v>Another Type 2</v>
      </c>
      <c r="D27" s="155"/>
      <c r="E27" s="155"/>
      <c r="F27" s="155"/>
      <c r="G27" s="124">
        <f ca="1">OFFSET('Data Entry'!$A$1,Printouts!F$15,Printouts!$B27)</f>
        <v>0</v>
      </c>
      <c r="H27" s="128" t="str">
        <f ca="1">OFFSET('Data Entry'!$A$1,Printouts!H$15,Printouts!$B27)</f>
        <v/>
      </c>
      <c r="I27" s="128" t="str">
        <f ca="1">OFFSET('Data Entry'!$A$1,Printouts!I$15,Printouts!$B27)</f>
        <v/>
      </c>
      <c r="J27" s="128" t="str">
        <f ca="1">OFFSET('Data Entry'!$A$1,Printouts!J$15,Printouts!$B27)</f>
        <v/>
      </c>
      <c r="K27" s="128" t="str">
        <f ca="1">OFFSET('Data Entry'!$A$1,Printouts!K$15,Printouts!$B27)</f>
        <v/>
      </c>
      <c r="L27" s="128" t="str">
        <f ca="1">OFFSET('Data Entry'!$A$1,Printouts!L$15,Printouts!$B27)</f>
        <v/>
      </c>
      <c r="M27" s="128" t="str">
        <f ca="1">OFFSET('Data Entry'!$A$1,Printouts!M$15,Printouts!$B27)</f>
        <v/>
      </c>
      <c r="N27" s="128" t="str">
        <f ca="1">OFFSET('Data Entry'!$A$1,Printouts!N$15,Printouts!$B27)</f>
        <v/>
      </c>
      <c r="O27" s="128" t="str">
        <f ca="1">OFFSET('Data Entry'!$A$1,Printouts!O$15,Printouts!$B27)</f>
        <v/>
      </c>
      <c r="P27" s="128" t="str">
        <f ca="1">OFFSET('Data Entry'!$A$1,Printouts!P$15,Printouts!$B27)</f>
        <v/>
      </c>
      <c r="Q27" s="128" t="str">
        <f ca="1">OFFSET('Data Entry'!$A$1,Printouts!Q$15,Printouts!$B27)</f>
        <v/>
      </c>
    </row>
    <row r="28" spans="2:17" x14ac:dyDescent="0.25">
      <c r="C28" s="109" t="s">
        <v>471</v>
      </c>
      <c r="D28" s="104" t="s">
        <v>1</v>
      </c>
      <c r="E28" s="104" t="s">
        <v>2</v>
      </c>
      <c r="F28" s="105" t="s">
        <v>436</v>
      </c>
      <c r="G28" s="107" t="s">
        <v>473</v>
      </c>
      <c r="H28" s="129" t="s">
        <v>474</v>
      </c>
      <c r="I28" s="129" t="s">
        <v>478</v>
      </c>
      <c r="J28" s="129" t="s">
        <v>478</v>
      </c>
      <c r="K28" s="129" t="s">
        <v>478</v>
      </c>
      <c r="L28" s="129" t="s">
        <v>478</v>
      </c>
      <c r="M28" s="129" t="s">
        <v>478</v>
      </c>
      <c r="N28" s="129" t="s">
        <v>478</v>
      </c>
      <c r="O28" s="129" t="s">
        <v>478</v>
      </c>
      <c r="P28" s="129" t="s">
        <v>478</v>
      </c>
      <c r="Q28" s="129" t="s">
        <v>478</v>
      </c>
    </row>
    <row r="29" spans="2:17" x14ac:dyDescent="0.25">
      <c r="B29">
        <v>18</v>
      </c>
      <c r="C29" s="100" t="str">
        <f ca="1">OFFSET('Data Entry'!$A$1,Printouts!C$15,Printouts!$B29)</f>
        <v>Homeworks</v>
      </c>
      <c r="D29" s="98">
        <f ca="1">OFFSET('Data Entry'!$A$1,Printouts!D$15,Printouts!$B29)</f>
        <v>10</v>
      </c>
      <c r="E29" s="99">
        <f ca="1">OFFSET('Data Entry'!$A$1,Printouts!E$15,Printouts!$B29)</f>
        <v>1</v>
      </c>
      <c r="F29" s="102">
        <f ca="1">OFFSET('Data Entry'!$A$1,Printouts!F$15,Printouts!$B29)</f>
        <v>42024</v>
      </c>
      <c r="G29" s="108" t="str">
        <f ca="1">OFFSET('Data Entry'!$A$1,Printouts!G$15,Printouts!$B29)</f>
        <v>Homework One</v>
      </c>
      <c r="H29" s="130">
        <f ca="1">OFFSET('Data Entry'!$A$1,Printouts!H$15,Printouts!$B29)</f>
        <v>10</v>
      </c>
      <c r="I29" s="130">
        <f ca="1">OFFSET('Data Entry'!$A$1,Printouts!I$15,Printouts!$B29)</f>
        <v>8</v>
      </c>
      <c r="J29" s="130">
        <f ca="1">OFFSET('Data Entry'!$A$1,Printouts!J$15,Printouts!$B29)</f>
        <v>10</v>
      </c>
      <c r="K29" s="130">
        <f ca="1">OFFSET('Data Entry'!$A$1,Printouts!K$15,Printouts!$B29)</f>
        <v>10</v>
      </c>
      <c r="L29" s="130">
        <f ca="1">OFFSET('Data Entry'!$A$1,Printouts!L$15,Printouts!$B29)</f>
        <v>0</v>
      </c>
      <c r="M29" s="130">
        <f ca="1">OFFSET('Data Entry'!$A$1,Printouts!M$15,Printouts!$B29)</f>
        <v>0</v>
      </c>
      <c r="N29" s="130">
        <f ca="1">OFFSET('Data Entry'!$A$1,Printouts!N$15,Printouts!$B29)</f>
        <v>0</v>
      </c>
      <c r="O29" s="130">
        <f ca="1">OFFSET('Data Entry'!$A$1,Printouts!O$15,Printouts!$B29)</f>
        <v>0</v>
      </c>
      <c r="P29" s="130">
        <f ca="1">OFFSET('Data Entry'!$A$1,Printouts!P$15,Printouts!$B29)</f>
        <v>0</v>
      </c>
      <c r="Q29" s="130">
        <f ca="1">OFFSET('Data Entry'!$A$1,Printouts!Q$15,Printouts!$B29)</f>
        <v>0</v>
      </c>
    </row>
    <row r="30" spans="2:17" x14ac:dyDescent="0.25">
      <c r="B30">
        <f>B29+1</f>
        <v>19</v>
      </c>
      <c r="C30" s="101" t="str">
        <f ca="1">OFFSET('Data Entry'!$A$1,Printouts!C$15,Printouts!$B30)</f>
        <v>Classworks</v>
      </c>
      <c r="D30" s="96">
        <f ca="1">OFFSET('Data Entry'!$A$1,Printouts!D$15,Printouts!$B30)</f>
        <v>15</v>
      </c>
      <c r="E30" s="97">
        <f ca="1">OFFSET('Data Entry'!$A$1,Printouts!E$15,Printouts!$B30)</f>
        <v>1</v>
      </c>
      <c r="F30" s="103">
        <f ca="1">OFFSET('Data Entry'!$A$1,Printouts!F$15,Printouts!$B30)</f>
        <v>42029</v>
      </c>
      <c r="G30" s="106" t="str">
        <f ca="1">OFFSET('Data Entry'!$A$1,Printouts!G$15,Printouts!$B30)</f>
        <v>Classwork  One</v>
      </c>
      <c r="H30" s="127">
        <f ca="1">OFFSET('Data Entry'!$A$1,Printouts!H$15,Printouts!$B30)</f>
        <v>15</v>
      </c>
      <c r="I30" s="127">
        <f ca="1">OFFSET('Data Entry'!$A$1,Printouts!I$15,Printouts!$B30)</f>
        <v>10</v>
      </c>
      <c r="J30" s="127">
        <f ca="1">OFFSET('Data Entry'!$A$1,Printouts!J$15,Printouts!$B30)</f>
        <v>12</v>
      </c>
      <c r="K30" s="127">
        <f ca="1">OFFSET('Data Entry'!$A$1,Printouts!K$15,Printouts!$B30)</f>
        <v>15</v>
      </c>
      <c r="L30" s="127">
        <f ca="1">OFFSET('Data Entry'!$A$1,Printouts!L$15,Printouts!$B30)</f>
        <v>0</v>
      </c>
      <c r="M30" s="127">
        <f ca="1">OFFSET('Data Entry'!$A$1,Printouts!M$15,Printouts!$B30)</f>
        <v>0</v>
      </c>
      <c r="N30" s="127">
        <f ca="1">OFFSET('Data Entry'!$A$1,Printouts!N$15,Printouts!$B30)</f>
        <v>0</v>
      </c>
      <c r="O30" s="127">
        <f ca="1">OFFSET('Data Entry'!$A$1,Printouts!O$15,Printouts!$B30)</f>
        <v>0</v>
      </c>
      <c r="P30" s="127">
        <f ca="1">OFFSET('Data Entry'!$A$1,Printouts!P$15,Printouts!$B30)</f>
        <v>0</v>
      </c>
      <c r="Q30" s="127">
        <f ca="1">OFFSET('Data Entry'!$A$1,Printouts!Q$15,Printouts!$B30)</f>
        <v>0</v>
      </c>
    </row>
    <row r="31" spans="2:17" x14ac:dyDescent="0.25">
      <c r="B31">
        <f t="shared" ref="B31:B38" si="2">B30+1</f>
        <v>20</v>
      </c>
      <c r="C31" s="101" t="str">
        <f ca="1">OFFSET('Data Entry'!$A$1,Printouts!C$15,Printouts!$B31)</f>
        <v>Homeworks</v>
      </c>
      <c r="D31" s="96">
        <f ca="1">OFFSET('Data Entry'!$A$1,Printouts!D$15,Printouts!$B31)</f>
        <v>5</v>
      </c>
      <c r="E31" s="97">
        <f ca="1">OFFSET('Data Entry'!$A$1,Printouts!E$15,Printouts!$B31)</f>
        <v>1</v>
      </c>
      <c r="F31" s="103">
        <f ca="1">OFFSET('Data Entry'!$A$1,Printouts!F$15,Printouts!$B31)</f>
        <v>42031</v>
      </c>
      <c r="G31" s="106" t="str">
        <f ca="1">OFFSET('Data Entry'!$A$1,Printouts!G$15,Printouts!$B31)</f>
        <v>Homework Two</v>
      </c>
      <c r="H31" s="127">
        <f ca="1">OFFSET('Data Entry'!$A$1,Printouts!H$15,Printouts!$B31)</f>
        <v>5</v>
      </c>
      <c r="I31" s="127">
        <f ca="1">OFFSET('Data Entry'!$A$1,Printouts!I$15,Printouts!$B31)</f>
        <v>4</v>
      </c>
      <c r="J31" s="127" t="str">
        <f ca="1">OFFSET('Data Entry'!$A$1,Printouts!J$15,Printouts!$B31)</f>
        <v>Excused</v>
      </c>
      <c r="K31" s="127">
        <f ca="1">OFFSET('Data Entry'!$A$1,Printouts!K$15,Printouts!$B31)</f>
        <v>4</v>
      </c>
      <c r="L31" s="127">
        <f ca="1">OFFSET('Data Entry'!$A$1,Printouts!L$15,Printouts!$B31)</f>
        <v>0</v>
      </c>
      <c r="M31" s="127">
        <f ca="1">OFFSET('Data Entry'!$A$1,Printouts!M$15,Printouts!$B31)</f>
        <v>0</v>
      </c>
      <c r="N31" s="127">
        <f ca="1">OFFSET('Data Entry'!$A$1,Printouts!N$15,Printouts!$B31)</f>
        <v>0</v>
      </c>
      <c r="O31" s="127">
        <f ca="1">OFFSET('Data Entry'!$A$1,Printouts!O$15,Printouts!$B31)</f>
        <v>0</v>
      </c>
      <c r="P31" s="127">
        <f ca="1">OFFSET('Data Entry'!$A$1,Printouts!P$15,Printouts!$B31)</f>
        <v>0</v>
      </c>
      <c r="Q31" s="127">
        <f ca="1">OFFSET('Data Entry'!$A$1,Printouts!Q$15,Printouts!$B31)</f>
        <v>0</v>
      </c>
    </row>
    <row r="32" spans="2:17" x14ac:dyDescent="0.25">
      <c r="B32">
        <f t="shared" si="2"/>
        <v>21</v>
      </c>
      <c r="C32" s="101" t="str">
        <f ca="1">OFFSET('Data Entry'!$A$1,Printouts!C$15,Printouts!$B32)</f>
        <v>Tests</v>
      </c>
      <c r="D32" s="96">
        <f ca="1">OFFSET('Data Entry'!$A$1,Printouts!D$15,Printouts!$B32)</f>
        <v>50</v>
      </c>
      <c r="E32" s="97">
        <f ca="1">OFFSET('Data Entry'!$A$1,Printouts!E$15,Printouts!$B32)</f>
        <v>1</v>
      </c>
      <c r="F32" s="103">
        <f ca="1">OFFSET('Data Entry'!$A$1,Printouts!F$15,Printouts!$B32)</f>
        <v>42034</v>
      </c>
      <c r="G32" s="106" t="str">
        <f ca="1">OFFSET('Data Entry'!$A$1,Printouts!G$15,Printouts!$B32)</f>
        <v>First Test</v>
      </c>
      <c r="H32" s="127">
        <f ca="1">OFFSET('Data Entry'!$A$1,Printouts!H$15,Printouts!$B32)</f>
        <v>50</v>
      </c>
      <c r="I32" s="127">
        <f ca="1">OFFSET('Data Entry'!$A$1,Printouts!I$15,Printouts!$B32)</f>
        <v>48</v>
      </c>
      <c r="J32" s="127">
        <f ca="1">OFFSET('Data Entry'!$A$1,Printouts!J$15,Printouts!$B32)</f>
        <v>40</v>
      </c>
      <c r="K32" s="127">
        <f ca="1">OFFSET('Data Entry'!$A$1,Printouts!K$15,Printouts!$B32)</f>
        <v>40</v>
      </c>
      <c r="L32" s="127">
        <f ca="1">OFFSET('Data Entry'!$A$1,Printouts!L$15,Printouts!$B32)</f>
        <v>0</v>
      </c>
      <c r="M32" s="127">
        <f ca="1">OFFSET('Data Entry'!$A$1,Printouts!M$15,Printouts!$B32)</f>
        <v>0</v>
      </c>
      <c r="N32" s="127">
        <f ca="1">OFFSET('Data Entry'!$A$1,Printouts!N$15,Printouts!$B32)</f>
        <v>0</v>
      </c>
      <c r="O32" s="127">
        <f ca="1">OFFSET('Data Entry'!$A$1,Printouts!O$15,Printouts!$B32)</f>
        <v>0</v>
      </c>
      <c r="P32" s="127">
        <f ca="1">OFFSET('Data Entry'!$A$1,Printouts!P$15,Printouts!$B32)</f>
        <v>0</v>
      </c>
      <c r="Q32" s="127">
        <f ca="1">OFFSET('Data Entry'!$A$1,Printouts!Q$15,Printouts!$B32)</f>
        <v>0</v>
      </c>
    </row>
    <row r="33" spans="2:17" x14ac:dyDescent="0.25">
      <c r="B33">
        <f t="shared" si="2"/>
        <v>22</v>
      </c>
      <c r="C33" s="101" t="str">
        <f ca="1">OFFSET('Data Entry'!$A$1,Printouts!C$15,Printouts!$B33)</f>
        <v>Projects</v>
      </c>
      <c r="D33" s="96">
        <f ca="1">OFFSET('Data Entry'!$A$1,Printouts!D$15,Printouts!$B33)</f>
        <v>10</v>
      </c>
      <c r="E33" s="97">
        <f ca="1">OFFSET('Data Entry'!$A$1,Printouts!E$15,Printouts!$B33)</f>
        <v>1</v>
      </c>
      <c r="F33" s="103">
        <f ca="1">OFFSET('Data Entry'!$A$1,Printouts!F$15,Printouts!$B33)</f>
        <v>42035</v>
      </c>
      <c r="G33" s="106" t="str">
        <f ca="1">OFFSET('Data Entry'!$A$1,Printouts!G$15,Printouts!$B33)</f>
        <v>Project</v>
      </c>
      <c r="H33" s="127">
        <f ca="1">OFFSET('Data Entry'!$A$1,Printouts!H$15,Printouts!$B33)</f>
        <v>10</v>
      </c>
      <c r="I33" s="127">
        <f ca="1">OFFSET('Data Entry'!$A$1,Printouts!I$15,Printouts!$B33)</f>
        <v>10</v>
      </c>
      <c r="J33" s="127">
        <f ca="1">OFFSET('Data Entry'!$A$1,Printouts!J$15,Printouts!$B33)</f>
        <v>8</v>
      </c>
      <c r="K33" s="127">
        <f ca="1">OFFSET('Data Entry'!$A$1,Printouts!K$15,Printouts!$B33)</f>
        <v>9</v>
      </c>
      <c r="L33" s="127">
        <f ca="1">OFFSET('Data Entry'!$A$1,Printouts!L$15,Printouts!$B33)</f>
        <v>0</v>
      </c>
      <c r="M33" s="127">
        <f ca="1">OFFSET('Data Entry'!$A$1,Printouts!M$15,Printouts!$B33)</f>
        <v>0</v>
      </c>
      <c r="N33" s="127">
        <f ca="1">OFFSET('Data Entry'!$A$1,Printouts!N$15,Printouts!$B33)</f>
        <v>0</v>
      </c>
      <c r="O33" s="127">
        <f ca="1">OFFSET('Data Entry'!$A$1,Printouts!O$15,Printouts!$B33)</f>
        <v>0</v>
      </c>
      <c r="P33" s="127">
        <f ca="1">OFFSET('Data Entry'!$A$1,Printouts!P$15,Printouts!$B33)</f>
        <v>0</v>
      </c>
      <c r="Q33" s="127">
        <f ca="1">OFFSET('Data Entry'!$A$1,Printouts!Q$15,Printouts!$B33)</f>
        <v>0</v>
      </c>
    </row>
    <row r="34" spans="2:17" x14ac:dyDescent="0.25">
      <c r="B34">
        <f t="shared" si="2"/>
        <v>23</v>
      </c>
      <c r="C34" s="101">
        <f ca="1">OFFSET('Data Entry'!$A$1,Printouts!C$15,Printouts!$B34)</f>
        <v>0</v>
      </c>
      <c r="D34" s="96">
        <f ca="1">OFFSET('Data Entry'!$A$1,Printouts!D$15,Printouts!$B34)</f>
        <v>0</v>
      </c>
      <c r="E34" s="97">
        <f ca="1">OFFSET('Data Entry'!$A$1,Printouts!E$15,Printouts!$B34)</f>
        <v>1</v>
      </c>
      <c r="F34" s="103">
        <f ca="1">OFFSET('Data Entry'!$A$1,Printouts!F$15,Printouts!$B34)</f>
        <v>0</v>
      </c>
      <c r="G34" s="106" t="str">
        <f ca="1">OFFSET('Data Entry'!$A$1,Printouts!G$15,Printouts!$B34)</f>
        <v>Assessment 2</v>
      </c>
      <c r="H34" s="127">
        <f ca="1">OFFSET('Data Entry'!$A$1,Printouts!H$15,Printouts!$B34)</f>
        <v>0</v>
      </c>
      <c r="I34" s="127">
        <f ca="1">OFFSET('Data Entry'!$A$1,Printouts!I$15,Printouts!$B34)</f>
        <v>0</v>
      </c>
      <c r="J34" s="127">
        <f ca="1">OFFSET('Data Entry'!$A$1,Printouts!J$15,Printouts!$B34)</f>
        <v>0</v>
      </c>
      <c r="K34" s="127">
        <f ca="1">OFFSET('Data Entry'!$A$1,Printouts!K$15,Printouts!$B34)</f>
        <v>0</v>
      </c>
      <c r="L34" s="127">
        <f ca="1">OFFSET('Data Entry'!$A$1,Printouts!L$15,Printouts!$B34)</f>
        <v>0</v>
      </c>
      <c r="M34" s="127">
        <f ca="1">OFFSET('Data Entry'!$A$1,Printouts!M$15,Printouts!$B34)</f>
        <v>0</v>
      </c>
      <c r="N34" s="127">
        <f ca="1">OFFSET('Data Entry'!$A$1,Printouts!N$15,Printouts!$B34)</f>
        <v>0</v>
      </c>
      <c r="O34" s="127">
        <f ca="1">OFFSET('Data Entry'!$A$1,Printouts!O$15,Printouts!$B34)</f>
        <v>0</v>
      </c>
      <c r="P34" s="127">
        <f ca="1">OFFSET('Data Entry'!$A$1,Printouts!P$15,Printouts!$B34)</f>
        <v>0</v>
      </c>
      <c r="Q34" s="127">
        <f ca="1">OFFSET('Data Entry'!$A$1,Printouts!Q$15,Printouts!$B34)</f>
        <v>0</v>
      </c>
    </row>
    <row r="35" spans="2:17" x14ac:dyDescent="0.25">
      <c r="B35">
        <f t="shared" si="2"/>
        <v>24</v>
      </c>
      <c r="C35" s="101">
        <f ca="1">OFFSET('Data Entry'!$A$1,Printouts!C$15,Printouts!$B35)</f>
        <v>0</v>
      </c>
      <c r="D35" s="96">
        <f ca="1">OFFSET('Data Entry'!$A$1,Printouts!D$15,Printouts!$B35)</f>
        <v>0</v>
      </c>
      <c r="E35" s="97">
        <f ca="1">OFFSET('Data Entry'!$A$1,Printouts!E$15,Printouts!$B35)</f>
        <v>1</v>
      </c>
      <c r="F35" s="103">
        <f ca="1">OFFSET('Data Entry'!$A$1,Printouts!F$15,Printouts!$B35)</f>
        <v>0</v>
      </c>
      <c r="G35" s="106" t="str">
        <f ca="1">OFFSET('Data Entry'!$A$1,Printouts!G$15,Printouts!$B35)</f>
        <v>Assessment 3</v>
      </c>
      <c r="H35" s="127">
        <f ca="1">OFFSET('Data Entry'!$A$1,Printouts!H$15,Printouts!$B35)</f>
        <v>0</v>
      </c>
      <c r="I35" s="127">
        <f ca="1">OFFSET('Data Entry'!$A$1,Printouts!I$15,Printouts!$B35)</f>
        <v>0</v>
      </c>
      <c r="J35" s="127">
        <f ca="1">OFFSET('Data Entry'!$A$1,Printouts!J$15,Printouts!$B35)</f>
        <v>0</v>
      </c>
      <c r="K35" s="127">
        <f ca="1">OFFSET('Data Entry'!$A$1,Printouts!K$15,Printouts!$B35)</f>
        <v>0</v>
      </c>
      <c r="L35" s="127">
        <f ca="1">OFFSET('Data Entry'!$A$1,Printouts!L$15,Printouts!$B35)</f>
        <v>0</v>
      </c>
      <c r="M35" s="127">
        <f ca="1">OFFSET('Data Entry'!$A$1,Printouts!M$15,Printouts!$B35)</f>
        <v>0</v>
      </c>
      <c r="N35" s="127">
        <f ca="1">OFFSET('Data Entry'!$A$1,Printouts!N$15,Printouts!$B35)</f>
        <v>0</v>
      </c>
      <c r="O35" s="127">
        <f ca="1">OFFSET('Data Entry'!$A$1,Printouts!O$15,Printouts!$B35)</f>
        <v>0</v>
      </c>
      <c r="P35" s="127">
        <f ca="1">OFFSET('Data Entry'!$A$1,Printouts!P$15,Printouts!$B35)</f>
        <v>0</v>
      </c>
      <c r="Q35" s="127">
        <f ca="1">OFFSET('Data Entry'!$A$1,Printouts!Q$15,Printouts!$B35)</f>
        <v>0</v>
      </c>
    </row>
    <row r="36" spans="2:17" x14ac:dyDescent="0.25">
      <c r="B36">
        <f t="shared" si="2"/>
        <v>25</v>
      </c>
      <c r="C36" s="101">
        <f ca="1">OFFSET('Data Entry'!$A$1,Printouts!C$15,Printouts!$B36)</f>
        <v>0</v>
      </c>
      <c r="D36" s="96">
        <f ca="1">OFFSET('Data Entry'!$A$1,Printouts!D$15,Printouts!$B36)</f>
        <v>0</v>
      </c>
      <c r="E36" s="97">
        <f ca="1">OFFSET('Data Entry'!$A$1,Printouts!E$15,Printouts!$B36)</f>
        <v>1</v>
      </c>
      <c r="F36" s="103">
        <f ca="1">OFFSET('Data Entry'!$A$1,Printouts!F$15,Printouts!$B36)</f>
        <v>0</v>
      </c>
      <c r="G36" s="106" t="str">
        <f ca="1">OFFSET('Data Entry'!$A$1,Printouts!G$15,Printouts!$B36)</f>
        <v>Assessment 4</v>
      </c>
      <c r="H36" s="127">
        <f ca="1">OFFSET('Data Entry'!$A$1,Printouts!H$15,Printouts!$B36)</f>
        <v>0</v>
      </c>
      <c r="I36" s="127">
        <f ca="1">OFFSET('Data Entry'!$A$1,Printouts!I$15,Printouts!$B36)</f>
        <v>0</v>
      </c>
      <c r="J36" s="127">
        <f ca="1">OFFSET('Data Entry'!$A$1,Printouts!J$15,Printouts!$B36)</f>
        <v>0</v>
      </c>
      <c r="K36" s="127">
        <f ca="1">OFFSET('Data Entry'!$A$1,Printouts!K$15,Printouts!$B36)</f>
        <v>0</v>
      </c>
      <c r="L36" s="127">
        <f ca="1">OFFSET('Data Entry'!$A$1,Printouts!L$15,Printouts!$B36)</f>
        <v>0</v>
      </c>
      <c r="M36" s="127">
        <f ca="1">OFFSET('Data Entry'!$A$1,Printouts!M$15,Printouts!$B36)</f>
        <v>0</v>
      </c>
      <c r="N36" s="127">
        <f ca="1">OFFSET('Data Entry'!$A$1,Printouts!N$15,Printouts!$B36)</f>
        <v>0</v>
      </c>
      <c r="O36" s="127">
        <f ca="1">OFFSET('Data Entry'!$A$1,Printouts!O$15,Printouts!$B36)</f>
        <v>0</v>
      </c>
      <c r="P36" s="127">
        <f ca="1">OFFSET('Data Entry'!$A$1,Printouts!P$15,Printouts!$B36)</f>
        <v>0</v>
      </c>
      <c r="Q36" s="127">
        <f ca="1">OFFSET('Data Entry'!$A$1,Printouts!Q$15,Printouts!$B36)</f>
        <v>0</v>
      </c>
    </row>
    <row r="37" spans="2:17" x14ac:dyDescent="0.25">
      <c r="B37">
        <f t="shared" si="2"/>
        <v>26</v>
      </c>
      <c r="C37" s="101">
        <f ca="1">OFFSET('Data Entry'!$A$1,Printouts!C$15,Printouts!$B37)</f>
        <v>0</v>
      </c>
      <c r="D37" s="96">
        <f ca="1">OFFSET('Data Entry'!$A$1,Printouts!D$15,Printouts!$B37)</f>
        <v>0</v>
      </c>
      <c r="E37" s="97">
        <f ca="1">OFFSET('Data Entry'!$A$1,Printouts!E$15,Printouts!$B37)</f>
        <v>1</v>
      </c>
      <c r="F37" s="103">
        <f ca="1">OFFSET('Data Entry'!$A$1,Printouts!F$15,Printouts!$B37)</f>
        <v>0</v>
      </c>
      <c r="G37" s="106" t="str">
        <f ca="1">OFFSET('Data Entry'!$A$1,Printouts!G$15,Printouts!$B37)</f>
        <v>Assessment 5</v>
      </c>
      <c r="H37" s="127">
        <f ca="1">OFFSET('Data Entry'!$A$1,Printouts!H$15,Printouts!$B37)</f>
        <v>0</v>
      </c>
      <c r="I37" s="127">
        <f ca="1">OFFSET('Data Entry'!$A$1,Printouts!I$15,Printouts!$B37)</f>
        <v>0</v>
      </c>
      <c r="J37" s="127">
        <f ca="1">OFFSET('Data Entry'!$A$1,Printouts!J$15,Printouts!$B37)</f>
        <v>0</v>
      </c>
      <c r="K37" s="127">
        <f ca="1">OFFSET('Data Entry'!$A$1,Printouts!K$15,Printouts!$B37)</f>
        <v>0</v>
      </c>
      <c r="L37" s="127">
        <f ca="1">OFFSET('Data Entry'!$A$1,Printouts!L$15,Printouts!$B37)</f>
        <v>0</v>
      </c>
      <c r="M37" s="127">
        <f ca="1">OFFSET('Data Entry'!$A$1,Printouts!M$15,Printouts!$B37)</f>
        <v>0</v>
      </c>
      <c r="N37" s="127">
        <f ca="1">OFFSET('Data Entry'!$A$1,Printouts!N$15,Printouts!$B37)</f>
        <v>0</v>
      </c>
      <c r="O37" s="127">
        <f ca="1">OFFSET('Data Entry'!$A$1,Printouts!O$15,Printouts!$B37)</f>
        <v>0</v>
      </c>
      <c r="P37" s="127">
        <f ca="1">OFFSET('Data Entry'!$A$1,Printouts!P$15,Printouts!$B37)</f>
        <v>0</v>
      </c>
      <c r="Q37" s="127">
        <f ca="1">OFFSET('Data Entry'!$A$1,Printouts!Q$15,Printouts!$B37)</f>
        <v>0</v>
      </c>
    </row>
    <row r="38" spans="2:17" x14ac:dyDescent="0.25">
      <c r="B38">
        <f t="shared" si="2"/>
        <v>27</v>
      </c>
      <c r="C38" s="101">
        <f ca="1">OFFSET('Data Entry'!$A$1,Printouts!C$15,Printouts!$B38)</f>
        <v>0</v>
      </c>
      <c r="D38" s="96">
        <f ca="1">OFFSET('Data Entry'!$A$1,Printouts!D$15,Printouts!$B38)</f>
        <v>0</v>
      </c>
      <c r="E38" s="97">
        <f ca="1">OFFSET('Data Entry'!$A$1,Printouts!E$15,Printouts!$B38)</f>
        <v>1</v>
      </c>
      <c r="F38" s="103">
        <f ca="1">OFFSET('Data Entry'!$A$1,Printouts!F$15,Printouts!$B38)</f>
        <v>0</v>
      </c>
      <c r="G38" s="106" t="str">
        <f ca="1">OFFSET('Data Entry'!$A$1,Printouts!G$15,Printouts!$B38)</f>
        <v>Assessment 6</v>
      </c>
      <c r="H38" s="127">
        <f ca="1">OFFSET('Data Entry'!$A$1,Printouts!H$15,Printouts!$B38)</f>
        <v>0</v>
      </c>
      <c r="I38" s="127">
        <f ca="1">OFFSET('Data Entry'!$A$1,Printouts!I$15,Printouts!$B38)</f>
        <v>0</v>
      </c>
      <c r="J38" s="127">
        <f ca="1">OFFSET('Data Entry'!$A$1,Printouts!J$15,Printouts!$B38)</f>
        <v>0</v>
      </c>
      <c r="K38" s="127">
        <f ca="1">OFFSET('Data Entry'!$A$1,Printouts!K$15,Printouts!$B38)</f>
        <v>0</v>
      </c>
      <c r="L38" s="127">
        <f ca="1">OFFSET('Data Entry'!$A$1,Printouts!L$15,Printouts!$B38)</f>
        <v>0</v>
      </c>
      <c r="M38" s="127">
        <f ca="1">OFFSET('Data Entry'!$A$1,Printouts!M$15,Printouts!$B38)</f>
        <v>0</v>
      </c>
      <c r="N38" s="127">
        <f ca="1">OFFSET('Data Entry'!$A$1,Printouts!N$15,Printouts!$B38)</f>
        <v>0</v>
      </c>
      <c r="O38" s="127">
        <f ca="1">OFFSET('Data Entry'!$A$1,Printouts!O$15,Printouts!$B38)</f>
        <v>0</v>
      </c>
      <c r="P38" s="127">
        <f ca="1">OFFSET('Data Entry'!$A$1,Printouts!P$15,Printouts!$B38)</f>
        <v>0</v>
      </c>
      <c r="Q38" s="127">
        <f ca="1">OFFSET('Data Entry'!$A$1,Printouts!Q$15,Printouts!$B38)</f>
        <v>0</v>
      </c>
    </row>
  </sheetData>
  <mergeCells count="11">
    <mergeCell ref="C25:F25"/>
    <mergeCell ref="C26:F26"/>
    <mergeCell ref="C27:F27"/>
    <mergeCell ref="C16:G16"/>
    <mergeCell ref="C19:G19"/>
    <mergeCell ref="C24:F24"/>
    <mergeCell ref="C9:G9"/>
    <mergeCell ref="C12:G12"/>
    <mergeCell ref="C21:F21"/>
    <mergeCell ref="C22:F22"/>
    <mergeCell ref="C23:F23"/>
  </mergeCells>
  <printOptions horizontalCentered="1"/>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ND40"/>
  <sheetViews>
    <sheetView zoomScaleNormal="100" workbookViewId="0">
      <pane xSplit="3" ySplit="1" topLeftCell="D2" activePane="bottomRight" state="frozen"/>
      <selection activeCell="I22" sqref="I22"/>
      <selection pane="topRight" activeCell="I22" sqref="I22"/>
      <selection pane="bottomLeft" activeCell="I22" sqref="I22"/>
      <selection pane="bottomRight" activeCell="D2" sqref="D2"/>
    </sheetView>
  </sheetViews>
  <sheetFormatPr defaultColWidth="4.140625" defaultRowHeight="14.25" x14ac:dyDescent="0.2"/>
  <cols>
    <col min="1" max="1" width="20.28515625" style="8" customWidth="1"/>
    <col min="2" max="3" width="5.7109375" style="8" customWidth="1"/>
    <col min="4" max="303" width="4.140625" style="8"/>
    <col min="304" max="304" width="4.140625" style="8" customWidth="1"/>
    <col min="305" max="16384" width="4.140625" style="8"/>
  </cols>
  <sheetData>
    <row r="1" spans="1:368" s="27" customFormat="1" ht="70.5" customHeight="1" x14ac:dyDescent="0.25">
      <c r="A1" t="s">
        <v>435</v>
      </c>
      <c r="B1" s="140" t="s">
        <v>10</v>
      </c>
      <c r="C1" s="141" t="s">
        <v>445</v>
      </c>
      <c r="D1" s="139" t="s">
        <v>434</v>
      </c>
      <c r="E1" s="139" t="s">
        <v>433</v>
      </c>
      <c r="F1" s="139" t="s">
        <v>432</v>
      </c>
      <c r="G1" s="139" t="s">
        <v>431</v>
      </c>
      <c r="H1" s="139" t="s">
        <v>430</v>
      </c>
      <c r="I1" s="139" t="s">
        <v>429</v>
      </c>
      <c r="J1" s="139" t="s">
        <v>428</v>
      </c>
      <c r="K1" s="139" t="s">
        <v>427</v>
      </c>
      <c r="L1" s="139" t="s">
        <v>426</v>
      </c>
      <c r="M1" s="139" t="s">
        <v>425</v>
      </c>
      <c r="N1" s="139" t="s">
        <v>424</v>
      </c>
      <c r="O1" s="139" t="s">
        <v>423</v>
      </c>
      <c r="P1" s="139" t="s">
        <v>422</v>
      </c>
      <c r="Q1" s="139" t="s">
        <v>421</v>
      </c>
      <c r="R1" s="139" t="s">
        <v>420</v>
      </c>
      <c r="S1" s="139" t="s">
        <v>419</v>
      </c>
      <c r="T1" s="139" t="s">
        <v>418</v>
      </c>
      <c r="U1" s="139" t="s">
        <v>417</v>
      </c>
      <c r="V1" s="139" t="s">
        <v>416</v>
      </c>
      <c r="W1" s="139" t="s">
        <v>415</v>
      </c>
      <c r="X1" s="139" t="s">
        <v>414</v>
      </c>
      <c r="Y1" s="139" t="s">
        <v>413</v>
      </c>
      <c r="Z1" s="139" t="s">
        <v>412</v>
      </c>
      <c r="AA1" s="139" t="s">
        <v>411</v>
      </c>
      <c r="AB1" s="139" t="s">
        <v>410</v>
      </c>
      <c r="AC1" s="139" t="s">
        <v>409</v>
      </c>
      <c r="AD1" s="139" t="s">
        <v>408</v>
      </c>
      <c r="AE1" s="139" t="s">
        <v>407</v>
      </c>
      <c r="AF1" s="139" t="s">
        <v>406</v>
      </c>
      <c r="AG1" s="139" t="s">
        <v>405</v>
      </c>
      <c r="AH1" s="139" t="s">
        <v>404</v>
      </c>
      <c r="AI1" s="139" t="s">
        <v>403</v>
      </c>
      <c r="AJ1" s="139" t="s">
        <v>402</v>
      </c>
      <c r="AK1" s="139" t="s">
        <v>401</v>
      </c>
      <c r="AL1" s="139" t="s">
        <v>400</v>
      </c>
      <c r="AM1" s="139" t="s">
        <v>399</v>
      </c>
      <c r="AN1" s="139" t="s">
        <v>398</v>
      </c>
      <c r="AO1" s="139" t="s">
        <v>397</v>
      </c>
      <c r="AP1" s="139" t="s">
        <v>396</v>
      </c>
      <c r="AQ1" s="139" t="s">
        <v>395</v>
      </c>
      <c r="AR1" s="139" t="s">
        <v>394</v>
      </c>
      <c r="AS1" s="139" t="s">
        <v>393</v>
      </c>
      <c r="AT1" s="139" t="s">
        <v>392</v>
      </c>
      <c r="AU1" s="139" t="s">
        <v>391</v>
      </c>
      <c r="AV1" s="139" t="s">
        <v>390</v>
      </c>
      <c r="AW1" s="139" t="s">
        <v>389</v>
      </c>
      <c r="AX1" s="139" t="s">
        <v>388</v>
      </c>
      <c r="AY1" s="139" t="s">
        <v>387</v>
      </c>
      <c r="AZ1" s="139" t="s">
        <v>386</v>
      </c>
      <c r="BA1" s="139" t="s">
        <v>385</v>
      </c>
      <c r="BB1" s="139" t="s">
        <v>384</v>
      </c>
      <c r="BC1" s="139" t="s">
        <v>383</v>
      </c>
      <c r="BD1" s="139" t="s">
        <v>382</v>
      </c>
      <c r="BE1" s="139" t="s">
        <v>381</v>
      </c>
      <c r="BF1" s="139" t="s">
        <v>380</v>
      </c>
      <c r="BG1" s="139" t="s">
        <v>379</v>
      </c>
      <c r="BH1" s="139" t="s">
        <v>378</v>
      </c>
      <c r="BI1" s="139" t="s">
        <v>377</v>
      </c>
      <c r="BJ1" s="139" t="s">
        <v>376</v>
      </c>
      <c r="BK1" s="139" t="s">
        <v>375</v>
      </c>
      <c r="BL1" s="139" t="s">
        <v>374</v>
      </c>
      <c r="BM1" s="139" t="s">
        <v>373</v>
      </c>
      <c r="BN1" s="139" t="s">
        <v>372</v>
      </c>
      <c r="BO1" s="139" t="s">
        <v>371</v>
      </c>
      <c r="BP1" s="139" t="s">
        <v>370</v>
      </c>
      <c r="BQ1" s="139" t="s">
        <v>369</v>
      </c>
      <c r="BR1" s="139" t="s">
        <v>368</v>
      </c>
      <c r="BS1" s="139" t="s">
        <v>367</v>
      </c>
      <c r="BT1" s="139" t="s">
        <v>366</v>
      </c>
      <c r="BU1" s="139" t="s">
        <v>365</v>
      </c>
      <c r="BV1" s="139" t="s">
        <v>364</v>
      </c>
      <c r="BW1" s="139" t="s">
        <v>363</v>
      </c>
      <c r="BX1" s="139" t="s">
        <v>362</v>
      </c>
      <c r="BY1" s="139" t="s">
        <v>361</v>
      </c>
      <c r="BZ1" s="139" t="s">
        <v>360</v>
      </c>
      <c r="CA1" s="139" t="s">
        <v>359</v>
      </c>
      <c r="CB1" s="139" t="s">
        <v>358</v>
      </c>
      <c r="CC1" s="139" t="s">
        <v>357</v>
      </c>
      <c r="CD1" s="139" t="s">
        <v>356</v>
      </c>
      <c r="CE1" s="139" t="s">
        <v>355</v>
      </c>
      <c r="CF1" s="139" t="s">
        <v>354</v>
      </c>
      <c r="CG1" s="139" t="s">
        <v>353</v>
      </c>
      <c r="CH1" s="139" t="s">
        <v>352</v>
      </c>
      <c r="CI1" s="139" t="s">
        <v>351</v>
      </c>
      <c r="CJ1" s="139" t="s">
        <v>350</v>
      </c>
      <c r="CK1" s="139" t="s">
        <v>349</v>
      </c>
      <c r="CL1" s="139" t="s">
        <v>348</v>
      </c>
      <c r="CM1" s="139" t="s">
        <v>347</v>
      </c>
      <c r="CN1" s="139" t="s">
        <v>346</v>
      </c>
      <c r="CO1" s="139" t="s">
        <v>345</v>
      </c>
      <c r="CP1" s="139" t="s">
        <v>344</v>
      </c>
      <c r="CQ1" s="139" t="s">
        <v>343</v>
      </c>
      <c r="CR1" s="139" t="s">
        <v>342</v>
      </c>
      <c r="CS1" s="139" t="s">
        <v>341</v>
      </c>
      <c r="CT1" s="139" t="s">
        <v>340</v>
      </c>
      <c r="CU1" s="139" t="s">
        <v>339</v>
      </c>
      <c r="CV1" s="139" t="s">
        <v>338</v>
      </c>
      <c r="CW1" s="139" t="s">
        <v>337</v>
      </c>
      <c r="CX1" s="139" t="s">
        <v>336</v>
      </c>
      <c r="CY1" s="139" t="s">
        <v>335</v>
      </c>
      <c r="CZ1" s="139" t="s">
        <v>334</v>
      </c>
      <c r="DA1" s="139" t="s">
        <v>333</v>
      </c>
      <c r="DB1" s="139" t="s">
        <v>332</v>
      </c>
      <c r="DC1" s="139" t="s">
        <v>331</v>
      </c>
      <c r="DD1" s="139" t="s">
        <v>330</v>
      </c>
      <c r="DE1" s="139" t="s">
        <v>329</v>
      </c>
      <c r="DF1" s="139" t="s">
        <v>328</v>
      </c>
      <c r="DG1" s="139" t="s">
        <v>327</v>
      </c>
      <c r="DH1" s="139" t="s">
        <v>326</v>
      </c>
      <c r="DI1" s="139" t="s">
        <v>325</v>
      </c>
      <c r="DJ1" s="139" t="s">
        <v>324</v>
      </c>
      <c r="DK1" s="139" t="s">
        <v>323</v>
      </c>
      <c r="DL1" s="139" t="s">
        <v>322</v>
      </c>
      <c r="DM1" s="139" t="s">
        <v>321</v>
      </c>
      <c r="DN1" s="139" t="s">
        <v>320</v>
      </c>
      <c r="DO1" s="139" t="s">
        <v>319</v>
      </c>
      <c r="DP1" s="139" t="s">
        <v>318</v>
      </c>
      <c r="DQ1" s="139" t="s">
        <v>317</v>
      </c>
      <c r="DR1" s="139" t="s">
        <v>316</v>
      </c>
      <c r="DS1" s="139" t="s">
        <v>315</v>
      </c>
      <c r="DT1" s="139" t="s">
        <v>314</v>
      </c>
      <c r="DU1" s="139" t="s">
        <v>313</v>
      </c>
      <c r="DV1" s="139" t="s">
        <v>312</v>
      </c>
      <c r="DW1" s="139" t="s">
        <v>311</v>
      </c>
      <c r="DX1" s="139" t="s">
        <v>310</v>
      </c>
      <c r="DY1" s="139" t="s">
        <v>309</v>
      </c>
      <c r="DZ1" s="139" t="s">
        <v>308</v>
      </c>
      <c r="EA1" s="139" t="s">
        <v>307</v>
      </c>
      <c r="EB1" s="139" t="s">
        <v>306</v>
      </c>
      <c r="EC1" s="139" t="s">
        <v>305</v>
      </c>
      <c r="ED1" s="139" t="s">
        <v>304</v>
      </c>
      <c r="EE1" s="139" t="s">
        <v>303</v>
      </c>
      <c r="EF1" s="139" t="s">
        <v>302</v>
      </c>
      <c r="EG1" s="139" t="s">
        <v>301</v>
      </c>
      <c r="EH1" s="139" t="s">
        <v>300</v>
      </c>
      <c r="EI1" s="139" t="s">
        <v>299</v>
      </c>
      <c r="EJ1" s="139" t="s">
        <v>298</v>
      </c>
      <c r="EK1" s="139" t="s">
        <v>297</v>
      </c>
      <c r="EL1" s="139" t="s">
        <v>296</v>
      </c>
      <c r="EM1" s="139" t="s">
        <v>295</v>
      </c>
      <c r="EN1" s="139" t="s">
        <v>294</v>
      </c>
      <c r="EO1" s="139" t="s">
        <v>293</v>
      </c>
      <c r="EP1" s="139" t="s">
        <v>292</v>
      </c>
      <c r="EQ1" s="139" t="s">
        <v>291</v>
      </c>
      <c r="ER1" s="139" t="s">
        <v>290</v>
      </c>
      <c r="ES1" s="139" t="s">
        <v>289</v>
      </c>
      <c r="ET1" s="139" t="s">
        <v>288</v>
      </c>
      <c r="EU1" s="139" t="s">
        <v>287</v>
      </c>
      <c r="EV1" s="139" t="s">
        <v>286</v>
      </c>
      <c r="EW1" s="139" t="s">
        <v>285</v>
      </c>
      <c r="EX1" s="139" t="s">
        <v>284</v>
      </c>
      <c r="EY1" s="139" t="s">
        <v>283</v>
      </c>
      <c r="EZ1" s="139" t="s">
        <v>282</v>
      </c>
      <c r="FA1" s="139" t="s">
        <v>281</v>
      </c>
      <c r="FB1" s="139" t="s">
        <v>280</v>
      </c>
      <c r="FC1" s="139" t="s">
        <v>279</v>
      </c>
      <c r="FD1" s="139" t="s">
        <v>278</v>
      </c>
      <c r="FE1" s="139" t="s">
        <v>277</v>
      </c>
      <c r="FF1" s="139" t="s">
        <v>276</v>
      </c>
      <c r="FG1" s="139" t="s">
        <v>275</v>
      </c>
      <c r="FH1" s="139" t="s">
        <v>274</v>
      </c>
      <c r="FI1" s="139" t="s">
        <v>273</v>
      </c>
      <c r="FJ1" s="139" t="s">
        <v>272</v>
      </c>
      <c r="FK1" s="139" t="s">
        <v>271</v>
      </c>
      <c r="FL1" s="139" t="s">
        <v>270</v>
      </c>
      <c r="FM1" s="139" t="s">
        <v>269</v>
      </c>
      <c r="FN1" s="139" t="s">
        <v>268</v>
      </c>
      <c r="FO1" s="139" t="s">
        <v>267</v>
      </c>
      <c r="FP1" s="139" t="s">
        <v>266</v>
      </c>
      <c r="FQ1" s="139" t="s">
        <v>265</v>
      </c>
      <c r="FR1" s="139" t="s">
        <v>264</v>
      </c>
      <c r="FS1" s="139" t="s">
        <v>263</v>
      </c>
      <c r="FT1" s="139" t="s">
        <v>262</v>
      </c>
      <c r="FU1" s="139" t="s">
        <v>261</v>
      </c>
      <c r="FV1" s="139" t="s">
        <v>260</v>
      </c>
      <c r="FW1" s="139" t="s">
        <v>259</v>
      </c>
      <c r="FX1" s="139" t="s">
        <v>258</v>
      </c>
      <c r="FY1" s="139" t="s">
        <v>257</v>
      </c>
      <c r="FZ1" s="139" t="s">
        <v>256</v>
      </c>
      <c r="GA1" s="139" t="s">
        <v>255</v>
      </c>
      <c r="GB1" s="139" t="s">
        <v>254</v>
      </c>
      <c r="GC1" s="139" t="s">
        <v>253</v>
      </c>
      <c r="GD1" s="139" t="s">
        <v>252</v>
      </c>
      <c r="GE1" s="139" t="s">
        <v>251</v>
      </c>
      <c r="GF1" s="139" t="s">
        <v>250</v>
      </c>
      <c r="GG1" s="139" t="s">
        <v>249</v>
      </c>
      <c r="GH1" s="139" t="s">
        <v>248</v>
      </c>
      <c r="GI1" s="139" t="s">
        <v>247</v>
      </c>
      <c r="GJ1" s="139" t="s">
        <v>246</v>
      </c>
      <c r="GK1" s="139" t="s">
        <v>245</v>
      </c>
      <c r="GL1" s="139" t="s">
        <v>244</v>
      </c>
      <c r="GM1" s="139" t="s">
        <v>243</v>
      </c>
      <c r="GN1" s="139" t="s">
        <v>242</v>
      </c>
      <c r="GO1" s="139" t="s">
        <v>241</v>
      </c>
      <c r="GP1" s="139" t="s">
        <v>240</v>
      </c>
      <c r="GQ1" s="139" t="s">
        <v>239</v>
      </c>
      <c r="GR1" s="139" t="s">
        <v>238</v>
      </c>
      <c r="GS1" s="139" t="s">
        <v>237</v>
      </c>
      <c r="GT1" s="139" t="s">
        <v>236</v>
      </c>
      <c r="GU1" s="139" t="s">
        <v>235</v>
      </c>
      <c r="GV1" s="139" t="s">
        <v>234</v>
      </c>
      <c r="GW1" s="139" t="s">
        <v>233</v>
      </c>
      <c r="GX1" s="139" t="s">
        <v>232</v>
      </c>
      <c r="GY1" s="139" t="s">
        <v>231</v>
      </c>
      <c r="GZ1" s="139" t="s">
        <v>230</v>
      </c>
      <c r="HA1" s="139" t="s">
        <v>229</v>
      </c>
      <c r="HB1" s="139" t="s">
        <v>228</v>
      </c>
      <c r="HC1" s="139" t="s">
        <v>227</v>
      </c>
      <c r="HD1" s="139" t="s">
        <v>226</v>
      </c>
      <c r="HE1" s="139" t="s">
        <v>225</v>
      </c>
      <c r="HF1" s="139" t="s">
        <v>224</v>
      </c>
      <c r="HG1" s="139" t="s">
        <v>223</v>
      </c>
      <c r="HH1" s="139" t="s">
        <v>222</v>
      </c>
      <c r="HI1" s="139" t="s">
        <v>221</v>
      </c>
      <c r="HJ1" s="139" t="s">
        <v>220</v>
      </c>
      <c r="HK1" s="139" t="s">
        <v>219</v>
      </c>
      <c r="HL1" s="139" t="s">
        <v>218</v>
      </c>
      <c r="HM1" s="139" t="s">
        <v>217</v>
      </c>
      <c r="HN1" s="139" t="s">
        <v>216</v>
      </c>
      <c r="HO1" s="139" t="s">
        <v>215</v>
      </c>
      <c r="HP1" s="139" t="s">
        <v>214</v>
      </c>
      <c r="HQ1" s="139" t="s">
        <v>213</v>
      </c>
      <c r="HR1" s="139" t="s">
        <v>212</v>
      </c>
      <c r="HS1" s="139" t="s">
        <v>211</v>
      </c>
      <c r="HT1" s="139" t="s">
        <v>210</v>
      </c>
      <c r="HU1" s="139" t="s">
        <v>209</v>
      </c>
      <c r="HV1" s="139" t="s">
        <v>208</v>
      </c>
      <c r="HW1" s="139" t="s">
        <v>207</v>
      </c>
      <c r="HX1" s="139" t="s">
        <v>206</v>
      </c>
      <c r="HY1" s="139" t="s">
        <v>205</v>
      </c>
      <c r="HZ1" s="139" t="s">
        <v>204</v>
      </c>
      <c r="IA1" s="139" t="s">
        <v>203</v>
      </c>
      <c r="IB1" s="139" t="s">
        <v>202</v>
      </c>
      <c r="IC1" s="139" t="s">
        <v>201</v>
      </c>
      <c r="ID1" s="139" t="s">
        <v>200</v>
      </c>
      <c r="IE1" s="139" t="s">
        <v>199</v>
      </c>
      <c r="IF1" s="139" t="s">
        <v>198</v>
      </c>
      <c r="IG1" s="139" t="s">
        <v>197</v>
      </c>
      <c r="IH1" s="139" t="s">
        <v>196</v>
      </c>
      <c r="II1" s="139" t="s">
        <v>195</v>
      </c>
      <c r="IJ1" s="139" t="s">
        <v>194</v>
      </c>
      <c r="IK1" s="139" t="s">
        <v>193</v>
      </c>
      <c r="IL1" s="139" t="s">
        <v>192</v>
      </c>
      <c r="IM1" s="139" t="s">
        <v>191</v>
      </c>
      <c r="IN1" s="139" t="s">
        <v>190</v>
      </c>
      <c r="IO1" s="139" t="s">
        <v>189</v>
      </c>
      <c r="IP1" s="139" t="s">
        <v>188</v>
      </c>
      <c r="IQ1" s="139" t="s">
        <v>187</v>
      </c>
      <c r="IR1" s="139" t="s">
        <v>186</v>
      </c>
      <c r="IS1" s="139" t="s">
        <v>185</v>
      </c>
      <c r="IT1" s="139" t="s">
        <v>184</v>
      </c>
      <c r="IU1" s="139" t="s">
        <v>183</v>
      </c>
      <c r="IV1" s="139" t="s">
        <v>182</v>
      </c>
      <c r="IW1" s="139" t="s">
        <v>181</v>
      </c>
      <c r="IX1" s="139" t="s">
        <v>180</v>
      </c>
      <c r="IY1" s="139" t="s">
        <v>179</v>
      </c>
      <c r="IZ1" s="139" t="s">
        <v>178</v>
      </c>
      <c r="JA1" s="139" t="s">
        <v>177</v>
      </c>
      <c r="JB1" s="139" t="s">
        <v>176</v>
      </c>
      <c r="JC1" s="139" t="s">
        <v>175</v>
      </c>
      <c r="JD1" s="139" t="s">
        <v>174</v>
      </c>
      <c r="JE1" s="139" t="s">
        <v>173</v>
      </c>
      <c r="JF1" s="139" t="s">
        <v>172</v>
      </c>
      <c r="JG1" s="139" t="s">
        <v>171</v>
      </c>
      <c r="JH1" s="139" t="s">
        <v>170</v>
      </c>
      <c r="JI1" s="139" t="s">
        <v>169</v>
      </c>
      <c r="JJ1" s="139" t="s">
        <v>168</v>
      </c>
      <c r="JK1" s="139" t="s">
        <v>167</v>
      </c>
      <c r="JL1" s="139" t="s">
        <v>166</v>
      </c>
      <c r="JM1" s="139" t="s">
        <v>165</v>
      </c>
      <c r="JN1" s="139" t="s">
        <v>164</v>
      </c>
      <c r="JO1" s="139" t="s">
        <v>163</v>
      </c>
      <c r="JP1" s="139" t="s">
        <v>162</v>
      </c>
      <c r="JQ1" s="139" t="s">
        <v>161</v>
      </c>
      <c r="JR1" s="139" t="s">
        <v>160</v>
      </c>
      <c r="JS1" s="139" t="s">
        <v>159</v>
      </c>
      <c r="JT1" s="139" t="s">
        <v>158</v>
      </c>
      <c r="JU1" s="139" t="s">
        <v>157</v>
      </c>
      <c r="JV1" s="139" t="s">
        <v>156</v>
      </c>
      <c r="JW1" s="139" t="s">
        <v>155</v>
      </c>
      <c r="JX1" s="139" t="s">
        <v>154</v>
      </c>
      <c r="JY1" s="139" t="s">
        <v>153</v>
      </c>
      <c r="JZ1" s="139" t="s">
        <v>152</v>
      </c>
      <c r="KA1" s="139" t="s">
        <v>151</v>
      </c>
      <c r="KB1" s="139" t="s">
        <v>150</v>
      </c>
      <c r="KC1" s="139" t="s">
        <v>149</v>
      </c>
      <c r="KD1" s="139" t="s">
        <v>148</v>
      </c>
      <c r="KE1" s="139" t="s">
        <v>147</v>
      </c>
      <c r="KF1" s="139" t="s">
        <v>146</v>
      </c>
      <c r="KG1" s="139" t="s">
        <v>145</v>
      </c>
      <c r="KH1" s="139" t="s">
        <v>144</v>
      </c>
      <c r="KI1" s="139" t="s">
        <v>143</v>
      </c>
      <c r="KJ1" s="139" t="s">
        <v>142</v>
      </c>
      <c r="KK1" s="139" t="s">
        <v>141</v>
      </c>
      <c r="KL1" s="139" t="s">
        <v>140</v>
      </c>
      <c r="KM1" s="139" t="s">
        <v>139</v>
      </c>
      <c r="KN1" s="139" t="s">
        <v>138</v>
      </c>
      <c r="KO1" s="139" t="s">
        <v>137</v>
      </c>
      <c r="KP1" s="139" t="s">
        <v>136</v>
      </c>
      <c r="KQ1" s="139" t="s">
        <v>135</v>
      </c>
      <c r="KR1" s="139" t="s">
        <v>134</v>
      </c>
      <c r="KS1" s="139" t="s">
        <v>133</v>
      </c>
      <c r="KT1" s="139" t="s">
        <v>132</v>
      </c>
      <c r="KU1" s="139" t="s">
        <v>131</v>
      </c>
      <c r="KV1" s="139" t="s">
        <v>130</v>
      </c>
      <c r="KW1" s="139" t="s">
        <v>129</v>
      </c>
      <c r="KX1" s="139" t="s">
        <v>128</v>
      </c>
      <c r="KY1" s="139" t="s">
        <v>127</v>
      </c>
      <c r="KZ1" s="139" t="s">
        <v>126</v>
      </c>
      <c r="LA1" s="139" t="s">
        <v>125</v>
      </c>
      <c r="LB1" s="139" t="s">
        <v>124</v>
      </c>
      <c r="LC1" s="139" t="s">
        <v>123</v>
      </c>
      <c r="LD1" s="139" t="s">
        <v>122</v>
      </c>
      <c r="LE1" s="139" t="s">
        <v>121</v>
      </c>
      <c r="LF1" s="139" t="s">
        <v>120</v>
      </c>
      <c r="LG1" s="139" t="s">
        <v>119</v>
      </c>
      <c r="LH1" s="139" t="s">
        <v>118</v>
      </c>
      <c r="LI1" s="139" t="s">
        <v>117</v>
      </c>
      <c r="LJ1" s="139" t="s">
        <v>116</v>
      </c>
      <c r="LK1" s="139" t="s">
        <v>115</v>
      </c>
      <c r="LL1" s="139" t="s">
        <v>114</v>
      </c>
      <c r="LM1" s="139" t="s">
        <v>113</v>
      </c>
      <c r="LN1" s="139" t="s">
        <v>112</v>
      </c>
      <c r="LO1" s="139" t="s">
        <v>111</v>
      </c>
      <c r="LP1" s="139" t="s">
        <v>110</v>
      </c>
      <c r="LQ1" s="139" t="s">
        <v>109</v>
      </c>
      <c r="LR1" s="139" t="s">
        <v>108</v>
      </c>
      <c r="LS1" s="139" t="s">
        <v>107</v>
      </c>
      <c r="LT1" s="139" t="s">
        <v>106</v>
      </c>
      <c r="LU1" s="139" t="s">
        <v>105</v>
      </c>
      <c r="LV1" s="139" t="s">
        <v>104</v>
      </c>
      <c r="LW1" s="139" t="s">
        <v>103</v>
      </c>
      <c r="LX1" s="139" t="s">
        <v>102</v>
      </c>
      <c r="LY1" s="139" t="s">
        <v>101</v>
      </c>
      <c r="LZ1" s="139" t="s">
        <v>100</v>
      </c>
      <c r="MA1" s="139" t="s">
        <v>99</v>
      </c>
      <c r="MB1" s="139" t="s">
        <v>98</v>
      </c>
      <c r="MC1" s="139" t="s">
        <v>97</v>
      </c>
      <c r="MD1" s="139" t="s">
        <v>96</v>
      </c>
      <c r="ME1" s="139" t="s">
        <v>95</v>
      </c>
      <c r="MF1" s="139" t="s">
        <v>94</v>
      </c>
      <c r="MG1" s="139" t="s">
        <v>93</v>
      </c>
      <c r="MH1" s="139" t="s">
        <v>92</v>
      </c>
      <c r="MI1" s="139" t="s">
        <v>91</v>
      </c>
      <c r="MJ1" s="139" t="s">
        <v>90</v>
      </c>
      <c r="MK1" s="139" t="s">
        <v>89</v>
      </c>
      <c r="ML1" s="139" t="s">
        <v>88</v>
      </c>
      <c r="MM1" s="139" t="s">
        <v>87</v>
      </c>
      <c r="MN1" s="139" t="s">
        <v>86</v>
      </c>
      <c r="MO1" s="139" t="s">
        <v>85</v>
      </c>
      <c r="MP1" s="139" t="s">
        <v>84</v>
      </c>
      <c r="MQ1" s="139" t="s">
        <v>83</v>
      </c>
      <c r="MR1" s="139" t="s">
        <v>82</v>
      </c>
      <c r="MS1" s="139" t="s">
        <v>81</v>
      </c>
      <c r="MT1" s="139" t="s">
        <v>80</v>
      </c>
      <c r="MU1" s="139" t="s">
        <v>79</v>
      </c>
      <c r="MV1" s="139" t="s">
        <v>78</v>
      </c>
      <c r="MW1" s="139" t="s">
        <v>77</v>
      </c>
      <c r="MX1" s="139" t="s">
        <v>76</v>
      </c>
      <c r="MY1" s="139" t="s">
        <v>75</v>
      </c>
      <c r="MZ1" s="139" t="s">
        <v>74</v>
      </c>
      <c r="NA1" s="139" t="s">
        <v>73</v>
      </c>
      <c r="NB1" s="139" t="s">
        <v>72</v>
      </c>
      <c r="NC1" s="139" t="s">
        <v>71</v>
      </c>
      <c r="ND1" s="139" t="s">
        <v>70</v>
      </c>
    </row>
    <row r="2" spans="1:368" s="28" customFormat="1" ht="15" x14ac:dyDescent="0.25">
      <c r="A2" t="s">
        <v>37</v>
      </c>
      <c r="B2" s="142">
        <f t="shared" ref="B2:B11" si="0">COUNTIF($D2:$ND2,"A")</f>
        <v>1</v>
      </c>
      <c r="C2" s="143">
        <f t="shared" ref="C2:C11" si="1">COUNTIF($D2:$ND2,"L")</f>
        <v>0</v>
      </c>
      <c r="D2" s="95"/>
      <c r="E2" s="95" t="s">
        <v>69</v>
      </c>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5"/>
      <c r="DX2" s="95"/>
      <c r="DY2" s="95"/>
      <c r="DZ2" s="95"/>
      <c r="EA2" s="95"/>
      <c r="EB2" s="95"/>
      <c r="EC2" s="95"/>
      <c r="ED2" s="95"/>
      <c r="EE2" s="95"/>
      <c r="EF2" s="95"/>
      <c r="EG2" s="95"/>
      <c r="EH2" s="95"/>
      <c r="EI2" s="95"/>
      <c r="EJ2" s="95"/>
      <c r="EK2" s="95"/>
      <c r="EL2" s="95"/>
      <c r="EM2" s="95"/>
      <c r="EN2" s="95"/>
      <c r="EO2" s="95"/>
      <c r="EP2" s="95"/>
      <c r="EQ2" s="95"/>
      <c r="ER2" s="95"/>
      <c r="ES2" s="95"/>
      <c r="ET2" s="95"/>
      <c r="EU2" s="95"/>
      <c r="EV2" s="95"/>
      <c r="EW2" s="95"/>
      <c r="EX2" s="95"/>
      <c r="EY2" s="95"/>
      <c r="EZ2" s="95"/>
      <c r="FA2" s="95"/>
      <c r="FB2" s="95"/>
      <c r="FC2" s="95"/>
      <c r="FD2" s="95"/>
      <c r="FE2" s="95"/>
      <c r="FF2" s="95"/>
      <c r="FG2" s="95"/>
      <c r="FH2" s="95"/>
      <c r="FI2" s="95"/>
      <c r="FJ2" s="95"/>
      <c r="FK2" s="95"/>
      <c r="FL2" s="95"/>
      <c r="FM2" s="95"/>
      <c r="FN2" s="95"/>
      <c r="FO2" s="95"/>
      <c r="FP2" s="95"/>
      <c r="FQ2" s="95"/>
      <c r="FR2" s="95"/>
      <c r="FS2" s="95"/>
      <c r="FT2" s="95"/>
      <c r="FU2" s="95"/>
      <c r="FV2" s="95"/>
      <c r="FW2" s="95"/>
      <c r="FX2" s="95"/>
      <c r="FY2" s="95"/>
      <c r="FZ2" s="95"/>
      <c r="GA2" s="95"/>
      <c r="GB2" s="95"/>
      <c r="GC2" s="95"/>
      <c r="GD2" s="95"/>
      <c r="GE2" s="95"/>
      <c r="GF2" s="95"/>
      <c r="GG2" s="95"/>
      <c r="GH2" s="95"/>
      <c r="GI2" s="95"/>
      <c r="GJ2" s="95"/>
      <c r="GK2" s="95"/>
      <c r="GL2" s="95"/>
      <c r="GM2" s="95"/>
      <c r="GN2" s="95"/>
      <c r="GO2" s="95"/>
      <c r="GP2" s="95"/>
      <c r="GQ2" s="95"/>
      <c r="GR2" s="95"/>
      <c r="GS2" s="95"/>
      <c r="GT2" s="95"/>
      <c r="GU2" s="95"/>
      <c r="GV2" s="95"/>
      <c r="GW2" s="95"/>
      <c r="GX2" s="95"/>
      <c r="GY2" s="95"/>
      <c r="GZ2" s="95"/>
      <c r="HA2" s="95"/>
      <c r="HB2" s="95"/>
      <c r="HC2" s="95"/>
      <c r="HD2" s="95"/>
      <c r="HE2" s="95"/>
      <c r="HF2" s="95"/>
      <c r="HG2" s="95"/>
      <c r="HH2" s="95"/>
      <c r="HI2" s="95"/>
      <c r="HJ2" s="95"/>
      <c r="HK2" s="95"/>
      <c r="HL2" s="95"/>
      <c r="HM2" s="95"/>
      <c r="HN2" s="95"/>
      <c r="HO2" s="95"/>
      <c r="HP2" s="95"/>
      <c r="HQ2" s="95"/>
      <c r="HR2" s="95"/>
      <c r="HS2" s="95"/>
      <c r="HT2" s="95"/>
      <c r="HU2" s="95"/>
      <c r="HV2" s="95"/>
      <c r="HW2" s="95"/>
      <c r="HX2" s="95"/>
      <c r="HY2" s="95"/>
      <c r="HZ2" s="95"/>
      <c r="IA2" s="95"/>
      <c r="IB2" s="95"/>
      <c r="IC2" s="95"/>
      <c r="ID2" s="95"/>
      <c r="IE2" s="95"/>
      <c r="IF2" s="95"/>
      <c r="IG2" s="95"/>
      <c r="IH2" s="95"/>
      <c r="II2" s="95"/>
      <c r="IJ2" s="95"/>
      <c r="IK2" s="95"/>
      <c r="IL2" s="95"/>
      <c r="IM2" s="95"/>
      <c r="IN2" s="95"/>
      <c r="IO2" s="95"/>
      <c r="IP2" s="95"/>
      <c r="IQ2" s="95"/>
      <c r="IR2" s="95"/>
      <c r="IS2" s="95"/>
      <c r="IT2" s="95"/>
      <c r="IU2" s="95"/>
      <c r="IV2" s="95"/>
      <c r="IW2" s="95"/>
      <c r="IX2" s="95"/>
      <c r="IY2" s="95"/>
      <c r="IZ2" s="95"/>
      <c r="JA2" s="95"/>
      <c r="JB2" s="95"/>
      <c r="JC2" s="95"/>
      <c r="JD2" s="95"/>
      <c r="JE2" s="95"/>
      <c r="JF2" s="95"/>
      <c r="JG2" s="95"/>
      <c r="JH2" s="95"/>
      <c r="JI2" s="95"/>
      <c r="JJ2" s="95"/>
      <c r="JK2" s="95"/>
      <c r="JL2" s="95"/>
      <c r="JM2" s="95"/>
      <c r="JN2" s="95"/>
      <c r="JO2" s="95"/>
      <c r="JP2" s="95"/>
      <c r="JQ2" s="95"/>
      <c r="JR2" s="95"/>
      <c r="JS2" s="95"/>
      <c r="JT2" s="95"/>
      <c r="JU2" s="95"/>
      <c r="JV2" s="95"/>
      <c r="JW2" s="95"/>
      <c r="JX2" s="95"/>
      <c r="JY2" s="95"/>
      <c r="JZ2" s="95"/>
      <c r="KA2" s="95"/>
      <c r="KB2" s="95"/>
      <c r="KC2" s="95"/>
      <c r="KD2" s="95"/>
      <c r="KE2" s="95"/>
      <c r="KF2" s="95"/>
      <c r="KG2" s="95"/>
      <c r="KH2" s="95"/>
      <c r="KI2" s="95"/>
      <c r="KJ2" s="95"/>
      <c r="KK2" s="95"/>
      <c r="KL2" s="95"/>
      <c r="KM2" s="95"/>
      <c r="KN2" s="95"/>
      <c r="KO2" s="95"/>
      <c r="KP2" s="95"/>
      <c r="KQ2" s="95"/>
      <c r="KR2" s="95"/>
      <c r="KS2" s="95"/>
      <c r="KT2" s="95"/>
      <c r="KU2" s="95"/>
      <c r="KV2" s="95"/>
      <c r="KW2" s="95"/>
      <c r="KX2" s="95"/>
      <c r="KY2" s="95"/>
      <c r="KZ2" s="95"/>
      <c r="LA2" s="95"/>
      <c r="LB2" s="95"/>
      <c r="LC2" s="95"/>
      <c r="LD2" s="95"/>
      <c r="LE2" s="95"/>
      <c r="LF2" s="95"/>
      <c r="LG2" s="95"/>
      <c r="LH2" s="95"/>
      <c r="LI2" s="95"/>
      <c r="LJ2" s="95"/>
      <c r="LK2" s="95"/>
      <c r="LL2" s="95"/>
      <c r="LM2" s="95"/>
      <c r="LN2" s="95"/>
      <c r="LO2" s="95"/>
      <c r="LP2" s="95"/>
      <c r="LQ2" s="95"/>
      <c r="LR2" s="95"/>
      <c r="LS2" s="95"/>
      <c r="LT2" s="95"/>
      <c r="LU2" s="95"/>
      <c r="LV2" s="95"/>
      <c r="LW2" s="95"/>
      <c r="LX2" s="95"/>
      <c r="LY2" s="95"/>
      <c r="LZ2" s="95"/>
      <c r="MA2" s="95"/>
      <c r="MB2" s="95"/>
      <c r="MC2" s="95"/>
      <c r="MD2" s="95"/>
      <c r="ME2" s="95"/>
      <c r="MF2" s="95"/>
      <c r="MG2" s="95"/>
      <c r="MH2" s="95"/>
      <c r="MI2" s="95"/>
      <c r="MJ2" s="95"/>
      <c r="MK2" s="95"/>
      <c r="ML2" s="95"/>
      <c r="MM2" s="95"/>
      <c r="MN2" s="95"/>
      <c r="MO2" s="95"/>
      <c r="MP2" s="95"/>
      <c r="MQ2" s="95"/>
      <c r="MR2" s="95"/>
      <c r="MS2" s="95"/>
      <c r="MT2" s="95"/>
      <c r="MU2" s="95"/>
      <c r="MV2" s="95"/>
      <c r="MW2" s="95"/>
      <c r="MX2" s="95"/>
      <c r="MY2" s="95"/>
      <c r="MZ2" s="95"/>
      <c r="NA2" s="95"/>
      <c r="NB2" s="95"/>
      <c r="NC2" s="95"/>
      <c r="ND2" s="95"/>
    </row>
    <row r="3" spans="1:368" s="28" customFormat="1" ht="15" x14ac:dyDescent="0.25">
      <c r="A3" t="s">
        <v>38</v>
      </c>
      <c r="B3" s="142">
        <f t="shared" si="0"/>
        <v>0</v>
      </c>
      <c r="C3" s="143">
        <f t="shared" si="1"/>
        <v>1</v>
      </c>
      <c r="D3" s="95"/>
      <c r="E3" s="95"/>
      <c r="F3" s="95" t="s">
        <v>446</v>
      </c>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c r="BM3" s="95"/>
      <c r="BN3" s="95"/>
      <c r="BO3" s="95"/>
      <c r="BP3" s="95"/>
      <c r="BQ3" s="95"/>
      <c r="BR3" s="95"/>
      <c r="BS3" s="95"/>
      <c r="BT3" s="95"/>
      <c r="BU3" s="95"/>
      <c r="BV3" s="95"/>
      <c r="BW3" s="95"/>
      <c r="BX3" s="95"/>
      <c r="BY3" s="95"/>
      <c r="BZ3" s="95"/>
      <c r="CA3" s="95"/>
      <c r="CB3" s="95"/>
      <c r="CC3" s="95"/>
      <c r="CD3" s="95"/>
      <c r="CE3" s="95"/>
      <c r="CF3" s="95"/>
      <c r="CG3" s="95"/>
      <c r="CH3" s="95"/>
      <c r="CI3" s="95"/>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5"/>
      <c r="DX3" s="95"/>
      <c r="DY3" s="95"/>
      <c r="DZ3" s="95"/>
      <c r="EA3" s="95"/>
      <c r="EB3" s="95"/>
      <c r="EC3" s="95"/>
      <c r="ED3" s="95"/>
      <c r="EE3" s="95"/>
      <c r="EF3" s="95"/>
      <c r="EG3" s="95"/>
      <c r="EH3" s="95"/>
      <c r="EI3" s="95"/>
      <c r="EJ3" s="95"/>
      <c r="EK3" s="95"/>
      <c r="EL3" s="95"/>
      <c r="EM3" s="95"/>
      <c r="EN3" s="95"/>
      <c r="EO3" s="95"/>
      <c r="EP3" s="95"/>
      <c r="EQ3" s="95"/>
      <c r="ER3" s="95"/>
      <c r="ES3" s="95"/>
      <c r="ET3" s="95"/>
      <c r="EU3" s="95"/>
      <c r="EV3" s="95"/>
      <c r="EW3" s="95"/>
      <c r="EX3" s="95"/>
      <c r="EY3" s="95"/>
      <c r="EZ3" s="95"/>
      <c r="FA3" s="95"/>
      <c r="FB3" s="95"/>
      <c r="FC3" s="95"/>
      <c r="FD3" s="95"/>
      <c r="FE3" s="95"/>
      <c r="FF3" s="95"/>
      <c r="FG3" s="95"/>
      <c r="FH3" s="95"/>
      <c r="FI3" s="95"/>
      <c r="FJ3" s="95"/>
      <c r="FK3" s="95"/>
      <c r="FL3" s="95"/>
      <c r="FM3" s="95"/>
      <c r="FN3" s="95"/>
      <c r="FO3" s="95"/>
      <c r="FP3" s="95"/>
      <c r="FQ3" s="95"/>
      <c r="FR3" s="95"/>
      <c r="FS3" s="95"/>
      <c r="FT3" s="95"/>
      <c r="FU3" s="95"/>
      <c r="FV3" s="95"/>
      <c r="FW3" s="95"/>
      <c r="FX3" s="95"/>
      <c r="FY3" s="95"/>
      <c r="FZ3" s="95"/>
      <c r="GA3" s="95"/>
      <c r="GB3" s="95"/>
      <c r="GC3" s="95"/>
      <c r="GD3" s="95"/>
      <c r="GE3" s="95"/>
      <c r="GF3" s="95"/>
      <c r="GG3" s="95"/>
      <c r="GH3" s="95"/>
      <c r="GI3" s="95"/>
      <c r="GJ3" s="95"/>
      <c r="GK3" s="95"/>
      <c r="GL3" s="95"/>
      <c r="GM3" s="95"/>
      <c r="GN3" s="95"/>
      <c r="GO3" s="95"/>
      <c r="GP3" s="95"/>
      <c r="GQ3" s="95"/>
      <c r="GR3" s="95"/>
      <c r="GS3" s="95"/>
      <c r="GT3" s="95"/>
      <c r="GU3" s="95"/>
      <c r="GV3" s="95"/>
      <c r="GW3" s="95"/>
      <c r="GX3" s="95"/>
      <c r="GY3" s="95"/>
      <c r="GZ3" s="95"/>
      <c r="HA3" s="95"/>
      <c r="HB3" s="95"/>
      <c r="HC3" s="95"/>
      <c r="HD3" s="95"/>
      <c r="HE3" s="95"/>
      <c r="HF3" s="95"/>
      <c r="HG3" s="95"/>
      <c r="HH3" s="95"/>
      <c r="HI3" s="95"/>
      <c r="HJ3" s="95"/>
      <c r="HK3" s="95"/>
      <c r="HL3" s="95"/>
      <c r="HM3" s="95"/>
      <c r="HN3" s="95"/>
      <c r="HO3" s="95"/>
      <c r="HP3" s="95"/>
      <c r="HQ3" s="95"/>
      <c r="HR3" s="95"/>
      <c r="HS3" s="95"/>
      <c r="HT3" s="95"/>
      <c r="HU3" s="95"/>
      <c r="HV3" s="95"/>
      <c r="HW3" s="95"/>
      <c r="HX3" s="95"/>
      <c r="HY3" s="95"/>
      <c r="HZ3" s="95"/>
      <c r="IA3" s="95"/>
      <c r="IB3" s="95"/>
      <c r="IC3" s="95"/>
      <c r="ID3" s="95"/>
      <c r="IE3" s="95"/>
      <c r="IF3" s="95"/>
      <c r="IG3" s="95"/>
      <c r="IH3" s="95"/>
      <c r="II3" s="95"/>
      <c r="IJ3" s="95"/>
      <c r="IK3" s="95"/>
      <c r="IL3" s="95"/>
      <c r="IM3" s="95"/>
      <c r="IN3" s="95"/>
      <c r="IO3" s="95"/>
      <c r="IP3" s="95"/>
      <c r="IQ3" s="95"/>
      <c r="IR3" s="95"/>
      <c r="IS3" s="95"/>
      <c r="IT3" s="95"/>
      <c r="IU3" s="95"/>
      <c r="IV3" s="95"/>
      <c r="IW3" s="95"/>
      <c r="IX3" s="95"/>
      <c r="IY3" s="95"/>
      <c r="IZ3" s="95"/>
      <c r="JA3" s="95"/>
      <c r="JB3" s="95"/>
      <c r="JC3" s="95"/>
      <c r="JD3" s="95"/>
      <c r="JE3" s="95"/>
      <c r="JF3" s="95"/>
      <c r="JG3" s="95"/>
      <c r="JH3" s="95"/>
      <c r="JI3" s="95"/>
      <c r="JJ3" s="95"/>
      <c r="JK3" s="95"/>
      <c r="JL3" s="95"/>
      <c r="JM3" s="95"/>
      <c r="JN3" s="95"/>
      <c r="JO3" s="95"/>
      <c r="JP3" s="95"/>
      <c r="JQ3" s="95"/>
      <c r="JR3" s="95"/>
      <c r="JS3" s="95"/>
      <c r="JT3" s="95"/>
      <c r="JU3" s="95"/>
      <c r="JV3" s="95"/>
      <c r="JW3" s="95"/>
      <c r="JX3" s="95"/>
      <c r="JY3" s="95"/>
      <c r="JZ3" s="95"/>
      <c r="KA3" s="95"/>
      <c r="KB3" s="95"/>
      <c r="KC3" s="95"/>
      <c r="KD3" s="95"/>
      <c r="KE3" s="95"/>
      <c r="KF3" s="95"/>
      <c r="KG3" s="95"/>
      <c r="KH3" s="95"/>
      <c r="KI3" s="95"/>
      <c r="KJ3" s="95"/>
      <c r="KK3" s="95"/>
      <c r="KL3" s="95"/>
      <c r="KM3" s="95"/>
      <c r="KN3" s="95"/>
      <c r="KO3" s="95"/>
      <c r="KP3" s="95"/>
      <c r="KQ3" s="95"/>
      <c r="KR3" s="95"/>
      <c r="KS3" s="95"/>
      <c r="KT3" s="95"/>
      <c r="KU3" s="95"/>
      <c r="KV3" s="95"/>
      <c r="KW3" s="95"/>
      <c r="KX3" s="95"/>
      <c r="KY3" s="95"/>
      <c r="KZ3" s="95"/>
      <c r="LA3" s="95"/>
      <c r="LB3" s="95"/>
      <c r="LC3" s="95"/>
      <c r="LD3" s="95"/>
      <c r="LE3" s="95"/>
      <c r="LF3" s="95"/>
      <c r="LG3" s="95"/>
      <c r="LH3" s="95"/>
      <c r="LI3" s="95"/>
      <c r="LJ3" s="95"/>
      <c r="LK3" s="95"/>
      <c r="LL3" s="95"/>
      <c r="LM3" s="95"/>
      <c r="LN3" s="95"/>
      <c r="LO3" s="95"/>
      <c r="LP3" s="95"/>
      <c r="LQ3" s="95"/>
      <c r="LR3" s="95"/>
      <c r="LS3" s="95"/>
      <c r="LT3" s="95"/>
      <c r="LU3" s="95"/>
      <c r="LV3" s="95"/>
      <c r="LW3" s="95"/>
      <c r="LX3" s="95"/>
      <c r="LY3" s="95"/>
      <c r="LZ3" s="95"/>
      <c r="MA3" s="95"/>
      <c r="MB3" s="95"/>
      <c r="MC3" s="95"/>
      <c r="MD3" s="95"/>
      <c r="ME3" s="95"/>
      <c r="MF3" s="95"/>
      <c r="MG3" s="95"/>
      <c r="MH3" s="95"/>
      <c r="MI3" s="95"/>
      <c r="MJ3" s="95"/>
      <c r="MK3" s="95"/>
      <c r="ML3" s="95"/>
      <c r="MM3" s="95"/>
      <c r="MN3" s="95"/>
      <c r="MO3" s="95"/>
      <c r="MP3" s="95"/>
      <c r="MQ3" s="95"/>
      <c r="MR3" s="95"/>
      <c r="MS3" s="95"/>
      <c r="MT3" s="95"/>
      <c r="MU3" s="95"/>
      <c r="MV3" s="95"/>
      <c r="MW3" s="95"/>
      <c r="MX3" s="95"/>
      <c r="MY3" s="95"/>
      <c r="MZ3" s="95"/>
      <c r="NA3" s="95"/>
      <c r="NB3" s="95"/>
      <c r="NC3" s="95"/>
      <c r="ND3" s="95"/>
    </row>
    <row r="4" spans="1:368" s="28" customFormat="1" ht="15" x14ac:dyDescent="0.25">
      <c r="A4" t="s">
        <v>39</v>
      </c>
      <c r="B4" s="142">
        <f t="shared" si="0"/>
        <v>2</v>
      </c>
      <c r="C4" s="143">
        <f t="shared" si="1"/>
        <v>0</v>
      </c>
      <c r="D4" s="95" t="s">
        <v>69</v>
      </c>
      <c r="E4" s="95" t="s">
        <v>69</v>
      </c>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c r="BG4" s="95"/>
      <c r="BH4" s="95"/>
      <c r="BI4" s="95"/>
      <c r="BJ4" s="95"/>
      <c r="BK4" s="95"/>
      <c r="BL4" s="95"/>
      <c r="BM4" s="95"/>
      <c r="BN4" s="95"/>
      <c r="BO4" s="95"/>
      <c r="BP4" s="95"/>
      <c r="BQ4" s="95"/>
      <c r="BR4" s="95"/>
      <c r="BS4" s="95"/>
      <c r="BT4" s="95"/>
      <c r="BU4" s="95"/>
      <c r="BV4" s="95"/>
      <c r="BW4" s="95"/>
      <c r="BX4" s="95"/>
      <c r="BY4" s="95"/>
      <c r="BZ4" s="95"/>
      <c r="CA4" s="95"/>
      <c r="CB4" s="95"/>
      <c r="CC4" s="95"/>
      <c r="CD4" s="95"/>
      <c r="CE4" s="95"/>
      <c r="CF4" s="95"/>
      <c r="CG4" s="95"/>
      <c r="CH4" s="95"/>
      <c r="CI4" s="95"/>
      <c r="CJ4" s="95"/>
      <c r="CK4" s="95"/>
      <c r="CL4" s="95"/>
      <c r="CM4" s="95"/>
      <c r="CN4" s="95"/>
      <c r="CO4" s="95"/>
      <c r="CP4" s="95"/>
      <c r="CQ4" s="95"/>
      <c r="CR4" s="95"/>
      <c r="CS4" s="95"/>
      <c r="CT4" s="95"/>
      <c r="CU4" s="95"/>
      <c r="CV4" s="95"/>
      <c r="CW4" s="95"/>
      <c r="CX4" s="95"/>
      <c r="CY4" s="95"/>
      <c r="CZ4" s="95"/>
      <c r="DA4" s="95"/>
      <c r="DB4" s="95"/>
      <c r="DC4" s="95"/>
      <c r="DD4" s="95"/>
      <c r="DE4" s="95"/>
      <c r="DF4" s="95"/>
      <c r="DG4" s="95"/>
      <c r="DH4" s="95"/>
      <c r="DI4" s="95"/>
      <c r="DJ4" s="95"/>
      <c r="DK4" s="95"/>
      <c r="DL4" s="95"/>
      <c r="DM4" s="95"/>
      <c r="DN4" s="95"/>
      <c r="DO4" s="95"/>
      <c r="DP4" s="95"/>
      <c r="DQ4" s="95"/>
      <c r="DR4" s="95"/>
      <c r="DS4" s="95"/>
      <c r="DT4" s="95"/>
      <c r="DU4" s="95"/>
      <c r="DV4" s="95"/>
      <c r="DW4" s="95"/>
      <c r="DX4" s="95"/>
      <c r="DY4" s="95"/>
      <c r="DZ4" s="95"/>
      <c r="EA4" s="95"/>
      <c r="EB4" s="95"/>
      <c r="EC4" s="95"/>
      <c r="ED4" s="95"/>
      <c r="EE4" s="95"/>
      <c r="EF4" s="95"/>
      <c r="EG4" s="95"/>
      <c r="EH4" s="95"/>
      <c r="EI4" s="95"/>
      <c r="EJ4" s="95"/>
      <c r="EK4" s="95"/>
      <c r="EL4" s="95"/>
      <c r="EM4" s="95"/>
      <c r="EN4" s="95"/>
      <c r="EO4" s="95"/>
      <c r="EP4" s="95"/>
      <c r="EQ4" s="95"/>
      <c r="ER4" s="95"/>
      <c r="ES4" s="95"/>
      <c r="ET4" s="95"/>
      <c r="EU4" s="95"/>
      <c r="EV4" s="95"/>
      <c r="EW4" s="95"/>
      <c r="EX4" s="95"/>
      <c r="EY4" s="95"/>
      <c r="EZ4" s="95"/>
      <c r="FA4" s="95"/>
      <c r="FB4" s="95"/>
      <c r="FC4" s="95"/>
      <c r="FD4" s="95"/>
      <c r="FE4" s="95"/>
      <c r="FF4" s="95"/>
      <c r="FG4" s="95"/>
      <c r="FH4" s="95"/>
      <c r="FI4" s="95"/>
      <c r="FJ4" s="95"/>
      <c r="FK4" s="95"/>
      <c r="FL4" s="95"/>
      <c r="FM4" s="95"/>
      <c r="FN4" s="95"/>
      <c r="FO4" s="95"/>
      <c r="FP4" s="95"/>
      <c r="FQ4" s="95"/>
      <c r="FR4" s="95"/>
      <c r="FS4" s="95"/>
      <c r="FT4" s="95"/>
      <c r="FU4" s="95"/>
      <c r="FV4" s="95"/>
      <c r="FW4" s="95"/>
      <c r="FX4" s="95"/>
      <c r="FY4" s="95"/>
      <c r="FZ4" s="95"/>
      <c r="GA4" s="95"/>
      <c r="GB4" s="95"/>
      <c r="GC4" s="95"/>
      <c r="GD4" s="95"/>
      <c r="GE4" s="95"/>
      <c r="GF4" s="95"/>
      <c r="GG4" s="95"/>
      <c r="GH4" s="95"/>
      <c r="GI4" s="95"/>
      <c r="GJ4" s="95"/>
      <c r="GK4" s="95"/>
      <c r="GL4" s="95"/>
      <c r="GM4" s="95"/>
      <c r="GN4" s="95"/>
      <c r="GO4" s="95"/>
      <c r="GP4" s="95"/>
      <c r="GQ4" s="95"/>
      <c r="GR4" s="95"/>
      <c r="GS4" s="95"/>
      <c r="GT4" s="95"/>
      <c r="GU4" s="95"/>
      <c r="GV4" s="95"/>
      <c r="GW4" s="95"/>
      <c r="GX4" s="95"/>
      <c r="GY4" s="95"/>
      <c r="GZ4" s="95"/>
      <c r="HA4" s="95"/>
      <c r="HB4" s="95"/>
      <c r="HC4" s="95"/>
      <c r="HD4" s="95"/>
      <c r="HE4" s="95"/>
      <c r="HF4" s="95"/>
      <c r="HG4" s="95"/>
      <c r="HH4" s="95"/>
      <c r="HI4" s="95"/>
      <c r="HJ4" s="95"/>
      <c r="HK4" s="95"/>
      <c r="HL4" s="95"/>
      <c r="HM4" s="95"/>
      <c r="HN4" s="95"/>
      <c r="HO4" s="95"/>
      <c r="HP4" s="95"/>
      <c r="HQ4" s="95"/>
      <c r="HR4" s="95"/>
      <c r="HS4" s="95"/>
      <c r="HT4" s="95"/>
      <c r="HU4" s="95"/>
      <c r="HV4" s="95"/>
      <c r="HW4" s="95"/>
      <c r="HX4" s="95"/>
      <c r="HY4" s="95"/>
      <c r="HZ4" s="95"/>
      <c r="IA4" s="95"/>
      <c r="IB4" s="95"/>
      <c r="IC4" s="95"/>
      <c r="ID4" s="95"/>
      <c r="IE4" s="95"/>
      <c r="IF4" s="95"/>
      <c r="IG4" s="95"/>
      <c r="IH4" s="95"/>
      <c r="II4" s="95"/>
      <c r="IJ4" s="95"/>
      <c r="IK4" s="95"/>
      <c r="IL4" s="95"/>
      <c r="IM4" s="95"/>
      <c r="IN4" s="95"/>
      <c r="IO4" s="95"/>
      <c r="IP4" s="95"/>
      <c r="IQ4" s="95"/>
      <c r="IR4" s="95"/>
      <c r="IS4" s="95"/>
      <c r="IT4" s="95"/>
      <c r="IU4" s="95"/>
      <c r="IV4" s="95"/>
      <c r="IW4" s="95"/>
      <c r="IX4" s="95"/>
      <c r="IY4" s="95"/>
      <c r="IZ4" s="95"/>
      <c r="JA4" s="95"/>
      <c r="JB4" s="95"/>
      <c r="JC4" s="95"/>
      <c r="JD4" s="95"/>
      <c r="JE4" s="95"/>
      <c r="JF4" s="95"/>
      <c r="JG4" s="95"/>
      <c r="JH4" s="95"/>
      <c r="JI4" s="95"/>
      <c r="JJ4" s="95"/>
      <c r="JK4" s="95"/>
      <c r="JL4" s="95"/>
      <c r="JM4" s="95"/>
      <c r="JN4" s="95"/>
      <c r="JO4" s="95"/>
      <c r="JP4" s="95"/>
      <c r="JQ4" s="95"/>
      <c r="JR4" s="95"/>
      <c r="JS4" s="95"/>
      <c r="JT4" s="95"/>
      <c r="JU4" s="95"/>
      <c r="JV4" s="95"/>
      <c r="JW4" s="95"/>
      <c r="JX4" s="95"/>
      <c r="JY4" s="95"/>
      <c r="JZ4" s="95"/>
      <c r="KA4" s="95"/>
      <c r="KB4" s="95"/>
      <c r="KC4" s="95"/>
      <c r="KD4" s="95"/>
      <c r="KE4" s="95"/>
      <c r="KF4" s="95"/>
      <c r="KG4" s="95"/>
      <c r="KH4" s="95"/>
      <c r="KI4" s="95"/>
      <c r="KJ4" s="95"/>
      <c r="KK4" s="95"/>
      <c r="KL4" s="95"/>
      <c r="KM4" s="95"/>
      <c r="KN4" s="95"/>
      <c r="KO4" s="95"/>
      <c r="KP4" s="95"/>
      <c r="KQ4" s="95"/>
      <c r="KR4" s="95"/>
      <c r="KS4" s="95"/>
      <c r="KT4" s="95"/>
      <c r="KU4" s="95"/>
      <c r="KV4" s="95"/>
      <c r="KW4" s="95"/>
      <c r="KX4" s="95"/>
      <c r="KY4" s="95"/>
      <c r="KZ4" s="95"/>
      <c r="LA4" s="95"/>
      <c r="LB4" s="95"/>
      <c r="LC4" s="95"/>
      <c r="LD4" s="95"/>
      <c r="LE4" s="95"/>
      <c r="LF4" s="95"/>
      <c r="LG4" s="95"/>
      <c r="LH4" s="95"/>
      <c r="LI4" s="95"/>
      <c r="LJ4" s="95"/>
      <c r="LK4" s="95"/>
      <c r="LL4" s="95"/>
      <c r="LM4" s="95"/>
      <c r="LN4" s="95"/>
      <c r="LO4" s="95"/>
      <c r="LP4" s="95"/>
      <c r="LQ4" s="95"/>
      <c r="LR4" s="95"/>
      <c r="LS4" s="95"/>
      <c r="LT4" s="95"/>
      <c r="LU4" s="95"/>
      <c r="LV4" s="95"/>
      <c r="LW4" s="95"/>
      <c r="LX4" s="95"/>
      <c r="LY4" s="95"/>
      <c r="LZ4" s="95"/>
      <c r="MA4" s="95"/>
      <c r="MB4" s="95"/>
      <c r="MC4" s="95"/>
      <c r="MD4" s="95"/>
      <c r="ME4" s="95"/>
      <c r="MF4" s="95"/>
      <c r="MG4" s="95"/>
      <c r="MH4" s="95"/>
      <c r="MI4" s="95"/>
      <c r="MJ4" s="95"/>
      <c r="MK4" s="95"/>
      <c r="ML4" s="95"/>
      <c r="MM4" s="95"/>
      <c r="MN4" s="95"/>
      <c r="MO4" s="95"/>
      <c r="MP4" s="95"/>
      <c r="MQ4" s="95"/>
      <c r="MR4" s="95"/>
      <c r="MS4" s="95"/>
      <c r="MT4" s="95"/>
      <c r="MU4" s="95"/>
      <c r="MV4" s="95"/>
      <c r="MW4" s="95"/>
      <c r="MX4" s="95"/>
      <c r="MY4" s="95"/>
      <c r="MZ4" s="95"/>
      <c r="NA4" s="95"/>
      <c r="NB4" s="95"/>
      <c r="NC4" s="95"/>
      <c r="ND4" s="95"/>
    </row>
    <row r="5" spans="1:368" s="28" customFormat="1" ht="15" x14ac:dyDescent="0.25">
      <c r="A5" t="s">
        <v>41</v>
      </c>
      <c r="B5" s="142">
        <f t="shared" si="0"/>
        <v>0</v>
      </c>
      <c r="C5" s="143">
        <f t="shared" si="1"/>
        <v>0</v>
      </c>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c r="BG5" s="95"/>
      <c r="BH5" s="95"/>
      <c r="BI5" s="95"/>
      <c r="BJ5" s="95"/>
      <c r="BK5" s="95"/>
      <c r="BL5" s="95"/>
      <c r="BM5" s="95"/>
      <c r="BN5" s="95"/>
      <c r="BO5" s="95"/>
      <c r="BP5" s="95"/>
      <c r="BQ5" s="95"/>
      <c r="BR5" s="95"/>
      <c r="BS5" s="95"/>
      <c r="BT5" s="95"/>
      <c r="BU5" s="95"/>
      <c r="BV5" s="95"/>
      <c r="BW5" s="95"/>
      <c r="BX5" s="95"/>
      <c r="BY5" s="95"/>
      <c r="BZ5" s="95"/>
      <c r="CA5" s="95"/>
      <c r="CB5" s="95"/>
      <c r="CC5" s="95"/>
      <c r="CD5" s="95"/>
      <c r="CE5" s="95"/>
      <c r="CF5" s="95"/>
      <c r="CG5" s="95"/>
      <c r="CH5" s="95"/>
      <c r="CI5" s="95"/>
      <c r="CJ5" s="95"/>
      <c r="CK5" s="95"/>
      <c r="CL5" s="95"/>
      <c r="CM5" s="95"/>
      <c r="CN5" s="95"/>
      <c r="CO5" s="95"/>
      <c r="CP5" s="95"/>
      <c r="CQ5" s="95"/>
      <c r="CR5" s="95"/>
      <c r="CS5" s="95"/>
      <c r="CT5" s="95"/>
      <c r="CU5" s="95"/>
      <c r="CV5" s="95"/>
      <c r="CW5" s="95"/>
      <c r="CX5" s="95"/>
      <c r="CY5" s="95"/>
      <c r="CZ5" s="95"/>
      <c r="DA5" s="95"/>
      <c r="DB5" s="95"/>
      <c r="DC5" s="95"/>
      <c r="DD5" s="95"/>
      <c r="DE5" s="95"/>
      <c r="DF5" s="95"/>
      <c r="DG5" s="95"/>
      <c r="DH5" s="95"/>
      <c r="DI5" s="95"/>
      <c r="DJ5" s="95"/>
      <c r="DK5" s="95"/>
      <c r="DL5" s="95"/>
      <c r="DM5" s="95"/>
      <c r="DN5" s="95"/>
      <c r="DO5" s="95"/>
      <c r="DP5" s="95"/>
      <c r="DQ5" s="95"/>
      <c r="DR5" s="95"/>
      <c r="DS5" s="95"/>
      <c r="DT5" s="95"/>
      <c r="DU5" s="95"/>
      <c r="DV5" s="95"/>
      <c r="DW5" s="95"/>
      <c r="DX5" s="95"/>
      <c r="DY5" s="95"/>
      <c r="DZ5" s="95"/>
      <c r="EA5" s="95"/>
      <c r="EB5" s="95"/>
      <c r="EC5" s="95"/>
      <c r="ED5" s="95"/>
      <c r="EE5" s="95"/>
      <c r="EF5" s="95"/>
      <c r="EG5" s="95"/>
      <c r="EH5" s="95"/>
      <c r="EI5" s="95"/>
      <c r="EJ5" s="95"/>
      <c r="EK5" s="95"/>
      <c r="EL5" s="95"/>
      <c r="EM5" s="95"/>
      <c r="EN5" s="95"/>
      <c r="EO5" s="95"/>
      <c r="EP5" s="95"/>
      <c r="EQ5" s="95"/>
      <c r="ER5" s="95"/>
      <c r="ES5" s="95"/>
      <c r="ET5" s="95"/>
      <c r="EU5" s="95"/>
      <c r="EV5" s="95"/>
      <c r="EW5" s="95"/>
      <c r="EX5" s="95"/>
      <c r="EY5" s="95"/>
      <c r="EZ5" s="95"/>
      <c r="FA5" s="95"/>
      <c r="FB5" s="95"/>
      <c r="FC5" s="95"/>
      <c r="FD5" s="95"/>
      <c r="FE5" s="95"/>
      <c r="FF5" s="95"/>
      <c r="FG5" s="95"/>
      <c r="FH5" s="95"/>
      <c r="FI5" s="95"/>
      <c r="FJ5" s="95"/>
      <c r="FK5" s="95"/>
      <c r="FL5" s="95"/>
      <c r="FM5" s="95"/>
      <c r="FN5" s="95"/>
      <c r="FO5" s="95"/>
      <c r="FP5" s="95"/>
      <c r="FQ5" s="95"/>
      <c r="FR5" s="95"/>
      <c r="FS5" s="95"/>
      <c r="FT5" s="95"/>
      <c r="FU5" s="95"/>
      <c r="FV5" s="95"/>
      <c r="FW5" s="95"/>
      <c r="FX5" s="95"/>
      <c r="FY5" s="95"/>
      <c r="FZ5" s="95"/>
      <c r="GA5" s="95"/>
      <c r="GB5" s="95"/>
      <c r="GC5" s="95"/>
      <c r="GD5" s="95"/>
      <c r="GE5" s="95"/>
      <c r="GF5" s="95"/>
      <c r="GG5" s="95"/>
      <c r="GH5" s="95"/>
      <c r="GI5" s="95"/>
      <c r="GJ5" s="95"/>
      <c r="GK5" s="95"/>
      <c r="GL5" s="95"/>
      <c r="GM5" s="95"/>
      <c r="GN5" s="95"/>
      <c r="GO5" s="95"/>
      <c r="GP5" s="95"/>
      <c r="GQ5" s="95"/>
      <c r="GR5" s="95"/>
      <c r="GS5" s="95"/>
      <c r="GT5" s="95"/>
      <c r="GU5" s="95"/>
      <c r="GV5" s="95"/>
      <c r="GW5" s="95"/>
      <c r="GX5" s="95"/>
      <c r="GY5" s="95"/>
      <c r="GZ5" s="95"/>
      <c r="HA5" s="95"/>
      <c r="HB5" s="95"/>
      <c r="HC5" s="95"/>
      <c r="HD5" s="95"/>
      <c r="HE5" s="95"/>
      <c r="HF5" s="95"/>
      <c r="HG5" s="95"/>
      <c r="HH5" s="95"/>
      <c r="HI5" s="95"/>
      <c r="HJ5" s="95"/>
      <c r="HK5" s="95"/>
      <c r="HL5" s="95"/>
      <c r="HM5" s="95"/>
      <c r="HN5" s="95"/>
      <c r="HO5" s="95"/>
      <c r="HP5" s="95"/>
      <c r="HQ5" s="95"/>
      <c r="HR5" s="95"/>
      <c r="HS5" s="95"/>
      <c r="HT5" s="95"/>
      <c r="HU5" s="95"/>
      <c r="HV5" s="95"/>
      <c r="HW5" s="95"/>
      <c r="HX5" s="95"/>
      <c r="HY5" s="95"/>
      <c r="HZ5" s="95"/>
      <c r="IA5" s="95"/>
      <c r="IB5" s="95"/>
      <c r="IC5" s="95"/>
      <c r="ID5" s="95"/>
      <c r="IE5" s="95"/>
      <c r="IF5" s="95"/>
      <c r="IG5" s="95"/>
      <c r="IH5" s="95"/>
      <c r="II5" s="95"/>
      <c r="IJ5" s="95"/>
      <c r="IK5" s="95"/>
      <c r="IL5" s="95"/>
      <c r="IM5" s="95"/>
      <c r="IN5" s="95"/>
      <c r="IO5" s="95"/>
      <c r="IP5" s="95"/>
      <c r="IQ5" s="95"/>
      <c r="IR5" s="95"/>
      <c r="IS5" s="95"/>
      <c r="IT5" s="95"/>
      <c r="IU5" s="95"/>
      <c r="IV5" s="95"/>
      <c r="IW5" s="95"/>
      <c r="IX5" s="95"/>
      <c r="IY5" s="95"/>
      <c r="IZ5" s="95"/>
      <c r="JA5" s="95"/>
      <c r="JB5" s="95"/>
      <c r="JC5" s="95"/>
      <c r="JD5" s="95"/>
      <c r="JE5" s="95"/>
      <c r="JF5" s="95"/>
      <c r="JG5" s="95"/>
      <c r="JH5" s="95"/>
      <c r="JI5" s="95"/>
      <c r="JJ5" s="95"/>
      <c r="JK5" s="95"/>
      <c r="JL5" s="95"/>
      <c r="JM5" s="95"/>
      <c r="JN5" s="95"/>
      <c r="JO5" s="95"/>
      <c r="JP5" s="95"/>
      <c r="JQ5" s="95"/>
      <c r="JR5" s="95"/>
      <c r="JS5" s="95"/>
      <c r="JT5" s="95"/>
      <c r="JU5" s="95"/>
      <c r="JV5" s="95"/>
      <c r="JW5" s="95"/>
      <c r="JX5" s="95"/>
      <c r="JY5" s="95"/>
      <c r="JZ5" s="95"/>
      <c r="KA5" s="95"/>
      <c r="KB5" s="95"/>
      <c r="KC5" s="95"/>
      <c r="KD5" s="95"/>
      <c r="KE5" s="95"/>
      <c r="KF5" s="95"/>
      <c r="KG5" s="95"/>
      <c r="KH5" s="95"/>
      <c r="KI5" s="95"/>
      <c r="KJ5" s="95"/>
      <c r="KK5" s="95"/>
      <c r="KL5" s="95"/>
      <c r="KM5" s="95"/>
      <c r="KN5" s="95"/>
      <c r="KO5" s="95"/>
      <c r="KP5" s="95"/>
      <c r="KQ5" s="95"/>
      <c r="KR5" s="95"/>
      <c r="KS5" s="95"/>
      <c r="KT5" s="95"/>
      <c r="KU5" s="95"/>
      <c r="KV5" s="95"/>
      <c r="KW5" s="95"/>
      <c r="KX5" s="95"/>
      <c r="KY5" s="95"/>
      <c r="KZ5" s="95"/>
      <c r="LA5" s="95"/>
      <c r="LB5" s="95"/>
      <c r="LC5" s="95"/>
      <c r="LD5" s="95"/>
      <c r="LE5" s="95"/>
      <c r="LF5" s="95"/>
      <c r="LG5" s="95"/>
      <c r="LH5" s="95"/>
      <c r="LI5" s="95"/>
      <c r="LJ5" s="95"/>
      <c r="LK5" s="95"/>
      <c r="LL5" s="95"/>
      <c r="LM5" s="95"/>
      <c r="LN5" s="95"/>
      <c r="LO5" s="95"/>
      <c r="LP5" s="95"/>
      <c r="LQ5" s="95"/>
      <c r="LR5" s="95"/>
      <c r="LS5" s="95"/>
      <c r="LT5" s="95"/>
      <c r="LU5" s="95"/>
      <c r="LV5" s="95"/>
      <c r="LW5" s="95"/>
      <c r="LX5" s="95"/>
      <c r="LY5" s="95"/>
      <c r="LZ5" s="95"/>
      <c r="MA5" s="95"/>
      <c r="MB5" s="95"/>
      <c r="MC5" s="95"/>
      <c r="MD5" s="95"/>
      <c r="ME5" s="95"/>
      <c r="MF5" s="95"/>
      <c r="MG5" s="95"/>
      <c r="MH5" s="95"/>
      <c r="MI5" s="95"/>
      <c r="MJ5" s="95"/>
      <c r="MK5" s="95"/>
      <c r="ML5" s="95"/>
      <c r="MM5" s="95"/>
      <c r="MN5" s="95"/>
      <c r="MO5" s="95"/>
      <c r="MP5" s="95"/>
      <c r="MQ5" s="95"/>
      <c r="MR5" s="95"/>
      <c r="MS5" s="95"/>
      <c r="MT5" s="95"/>
      <c r="MU5" s="95"/>
      <c r="MV5" s="95"/>
      <c r="MW5" s="95"/>
      <c r="MX5" s="95"/>
      <c r="MY5" s="95"/>
      <c r="MZ5" s="95"/>
      <c r="NA5" s="95"/>
      <c r="NB5" s="95"/>
      <c r="NC5" s="95"/>
      <c r="ND5" s="95"/>
    </row>
    <row r="6" spans="1:368" s="28" customFormat="1" ht="15" x14ac:dyDescent="0.25">
      <c r="A6" t="s">
        <v>42</v>
      </c>
      <c r="B6" s="142">
        <f t="shared" si="0"/>
        <v>0</v>
      </c>
      <c r="C6" s="143">
        <f t="shared" si="1"/>
        <v>0</v>
      </c>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5"/>
      <c r="BJ6" s="95"/>
      <c r="BK6" s="95"/>
      <c r="BL6" s="95"/>
      <c r="BM6" s="95"/>
      <c r="BN6" s="95"/>
      <c r="BO6" s="95"/>
      <c r="BP6" s="95"/>
      <c r="BQ6" s="95"/>
      <c r="BR6" s="95"/>
      <c r="BS6" s="95"/>
      <c r="BT6" s="95"/>
      <c r="BU6" s="95"/>
      <c r="BV6" s="95"/>
      <c r="BW6" s="95"/>
      <c r="BX6" s="95"/>
      <c r="BY6" s="95"/>
      <c r="BZ6" s="95"/>
      <c r="CA6" s="95"/>
      <c r="CB6" s="95"/>
      <c r="CC6" s="95"/>
      <c r="CD6" s="95"/>
      <c r="CE6" s="95"/>
      <c r="CF6" s="95"/>
      <c r="CG6" s="95"/>
      <c r="CH6" s="95"/>
      <c r="CI6" s="95"/>
      <c r="CJ6" s="95"/>
      <c r="CK6" s="95"/>
      <c r="CL6" s="95"/>
      <c r="CM6" s="95"/>
      <c r="CN6" s="95"/>
      <c r="CO6" s="95"/>
      <c r="CP6" s="95"/>
      <c r="CQ6" s="95"/>
      <c r="CR6" s="95"/>
      <c r="CS6" s="95"/>
      <c r="CT6" s="95"/>
      <c r="CU6" s="95"/>
      <c r="CV6" s="95"/>
      <c r="CW6" s="95"/>
      <c r="CX6" s="95"/>
      <c r="CY6" s="95"/>
      <c r="CZ6" s="95"/>
      <c r="DA6" s="95"/>
      <c r="DB6" s="95"/>
      <c r="DC6" s="95"/>
      <c r="DD6" s="95"/>
      <c r="DE6" s="95"/>
      <c r="DF6" s="95"/>
      <c r="DG6" s="95"/>
      <c r="DH6" s="95"/>
      <c r="DI6" s="95"/>
      <c r="DJ6" s="95"/>
      <c r="DK6" s="95"/>
      <c r="DL6" s="95"/>
      <c r="DM6" s="95"/>
      <c r="DN6" s="95"/>
      <c r="DO6" s="95"/>
      <c r="DP6" s="95"/>
      <c r="DQ6" s="95"/>
      <c r="DR6" s="95"/>
      <c r="DS6" s="95"/>
      <c r="DT6" s="95"/>
      <c r="DU6" s="95"/>
      <c r="DV6" s="95"/>
      <c r="DW6" s="95"/>
      <c r="DX6" s="95"/>
      <c r="DY6" s="95"/>
      <c r="DZ6" s="95"/>
      <c r="EA6" s="95"/>
      <c r="EB6" s="95"/>
      <c r="EC6" s="95"/>
      <c r="ED6" s="95"/>
      <c r="EE6" s="95"/>
      <c r="EF6" s="95"/>
      <c r="EG6" s="95"/>
      <c r="EH6" s="95"/>
      <c r="EI6" s="95"/>
      <c r="EJ6" s="95"/>
      <c r="EK6" s="95"/>
      <c r="EL6" s="95"/>
      <c r="EM6" s="95"/>
      <c r="EN6" s="95"/>
      <c r="EO6" s="95"/>
      <c r="EP6" s="95"/>
      <c r="EQ6" s="95"/>
      <c r="ER6" s="95"/>
      <c r="ES6" s="95"/>
      <c r="ET6" s="95"/>
      <c r="EU6" s="95"/>
      <c r="EV6" s="95"/>
      <c r="EW6" s="95"/>
      <c r="EX6" s="95"/>
      <c r="EY6" s="95"/>
      <c r="EZ6" s="95"/>
      <c r="FA6" s="95"/>
      <c r="FB6" s="95"/>
      <c r="FC6" s="95"/>
      <c r="FD6" s="95"/>
      <c r="FE6" s="95"/>
      <c r="FF6" s="95"/>
      <c r="FG6" s="95"/>
      <c r="FH6" s="95"/>
      <c r="FI6" s="95"/>
      <c r="FJ6" s="95"/>
      <c r="FK6" s="95"/>
      <c r="FL6" s="95"/>
      <c r="FM6" s="95"/>
      <c r="FN6" s="95"/>
      <c r="FO6" s="95"/>
      <c r="FP6" s="95"/>
      <c r="FQ6" s="95"/>
      <c r="FR6" s="95"/>
      <c r="FS6" s="95"/>
      <c r="FT6" s="95"/>
      <c r="FU6" s="95"/>
      <c r="FV6" s="95"/>
      <c r="FW6" s="95"/>
      <c r="FX6" s="95"/>
      <c r="FY6" s="95"/>
      <c r="FZ6" s="95"/>
      <c r="GA6" s="95"/>
      <c r="GB6" s="95"/>
      <c r="GC6" s="95"/>
      <c r="GD6" s="95"/>
      <c r="GE6" s="95"/>
      <c r="GF6" s="95"/>
      <c r="GG6" s="95"/>
      <c r="GH6" s="95"/>
      <c r="GI6" s="95"/>
      <c r="GJ6" s="95"/>
      <c r="GK6" s="95"/>
      <c r="GL6" s="95"/>
      <c r="GM6" s="95"/>
      <c r="GN6" s="95"/>
      <c r="GO6" s="95"/>
      <c r="GP6" s="95"/>
      <c r="GQ6" s="95"/>
      <c r="GR6" s="95"/>
      <c r="GS6" s="95"/>
      <c r="GT6" s="95"/>
      <c r="GU6" s="95"/>
      <c r="GV6" s="95"/>
      <c r="GW6" s="95"/>
      <c r="GX6" s="95"/>
      <c r="GY6" s="95"/>
      <c r="GZ6" s="95"/>
      <c r="HA6" s="95"/>
      <c r="HB6" s="95"/>
      <c r="HC6" s="95"/>
      <c r="HD6" s="95"/>
      <c r="HE6" s="95"/>
      <c r="HF6" s="95"/>
      <c r="HG6" s="95"/>
      <c r="HH6" s="95"/>
      <c r="HI6" s="95"/>
      <c r="HJ6" s="95"/>
      <c r="HK6" s="95"/>
      <c r="HL6" s="95"/>
      <c r="HM6" s="95"/>
      <c r="HN6" s="95"/>
      <c r="HO6" s="95"/>
      <c r="HP6" s="95"/>
      <c r="HQ6" s="95"/>
      <c r="HR6" s="95"/>
      <c r="HS6" s="95"/>
      <c r="HT6" s="95"/>
      <c r="HU6" s="95"/>
      <c r="HV6" s="95"/>
      <c r="HW6" s="95"/>
      <c r="HX6" s="95"/>
      <c r="HY6" s="95"/>
      <c r="HZ6" s="95"/>
      <c r="IA6" s="95"/>
      <c r="IB6" s="95"/>
      <c r="IC6" s="95"/>
      <c r="ID6" s="95"/>
      <c r="IE6" s="95"/>
      <c r="IF6" s="95"/>
      <c r="IG6" s="95"/>
      <c r="IH6" s="95"/>
      <c r="II6" s="95"/>
      <c r="IJ6" s="95"/>
      <c r="IK6" s="95"/>
      <c r="IL6" s="95"/>
      <c r="IM6" s="95"/>
      <c r="IN6" s="95"/>
      <c r="IO6" s="95"/>
      <c r="IP6" s="95"/>
      <c r="IQ6" s="95"/>
      <c r="IR6" s="95"/>
      <c r="IS6" s="95"/>
      <c r="IT6" s="95"/>
      <c r="IU6" s="95"/>
      <c r="IV6" s="95"/>
      <c r="IW6" s="95"/>
      <c r="IX6" s="95"/>
      <c r="IY6" s="95"/>
      <c r="IZ6" s="95"/>
      <c r="JA6" s="95"/>
      <c r="JB6" s="95"/>
      <c r="JC6" s="95"/>
      <c r="JD6" s="95"/>
      <c r="JE6" s="95"/>
      <c r="JF6" s="95"/>
      <c r="JG6" s="95"/>
      <c r="JH6" s="95"/>
      <c r="JI6" s="95"/>
      <c r="JJ6" s="95"/>
      <c r="JK6" s="95"/>
      <c r="JL6" s="95"/>
      <c r="JM6" s="95"/>
      <c r="JN6" s="95"/>
      <c r="JO6" s="95"/>
      <c r="JP6" s="95"/>
      <c r="JQ6" s="95"/>
      <c r="JR6" s="95"/>
      <c r="JS6" s="95"/>
      <c r="JT6" s="95"/>
      <c r="JU6" s="95"/>
      <c r="JV6" s="95"/>
      <c r="JW6" s="95"/>
      <c r="JX6" s="95"/>
      <c r="JY6" s="95"/>
      <c r="JZ6" s="95"/>
      <c r="KA6" s="95"/>
      <c r="KB6" s="95"/>
      <c r="KC6" s="95"/>
      <c r="KD6" s="95"/>
      <c r="KE6" s="95"/>
      <c r="KF6" s="95"/>
      <c r="KG6" s="95"/>
      <c r="KH6" s="95"/>
      <c r="KI6" s="95"/>
      <c r="KJ6" s="95"/>
      <c r="KK6" s="95"/>
      <c r="KL6" s="95"/>
      <c r="KM6" s="95"/>
      <c r="KN6" s="95"/>
      <c r="KO6" s="95"/>
      <c r="KP6" s="95"/>
      <c r="KQ6" s="95"/>
      <c r="KR6" s="95"/>
      <c r="KS6" s="95"/>
      <c r="KT6" s="95"/>
      <c r="KU6" s="95"/>
      <c r="KV6" s="95"/>
      <c r="KW6" s="95"/>
      <c r="KX6" s="95"/>
      <c r="KY6" s="95"/>
      <c r="KZ6" s="95"/>
      <c r="LA6" s="95"/>
      <c r="LB6" s="95"/>
      <c r="LC6" s="95"/>
      <c r="LD6" s="95"/>
      <c r="LE6" s="95"/>
      <c r="LF6" s="95"/>
      <c r="LG6" s="95"/>
      <c r="LH6" s="95"/>
      <c r="LI6" s="95"/>
      <c r="LJ6" s="95"/>
      <c r="LK6" s="95"/>
      <c r="LL6" s="95"/>
      <c r="LM6" s="95"/>
      <c r="LN6" s="95"/>
      <c r="LO6" s="95"/>
      <c r="LP6" s="95"/>
      <c r="LQ6" s="95"/>
      <c r="LR6" s="95"/>
      <c r="LS6" s="95"/>
      <c r="LT6" s="95"/>
      <c r="LU6" s="95"/>
      <c r="LV6" s="95"/>
      <c r="LW6" s="95"/>
      <c r="LX6" s="95"/>
      <c r="LY6" s="95"/>
      <c r="LZ6" s="95"/>
      <c r="MA6" s="95"/>
      <c r="MB6" s="95"/>
      <c r="MC6" s="95"/>
      <c r="MD6" s="95"/>
      <c r="ME6" s="95"/>
      <c r="MF6" s="95"/>
      <c r="MG6" s="95"/>
      <c r="MH6" s="95"/>
      <c r="MI6" s="95"/>
      <c r="MJ6" s="95"/>
      <c r="MK6" s="95"/>
      <c r="ML6" s="95"/>
      <c r="MM6" s="95"/>
      <c r="MN6" s="95"/>
      <c r="MO6" s="95"/>
      <c r="MP6" s="95"/>
      <c r="MQ6" s="95"/>
      <c r="MR6" s="95"/>
      <c r="MS6" s="95"/>
      <c r="MT6" s="95"/>
      <c r="MU6" s="95"/>
      <c r="MV6" s="95"/>
      <c r="MW6" s="95"/>
      <c r="MX6" s="95"/>
      <c r="MY6" s="95"/>
      <c r="MZ6" s="95"/>
      <c r="NA6" s="95"/>
      <c r="NB6" s="95"/>
      <c r="NC6" s="95"/>
      <c r="ND6" s="95"/>
    </row>
    <row r="7" spans="1:368" s="28" customFormat="1" ht="15" x14ac:dyDescent="0.25">
      <c r="A7" t="s">
        <v>43</v>
      </c>
      <c r="B7" s="142">
        <f t="shared" si="0"/>
        <v>0</v>
      </c>
      <c r="C7" s="143">
        <f t="shared" si="1"/>
        <v>0</v>
      </c>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5"/>
      <c r="BJ7" s="95"/>
      <c r="BK7" s="95"/>
      <c r="BL7" s="95"/>
      <c r="BM7" s="95"/>
      <c r="BN7" s="95"/>
      <c r="BO7" s="95"/>
      <c r="BP7" s="95"/>
      <c r="BQ7" s="95"/>
      <c r="BR7" s="95"/>
      <c r="BS7" s="95"/>
      <c r="BT7" s="95"/>
      <c r="BU7" s="95"/>
      <c r="BV7" s="95"/>
      <c r="BW7" s="95"/>
      <c r="BX7" s="95"/>
      <c r="BY7" s="95"/>
      <c r="BZ7" s="95"/>
      <c r="CA7" s="95"/>
      <c r="CB7" s="95"/>
      <c r="CC7" s="95"/>
      <c r="CD7" s="95"/>
      <c r="CE7" s="95"/>
      <c r="CF7" s="95"/>
      <c r="CG7" s="95"/>
      <c r="CH7" s="95"/>
      <c r="CI7" s="95"/>
      <c r="CJ7" s="95"/>
      <c r="CK7" s="95"/>
      <c r="CL7" s="95"/>
      <c r="CM7" s="95"/>
      <c r="CN7" s="95"/>
      <c r="CO7" s="95"/>
      <c r="CP7" s="95"/>
      <c r="CQ7" s="95"/>
      <c r="CR7" s="95"/>
      <c r="CS7" s="95"/>
      <c r="CT7" s="95"/>
      <c r="CU7" s="95"/>
      <c r="CV7" s="95"/>
      <c r="CW7" s="95"/>
      <c r="CX7" s="95"/>
      <c r="CY7" s="95"/>
      <c r="CZ7" s="95"/>
      <c r="DA7" s="95"/>
      <c r="DB7" s="95"/>
      <c r="DC7" s="95"/>
      <c r="DD7" s="95"/>
      <c r="DE7" s="95"/>
      <c r="DF7" s="95"/>
      <c r="DG7" s="95"/>
      <c r="DH7" s="95"/>
      <c r="DI7" s="95"/>
      <c r="DJ7" s="95"/>
      <c r="DK7" s="95"/>
      <c r="DL7" s="95"/>
      <c r="DM7" s="95"/>
      <c r="DN7" s="95"/>
      <c r="DO7" s="95"/>
      <c r="DP7" s="95"/>
      <c r="DQ7" s="95"/>
      <c r="DR7" s="95"/>
      <c r="DS7" s="95"/>
      <c r="DT7" s="95"/>
      <c r="DU7" s="95"/>
      <c r="DV7" s="95"/>
      <c r="DW7" s="95"/>
      <c r="DX7" s="95"/>
      <c r="DY7" s="95"/>
      <c r="DZ7" s="95"/>
      <c r="EA7" s="95"/>
      <c r="EB7" s="95"/>
      <c r="EC7" s="95"/>
      <c r="ED7" s="95"/>
      <c r="EE7" s="95"/>
      <c r="EF7" s="95"/>
      <c r="EG7" s="95"/>
      <c r="EH7" s="95"/>
      <c r="EI7" s="95"/>
      <c r="EJ7" s="95"/>
      <c r="EK7" s="95"/>
      <c r="EL7" s="95"/>
      <c r="EM7" s="95"/>
      <c r="EN7" s="95"/>
      <c r="EO7" s="95"/>
      <c r="EP7" s="95"/>
      <c r="EQ7" s="95"/>
      <c r="ER7" s="95"/>
      <c r="ES7" s="95"/>
      <c r="ET7" s="95"/>
      <c r="EU7" s="95"/>
      <c r="EV7" s="95"/>
      <c r="EW7" s="95"/>
      <c r="EX7" s="95"/>
      <c r="EY7" s="95"/>
      <c r="EZ7" s="95"/>
      <c r="FA7" s="95"/>
      <c r="FB7" s="95"/>
      <c r="FC7" s="95"/>
      <c r="FD7" s="95"/>
      <c r="FE7" s="95"/>
      <c r="FF7" s="95"/>
      <c r="FG7" s="95"/>
      <c r="FH7" s="95"/>
      <c r="FI7" s="95"/>
      <c r="FJ7" s="95"/>
      <c r="FK7" s="95"/>
      <c r="FL7" s="95"/>
      <c r="FM7" s="95"/>
      <c r="FN7" s="95"/>
      <c r="FO7" s="95"/>
      <c r="FP7" s="95"/>
      <c r="FQ7" s="95"/>
      <c r="FR7" s="95"/>
      <c r="FS7" s="95"/>
      <c r="FT7" s="95"/>
      <c r="FU7" s="95"/>
      <c r="FV7" s="95"/>
      <c r="FW7" s="95"/>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c r="IL7" s="95"/>
      <c r="IM7" s="95"/>
      <c r="IN7" s="95"/>
      <c r="IO7" s="95"/>
      <c r="IP7" s="95"/>
      <c r="IQ7" s="95"/>
      <c r="IR7" s="95"/>
      <c r="IS7" s="95"/>
      <c r="IT7" s="95"/>
      <c r="IU7" s="95"/>
      <c r="IV7" s="95"/>
      <c r="IW7" s="95"/>
      <c r="IX7" s="95"/>
      <c r="IY7" s="95"/>
      <c r="IZ7" s="95"/>
      <c r="JA7" s="95"/>
      <c r="JB7" s="95"/>
      <c r="JC7" s="95"/>
      <c r="JD7" s="95"/>
      <c r="JE7" s="95"/>
      <c r="JF7" s="95"/>
      <c r="JG7" s="95"/>
      <c r="JH7" s="95"/>
      <c r="JI7" s="95"/>
      <c r="JJ7" s="95"/>
      <c r="JK7" s="95"/>
      <c r="JL7" s="95"/>
      <c r="JM7" s="95"/>
      <c r="JN7" s="95"/>
      <c r="JO7" s="95"/>
      <c r="JP7" s="95"/>
      <c r="JQ7" s="95"/>
      <c r="JR7" s="95"/>
      <c r="JS7" s="95"/>
      <c r="JT7" s="95"/>
      <c r="JU7" s="95"/>
      <c r="JV7" s="95"/>
      <c r="JW7" s="95"/>
      <c r="JX7" s="95"/>
      <c r="JY7" s="95"/>
      <c r="JZ7" s="95"/>
      <c r="KA7" s="95"/>
      <c r="KB7" s="95"/>
      <c r="KC7" s="95"/>
      <c r="KD7" s="95"/>
      <c r="KE7" s="95"/>
      <c r="KF7" s="95"/>
      <c r="KG7" s="95"/>
      <c r="KH7" s="95"/>
      <c r="KI7" s="95"/>
      <c r="KJ7" s="95"/>
      <c r="KK7" s="95"/>
      <c r="KL7" s="95"/>
      <c r="KM7" s="95"/>
      <c r="KN7" s="95"/>
      <c r="KO7" s="95"/>
      <c r="KP7" s="95"/>
      <c r="KQ7" s="95"/>
      <c r="KR7" s="95"/>
      <c r="KS7" s="95"/>
      <c r="KT7" s="95"/>
      <c r="KU7" s="95"/>
      <c r="KV7" s="95"/>
      <c r="KW7" s="95"/>
      <c r="KX7" s="95"/>
      <c r="KY7" s="95"/>
      <c r="KZ7" s="95"/>
      <c r="LA7" s="95"/>
      <c r="LB7" s="95"/>
      <c r="LC7" s="95"/>
      <c r="LD7" s="95"/>
      <c r="LE7" s="95"/>
      <c r="LF7" s="95"/>
      <c r="LG7" s="95"/>
      <c r="LH7" s="95"/>
      <c r="LI7" s="95"/>
      <c r="LJ7" s="95"/>
      <c r="LK7" s="95"/>
      <c r="LL7" s="95"/>
      <c r="LM7" s="95"/>
      <c r="LN7" s="95"/>
      <c r="LO7" s="95"/>
      <c r="LP7" s="95"/>
      <c r="LQ7" s="95"/>
      <c r="LR7" s="95"/>
      <c r="LS7" s="95"/>
      <c r="LT7" s="95"/>
      <c r="LU7" s="95"/>
      <c r="LV7" s="95"/>
      <c r="LW7" s="95"/>
      <c r="LX7" s="95"/>
      <c r="LY7" s="95"/>
      <c r="LZ7" s="95"/>
      <c r="MA7" s="95"/>
      <c r="MB7" s="95"/>
      <c r="MC7" s="95"/>
      <c r="MD7" s="95"/>
      <c r="ME7" s="95"/>
      <c r="MF7" s="95"/>
      <c r="MG7" s="95"/>
      <c r="MH7" s="95"/>
      <c r="MI7" s="95"/>
      <c r="MJ7" s="95"/>
      <c r="MK7" s="95"/>
      <c r="ML7" s="95"/>
      <c r="MM7" s="95"/>
      <c r="MN7" s="95"/>
      <c r="MO7" s="95"/>
      <c r="MP7" s="95"/>
      <c r="MQ7" s="95"/>
      <c r="MR7" s="95"/>
      <c r="MS7" s="95"/>
      <c r="MT7" s="95"/>
      <c r="MU7" s="95"/>
      <c r="MV7" s="95"/>
      <c r="MW7" s="95"/>
      <c r="MX7" s="95"/>
      <c r="MY7" s="95"/>
      <c r="MZ7" s="95"/>
      <c r="NA7" s="95"/>
      <c r="NB7" s="95"/>
      <c r="NC7" s="95"/>
      <c r="ND7" s="95"/>
    </row>
    <row r="8" spans="1:368" s="28" customFormat="1" ht="15" x14ac:dyDescent="0.25">
      <c r="A8" t="s">
        <v>44</v>
      </c>
      <c r="B8" s="142">
        <f t="shared" si="0"/>
        <v>0</v>
      </c>
      <c r="C8" s="143">
        <f t="shared" si="1"/>
        <v>0</v>
      </c>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c r="BN8" s="95"/>
      <c r="BO8" s="95"/>
      <c r="BP8" s="95"/>
      <c r="BQ8" s="95"/>
      <c r="BR8" s="95"/>
      <c r="BS8" s="95"/>
      <c r="BT8" s="95"/>
      <c r="BU8" s="95"/>
      <c r="BV8" s="95"/>
      <c r="BW8" s="95"/>
      <c r="BX8" s="95"/>
      <c r="BY8" s="95"/>
      <c r="BZ8" s="95"/>
      <c r="CA8" s="95"/>
      <c r="CB8" s="95"/>
      <c r="CC8" s="95"/>
      <c r="CD8" s="95"/>
      <c r="CE8" s="95"/>
      <c r="CF8" s="95"/>
      <c r="CG8" s="95"/>
      <c r="CH8" s="95"/>
      <c r="CI8" s="95"/>
      <c r="CJ8" s="95"/>
      <c r="CK8" s="95"/>
      <c r="CL8" s="95"/>
      <c r="CM8" s="95"/>
      <c r="CN8" s="95"/>
      <c r="CO8" s="95"/>
      <c r="CP8" s="95"/>
      <c r="CQ8" s="95"/>
      <c r="CR8" s="95"/>
      <c r="CS8" s="95"/>
      <c r="CT8" s="95"/>
      <c r="CU8" s="95"/>
      <c r="CV8" s="95"/>
      <c r="CW8" s="95"/>
      <c r="CX8" s="95"/>
      <c r="CY8" s="95"/>
      <c r="CZ8" s="95"/>
      <c r="DA8" s="95"/>
      <c r="DB8" s="95"/>
      <c r="DC8" s="95"/>
      <c r="DD8" s="95"/>
      <c r="DE8" s="95"/>
      <c r="DF8" s="95"/>
      <c r="DG8" s="95"/>
      <c r="DH8" s="95"/>
      <c r="DI8" s="95"/>
      <c r="DJ8" s="95"/>
      <c r="DK8" s="95"/>
      <c r="DL8" s="95"/>
      <c r="DM8" s="95"/>
      <c r="DN8" s="95"/>
      <c r="DO8" s="95"/>
      <c r="DP8" s="95"/>
      <c r="DQ8" s="95"/>
      <c r="DR8" s="95"/>
      <c r="DS8" s="95"/>
      <c r="DT8" s="95"/>
      <c r="DU8" s="95"/>
      <c r="DV8" s="95"/>
      <c r="DW8" s="95"/>
      <c r="DX8" s="95"/>
      <c r="DY8" s="95"/>
      <c r="DZ8" s="95"/>
      <c r="EA8" s="95"/>
      <c r="EB8" s="95"/>
      <c r="EC8" s="95"/>
      <c r="ED8" s="95"/>
      <c r="EE8" s="95"/>
      <c r="EF8" s="95"/>
      <c r="EG8" s="95"/>
      <c r="EH8" s="95"/>
      <c r="EI8" s="95"/>
      <c r="EJ8" s="95"/>
      <c r="EK8" s="95"/>
      <c r="EL8" s="95"/>
      <c r="EM8" s="95"/>
      <c r="EN8" s="95"/>
      <c r="EO8" s="95"/>
      <c r="EP8" s="95"/>
      <c r="EQ8" s="95"/>
      <c r="ER8" s="95"/>
      <c r="ES8" s="95"/>
      <c r="ET8" s="95"/>
      <c r="EU8" s="95"/>
      <c r="EV8" s="95"/>
      <c r="EW8" s="95"/>
      <c r="EX8" s="95"/>
      <c r="EY8" s="95"/>
      <c r="EZ8" s="95"/>
      <c r="FA8" s="95"/>
      <c r="FB8" s="95"/>
      <c r="FC8" s="95"/>
      <c r="FD8" s="95"/>
      <c r="FE8" s="95"/>
      <c r="FF8" s="95"/>
      <c r="FG8" s="95"/>
      <c r="FH8" s="95"/>
      <c r="FI8" s="95"/>
      <c r="FJ8" s="95"/>
      <c r="FK8" s="95"/>
      <c r="FL8" s="95"/>
      <c r="FM8" s="95"/>
      <c r="FN8" s="95"/>
      <c r="FO8" s="95"/>
      <c r="FP8" s="95"/>
      <c r="FQ8" s="95"/>
      <c r="FR8" s="95"/>
      <c r="FS8" s="95"/>
      <c r="FT8" s="95"/>
      <c r="FU8" s="95"/>
      <c r="FV8" s="95"/>
      <c r="FW8" s="95"/>
      <c r="FX8" s="95"/>
      <c r="FY8" s="95"/>
      <c r="FZ8" s="95"/>
      <c r="GA8" s="95"/>
      <c r="GB8" s="95"/>
      <c r="GC8" s="95"/>
      <c r="GD8" s="95"/>
      <c r="GE8" s="95"/>
      <c r="GF8" s="95"/>
      <c r="GG8" s="95"/>
      <c r="GH8" s="95"/>
      <c r="GI8" s="95"/>
      <c r="GJ8" s="95"/>
      <c r="GK8" s="95"/>
      <c r="GL8" s="95"/>
      <c r="GM8" s="95"/>
      <c r="GN8" s="95"/>
      <c r="GO8" s="95"/>
      <c r="GP8" s="95"/>
      <c r="GQ8" s="95"/>
      <c r="GR8" s="95"/>
      <c r="GS8" s="95"/>
      <c r="GT8" s="95"/>
      <c r="GU8" s="95"/>
      <c r="GV8" s="95"/>
      <c r="GW8" s="95"/>
      <c r="GX8" s="95"/>
      <c r="GY8" s="95"/>
      <c r="GZ8" s="95"/>
      <c r="HA8" s="95"/>
      <c r="HB8" s="95"/>
      <c r="HC8" s="95"/>
      <c r="HD8" s="95"/>
      <c r="HE8" s="95"/>
      <c r="HF8" s="95"/>
      <c r="HG8" s="95"/>
      <c r="HH8" s="95"/>
      <c r="HI8" s="95"/>
      <c r="HJ8" s="95"/>
      <c r="HK8" s="95"/>
      <c r="HL8" s="95"/>
      <c r="HM8" s="95"/>
      <c r="HN8" s="95"/>
      <c r="HO8" s="95"/>
      <c r="HP8" s="95"/>
      <c r="HQ8" s="95"/>
      <c r="HR8" s="95"/>
      <c r="HS8" s="95"/>
      <c r="HT8" s="95"/>
      <c r="HU8" s="95"/>
      <c r="HV8" s="95"/>
      <c r="HW8" s="95"/>
      <c r="HX8" s="95"/>
      <c r="HY8" s="95"/>
      <c r="HZ8" s="95"/>
      <c r="IA8" s="95"/>
      <c r="IB8" s="95"/>
      <c r="IC8" s="95"/>
      <c r="ID8" s="95"/>
      <c r="IE8" s="95"/>
      <c r="IF8" s="95"/>
      <c r="IG8" s="95"/>
      <c r="IH8" s="95"/>
      <c r="II8" s="95"/>
      <c r="IJ8" s="95"/>
      <c r="IK8" s="95"/>
      <c r="IL8" s="95"/>
      <c r="IM8" s="95"/>
      <c r="IN8" s="95"/>
      <c r="IO8" s="95"/>
      <c r="IP8" s="95"/>
      <c r="IQ8" s="95"/>
      <c r="IR8" s="95"/>
      <c r="IS8" s="95"/>
      <c r="IT8" s="95"/>
      <c r="IU8" s="95"/>
      <c r="IV8" s="95"/>
      <c r="IW8" s="95"/>
      <c r="IX8" s="95"/>
      <c r="IY8" s="95"/>
      <c r="IZ8" s="95"/>
      <c r="JA8" s="95"/>
      <c r="JB8" s="95"/>
      <c r="JC8" s="95"/>
      <c r="JD8" s="95"/>
      <c r="JE8" s="95"/>
      <c r="JF8" s="95"/>
      <c r="JG8" s="95"/>
      <c r="JH8" s="95"/>
      <c r="JI8" s="95"/>
      <c r="JJ8" s="95"/>
      <c r="JK8" s="95"/>
      <c r="JL8" s="95"/>
      <c r="JM8" s="95"/>
      <c r="JN8" s="95"/>
      <c r="JO8" s="95"/>
      <c r="JP8" s="95"/>
      <c r="JQ8" s="95"/>
      <c r="JR8" s="95"/>
      <c r="JS8" s="95"/>
      <c r="JT8" s="95"/>
      <c r="JU8" s="95"/>
      <c r="JV8" s="95"/>
      <c r="JW8" s="95"/>
      <c r="JX8" s="95"/>
      <c r="JY8" s="95"/>
      <c r="JZ8" s="95"/>
      <c r="KA8" s="95"/>
      <c r="KB8" s="95"/>
      <c r="KC8" s="95"/>
      <c r="KD8" s="95"/>
      <c r="KE8" s="95"/>
      <c r="KF8" s="95"/>
      <c r="KG8" s="95"/>
      <c r="KH8" s="95"/>
      <c r="KI8" s="95"/>
      <c r="KJ8" s="95"/>
      <c r="KK8" s="95"/>
      <c r="KL8" s="95"/>
      <c r="KM8" s="95"/>
      <c r="KN8" s="95"/>
      <c r="KO8" s="95"/>
      <c r="KP8" s="95"/>
      <c r="KQ8" s="95"/>
      <c r="KR8" s="95"/>
      <c r="KS8" s="95"/>
      <c r="KT8" s="95"/>
      <c r="KU8" s="95"/>
      <c r="KV8" s="95"/>
      <c r="KW8" s="95"/>
      <c r="KX8" s="95"/>
      <c r="KY8" s="95"/>
      <c r="KZ8" s="95"/>
      <c r="LA8" s="95"/>
      <c r="LB8" s="95"/>
      <c r="LC8" s="95"/>
      <c r="LD8" s="95"/>
      <c r="LE8" s="95"/>
      <c r="LF8" s="95"/>
      <c r="LG8" s="95"/>
      <c r="LH8" s="95"/>
      <c r="LI8" s="95"/>
      <c r="LJ8" s="95"/>
      <c r="LK8" s="95"/>
      <c r="LL8" s="95"/>
      <c r="LM8" s="95"/>
      <c r="LN8" s="95"/>
      <c r="LO8" s="95"/>
      <c r="LP8" s="95"/>
      <c r="LQ8" s="95"/>
      <c r="LR8" s="95"/>
      <c r="LS8" s="95"/>
      <c r="LT8" s="95"/>
      <c r="LU8" s="95"/>
      <c r="LV8" s="95"/>
      <c r="LW8" s="95"/>
      <c r="LX8" s="95"/>
      <c r="LY8" s="95"/>
      <c r="LZ8" s="95"/>
      <c r="MA8" s="95"/>
      <c r="MB8" s="95"/>
      <c r="MC8" s="95"/>
      <c r="MD8" s="95"/>
      <c r="ME8" s="95"/>
      <c r="MF8" s="95"/>
      <c r="MG8" s="95"/>
      <c r="MH8" s="95"/>
      <c r="MI8" s="95"/>
      <c r="MJ8" s="95"/>
      <c r="MK8" s="95"/>
      <c r="ML8" s="95"/>
      <c r="MM8" s="95"/>
      <c r="MN8" s="95"/>
      <c r="MO8" s="95"/>
      <c r="MP8" s="95"/>
      <c r="MQ8" s="95"/>
      <c r="MR8" s="95"/>
      <c r="MS8" s="95"/>
      <c r="MT8" s="95"/>
      <c r="MU8" s="95"/>
      <c r="MV8" s="95"/>
      <c r="MW8" s="95"/>
      <c r="MX8" s="95"/>
      <c r="MY8" s="95"/>
      <c r="MZ8" s="95"/>
      <c r="NA8" s="95"/>
      <c r="NB8" s="95"/>
      <c r="NC8" s="95"/>
      <c r="ND8" s="95"/>
    </row>
    <row r="9" spans="1:368" s="28" customFormat="1" ht="15" x14ac:dyDescent="0.25">
      <c r="A9" t="s">
        <v>45</v>
      </c>
      <c r="B9" s="142">
        <f t="shared" si="0"/>
        <v>0</v>
      </c>
      <c r="C9" s="143">
        <f t="shared" si="1"/>
        <v>0</v>
      </c>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c r="BM9" s="95"/>
      <c r="BN9" s="95"/>
      <c r="BO9" s="95"/>
      <c r="BP9" s="95"/>
      <c r="BQ9" s="95"/>
      <c r="BR9" s="95"/>
      <c r="BS9" s="95"/>
      <c r="BT9" s="95"/>
      <c r="BU9" s="95"/>
      <c r="BV9" s="95"/>
      <c r="BW9" s="95"/>
      <c r="BX9" s="95"/>
      <c r="BY9" s="95"/>
      <c r="BZ9" s="95"/>
      <c r="CA9" s="95"/>
      <c r="CB9" s="95"/>
      <c r="CC9" s="95"/>
      <c r="CD9" s="95"/>
      <c r="CE9" s="95"/>
      <c r="CF9" s="95"/>
      <c r="CG9" s="95"/>
      <c r="CH9" s="95"/>
      <c r="CI9" s="95"/>
      <c r="CJ9" s="95"/>
      <c r="CK9" s="95"/>
      <c r="CL9" s="95"/>
      <c r="CM9" s="95"/>
      <c r="CN9" s="95"/>
      <c r="CO9" s="95"/>
      <c r="CP9" s="95"/>
      <c r="CQ9" s="95"/>
      <c r="CR9" s="95"/>
      <c r="CS9" s="95"/>
      <c r="CT9" s="95"/>
      <c r="CU9" s="95"/>
      <c r="CV9" s="95"/>
      <c r="CW9" s="95"/>
      <c r="CX9" s="95"/>
      <c r="CY9" s="95"/>
      <c r="CZ9" s="95"/>
      <c r="DA9" s="95"/>
      <c r="DB9" s="95"/>
      <c r="DC9" s="95"/>
      <c r="DD9" s="95"/>
      <c r="DE9" s="95"/>
      <c r="DF9" s="95"/>
      <c r="DG9" s="95"/>
      <c r="DH9" s="95"/>
      <c r="DI9" s="95"/>
      <c r="DJ9" s="95"/>
      <c r="DK9" s="95"/>
      <c r="DL9" s="95"/>
      <c r="DM9" s="95"/>
      <c r="DN9" s="95"/>
      <c r="DO9" s="95"/>
      <c r="DP9" s="95"/>
      <c r="DQ9" s="95"/>
      <c r="DR9" s="95"/>
      <c r="DS9" s="95"/>
      <c r="DT9" s="95"/>
      <c r="DU9" s="95"/>
      <c r="DV9" s="95"/>
      <c r="DW9" s="95"/>
      <c r="DX9" s="95"/>
      <c r="DY9" s="95"/>
      <c r="DZ9" s="95"/>
      <c r="EA9" s="95"/>
      <c r="EB9" s="95"/>
      <c r="EC9" s="95"/>
      <c r="ED9" s="95"/>
      <c r="EE9" s="95"/>
      <c r="EF9" s="95"/>
      <c r="EG9" s="95"/>
      <c r="EH9" s="95"/>
      <c r="EI9" s="95"/>
      <c r="EJ9" s="95"/>
      <c r="EK9" s="95"/>
      <c r="EL9" s="95"/>
      <c r="EM9" s="95"/>
      <c r="EN9" s="95"/>
      <c r="EO9" s="95"/>
      <c r="EP9" s="95"/>
      <c r="EQ9" s="95"/>
      <c r="ER9" s="95"/>
      <c r="ES9" s="95"/>
      <c r="ET9" s="95"/>
      <c r="EU9" s="95"/>
      <c r="EV9" s="95"/>
      <c r="EW9" s="95"/>
      <c r="EX9" s="95"/>
      <c r="EY9" s="95"/>
      <c r="EZ9" s="95"/>
      <c r="FA9" s="95"/>
      <c r="FB9" s="95"/>
      <c r="FC9" s="95"/>
      <c r="FD9" s="95"/>
      <c r="FE9" s="95"/>
      <c r="FF9" s="95"/>
      <c r="FG9" s="95"/>
      <c r="FH9" s="95"/>
      <c r="FI9" s="95"/>
      <c r="FJ9" s="95"/>
      <c r="FK9" s="95"/>
      <c r="FL9" s="95"/>
      <c r="FM9" s="95"/>
      <c r="FN9" s="95"/>
      <c r="FO9" s="95"/>
      <c r="FP9" s="95"/>
      <c r="FQ9" s="95"/>
      <c r="FR9" s="95"/>
      <c r="FS9" s="95"/>
      <c r="FT9" s="95"/>
      <c r="FU9" s="95"/>
      <c r="FV9" s="95"/>
      <c r="FW9" s="95"/>
      <c r="FX9" s="95"/>
      <c r="FY9" s="95"/>
      <c r="FZ9" s="95"/>
      <c r="GA9" s="95"/>
      <c r="GB9" s="95"/>
      <c r="GC9" s="95"/>
      <c r="GD9" s="95"/>
      <c r="GE9" s="95"/>
      <c r="GF9" s="95"/>
      <c r="GG9" s="95"/>
      <c r="GH9" s="95"/>
      <c r="GI9" s="95"/>
      <c r="GJ9" s="95"/>
      <c r="GK9" s="95"/>
      <c r="GL9" s="95"/>
      <c r="GM9" s="95"/>
      <c r="GN9" s="95"/>
      <c r="GO9" s="95"/>
      <c r="GP9" s="95"/>
      <c r="GQ9" s="95"/>
      <c r="GR9" s="95"/>
      <c r="GS9" s="95"/>
      <c r="GT9" s="95"/>
      <c r="GU9" s="95"/>
      <c r="GV9" s="95"/>
      <c r="GW9" s="95"/>
      <c r="GX9" s="95"/>
      <c r="GY9" s="95"/>
      <c r="GZ9" s="95"/>
      <c r="HA9" s="95"/>
      <c r="HB9" s="95"/>
      <c r="HC9" s="95"/>
      <c r="HD9" s="95"/>
      <c r="HE9" s="95"/>
      <c r="HF9" s="95"/>
      <c r="HG9" s="95"/>
      <c r="HH9" s="95"/>
      <c r="HI9" s="95"/>
      <c r="HJ9" s="95"/>
      <c r="HK9" s="95"/>
      <c r="HL9" s="95"/>
      <c r="HM9" s="95"/>
      <c r="HN9" s="95"/>
      <c r="HO9" s="95"/>
      <c r="HP9" s="95"/>
      <c r="HQ9" s="95"/>
      <c r="HR9" s="95"/>
      <c r="HS9" s="95"/>
      <c r="HT9" s="95"/>
      <c r="HU9" s="95"/>
      <c r="HV9" s="95"/>
      <c r="HW9" s="95"/>
      <c r="HX9" s="95"/>
      <c r="HY9" s="95"/>
      <c r="HZ9" s="95"/>
      <c r="IA9" s="95"/>
      <c r="IB9" s="95"/>
      <c r="IC9" s="95"/>
      <c r="ID9" s="95"/>
      <c r="IE9" s="95"/>
      <c r="IF9" s="95"/>
      <c r="IG9" s="95"/>
      <c r="IH9" s="95"/>
      <c r="II9" s="95"/>
      <c r="IJ9" s="95"/>
      <c r="IK9" s="95"/>
      <c r="IL9" s="95"/>
      <c r="IM9" s="95"/>
      <c r="IN9" s="95"/>
      <c r="IO9" s="95"/>
      <c r="IP9" s="95"/>
      <c r="IQ9" s="95"/>
      <c r="IR9" s="95"/>
      <c r="IS9" s="95"/>
      <c r="IT9" s="95"/>
      <c r="IU9" s="95"/>
      <c r="IV9" s="95"/>
      <c r="IW9" s="95"/>
      <c r="IX9" s="95"/>
      <c r="IY9" s="95"/>
      <c r="IZ9" s="95"/>
      <c r="JA9" s="95"/>
      <c r="JB9" s="95"/>
      <c r="JC9" s="95"/>
      <c r="JD9" s="95"/>
      <c r="JE9" s="95"/>
      <c r="JF9" s="95"/>
      <c r="JG9" s="95"/>
      <c r="JH9" s="95"/>
      <c r="JI9" s="95"/>
      <c r="JJ9" s="95"/>
      <c r="JK9" s="95"/>
      <c r="JL9" s="95"/>
      <c r="JM9" s="95"/>
      <c r="JN9" s="95"/>
      <c r="JO9" s="95"/>
      <c r="JP9" s="95"/>
      <c r="JQ9" s="95"/>
      <c r="JR9" s="95"/>
      <c r="JS9" s="95"/>
      <c r="JT9" s="95"/>
      <c r="JU9" s="95"/>
      <c r="JV9" s="95"/>
      <c r="JW9" s="95"/>
      <c r="JX9" s="95"/>
      <c r="JY9" s="95"/>
      <c r="JZ9" s="95"/>
      <c r="KA9" s="95"/>
      <c r="KB9" s="95"/>
      <c r="KC9" s="95"/>
      <c r="KD9" s="95"/>
      <c r="KE9" s="95"/>
      <c r="KF9" s="95"/>
      <c r="KG9" s="95"/>
      <c r="KH9" s="95"/>
      <c r="KI9" s="95"/>
      <c r="KJ9" s="95"/>
      <c r="KK9" s="95"/>
      <c r="KL9" s="95"/>
      <c r="KM9" s="95"/>
      <c r="KN9" s="95"/>
      <c r="KO9" s="95"/>
      <c r="KP9" s="95"/>
      <c r="KQ9" s="95"/>
      <c r="KR9" s="95"/>
      <c r="KS9" s="95"/>
      <c r="KT9" s="95"/>
      <c r="KU9" s="95"/>
      <c r="KV9" s="95"/>
      <c r="KW9" s="95"/>
      <c r="KX9" s="95"/>
      <c r="KY9" s="95"/>
      <c r="KZ9" s="95"/>
      <c r="LA9" s="95"/>
      <c r="LB9" s="95"/>
      <c r="LC9" s="95"/>
      <c r="LD9" s="95"/>
      <c r="LE9" s="95"/>
      <c r="LF9" s="95"/>
      <c r="LG9" s="95"/>
      <c r="LH9" s="95"/>
      <c r="LI9" s="95"/>
      <c r="LJ9" s="95"/>
      <c r="LK9" s="95"/>
      <c r="LL9" s="95"/>
      <c r="LM9" s="95"/>
      <c r="LN9" s="95"/>
      <c r="LO9" s="95"/>
      <c r="LP9" s="95"/>
      <c r="LQ9" s="95"/>
      <c r="LR9" s="95"/>
      <c r="LS9" s="95"/>
      <c r="LT9" s="95"/>
      <c r="LU9" s="95"/>
      <c r="LV9" s="95"/>
      <c r="LW9" s="95"/>
      <c r="LX9" s="95"/>
      <c r="LY9" s="95"/>
      <c r="LZ9" s="95"/>
      <c r="MA9" s="95"/>
      <c r="MB9" s="95"/>
      <c r="MC9" s="95"/>
      <c r="MD9" s="95"/>
      <c r="ME9" s="95"/>
      <c r="MF9" s="95"/>
      <c r="MG9" s="95"/>
      <c r="MH9" s="95"/>
      <c r="MI9" s="95"/>
      <c r="MJ9" s="95"/>
      <c r="MK9" s="95"/>
      <c r="ML9" s="95"/>
      <c r="MM9" s="95"/>
      <c r="MN9" s="95"/>
      <c r="MO9" s="95"/>
      <c r="MP9" s="95"/>
      <c r="MQ9" s="95"/>
      <c r="MR9" s="95"/>
      <c r="MS9" s="95"/>
      <c r="MT9" s="95"/>
      <c r="MU9" s="95"/>
      <c r="MV9" s="95"/>
      <c r="MW9" s="95"/>
      <c r="MX9" s="95"/>
      <c r="MY9" s="95"/>
      <c r="MZ9" s="95"/>
      <c r="NA9" s="95"/>
      <c r="NB9" s="95"/>
      <c r="NC9" s="95"/>
      <c r="ND9" s="95"/>
    </row>
    <row r="10" spans="1:368" s="28" customFormat="1" ht="15" x14ac:dyDescent="0.25">
      <c r="A10" t="s">
        <v>46</v>
      </c>
      <c r="B10" s="142">
        <f t="shared" si="0"/>
        <v>0</v>
      </c>
      <c r="C10" s="143">
        <f t="shared" si="1"/>
        <v>0</v>
      </c>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c r="CI10" s="95"/>
      <c r="CJ10" s="95"/>
      <c r="CK10" s="95"/>
      <c r="CL10" s="95"/>
      <c r="CM10" s="95"/>
      <c r="CN10" s="95"/>
      <c r="CO10" s="95"/>
      <c r="CP10" s="95"/>
      <c r="CQ10" s="95"/>
      <c r="CR10" s="95"/>
      <c r="CS10" s="95"/>
      <c r="CT10" s="95"/>
      <c r="CU10" s="95"/>
      <c r="CV10" s="95"/>
      <c r="CW10" s="95"/>
      <c r="CX10" s="95"/>
      <c r="CY10" s="95"/>
      <c r="CZ10" s="95"/>
      <c r="DA10" s="95"/>
      <c r="DB10" s="95"/>
      <c r="DC10" s="95"/>
      <c r="DD10" s="95"/>
      <c r="DE10" s="95"/>
      <c r="DF10" s="95"/>
      <c r="DG10" s="95"/>
      <c r="DH10" s="95"/>
      <c r="DI10" s="95"/>
      <c r="DJ10" s="95"/>
      <c r="DK10" s="95"/>
      <c r="DL10" s="95"/>
      <c r="DM10" s="95"/>
      <c r="DN10" s="95"/>
      <c r="DO10" s="95"/>
      <c r="DP10" s="95"/>
      <c r="DQ10" s="95"/>
      <c r="DR10" s="95"/>
      <c r="DS10" s="95"/>
      <c r="DT10" s="95"/>
      <c r="DU10" s="95"/>
      <c r="DV10" s="95"/>
      <c r="DW10" s="95"/>
      <c r="DX10" s="95"/>
      <c r="DY10" s="95"/>
      <c r="DZ10" s="95"/>
      <c r="EA10" s="95"/>
      <c r="EB10" s="95"/>
      <c r="EC10" s="95"/>
      <c r="ED10" s="95"/>
      <c r="EE10" s="95"/>
      <c r="EF10" s="95"/>
      <c r="EG10" s="95"/>
      <c r="EH10" s="95"/>
      <c r="EI10" s="95"/>
      <c r="EJ10" s="95"/>
      <c r="EK10" s="95"/>
      <c r="EL10" s="95"/>
      <c r="EM10" s="95"/>
      <c r="EN10" s="95"/>
      <c r="EO10" s="95"/>
      <c r="EP10" s="95"/>
      <c r="EQ10" s="95"/>
      <c r="ER10" s="95"/>
      <c r="ES10" s="95"/>
      <c r="ET10" s="95"/>
      <c r="EU10" s="95"/>
      <c r="EV10" s="95"/>
      <c r="EW10" s="95"/>
      <c r="EX10" s="95"/>
      <c r="EY10" s="95"/>
      <c r="EZ10" s="95"/>
      <c r="FA10" s="95"/>
      <c r="FB10" s="95"/>
      <c r="FC10" s="95"/>
      <c r="FD10" s="95"/>
      <c r="FE10" s="95"/>
      <c r="FF10" s="95"/>
      <c r="FG10" s="95"/>
      <c r="FH10" s="95"/>
      <c r="FI10" s="95"/>
      <c r="FJ10" s="95"/>
      <c r="FK10" s="95"/>
      <c r="FL10" s="95"/>
      <c r="FM10" s="95"/>
      <c r="FN10" s="95"/>
      <c r="FO10" s="95"/>
      <c r="FP10" s="95"/>
      <c r="FQ10" s="95"/>
      <c r="FR10" s="95"/>
      <c r="FS10" s="95"/>
      <c r="FT10" s="95"/>
      <c r="FU10" s="95"/>
      <c r="FV10" s="95"/>
      <c r="FW10" s="95"/>
      <c r="FX10" s="95"/>
      <c r="FY10" s="95"/>
      <c r="FZ10" s="95"/>
      <c r="GA10" s="95"/>
      <c r="GB10" s="95"/>
      <c r="GC10" s="95"/>
      <c r="GD10" s="95"/>
      <c r="GE10" s="95"/>
      <c r="GF10" s="95"/>
      <c r="GG10" s="95"/>
      <c r="GH10" s="95"/>
      <c r="GI10" s="95"/>
      <c r="GJ10" s="95"/>
      <c r="GK10" s="95"/>
      <c r="GL10" s="95"/>
      <c r="GM10" s="95"/>
      <c r="GN10" s="95"/>
      <c r="GO10" s="95"/>
      <c r="GP10" s="95"/>
      <c r="GQ10" s="95"/>
      <c r="GR10" s="95"/>
      <c r="GS10" s="95"/>
      <c r="GT10" s="95"/>
      <c r="GU10" s="95"/>
      <c r="GV10" s="95"/>
      <c r="GW10" s="95"/>
      <c r="GX10" s="95"/>
      <c r="GY10" s="95"/>
      <c r="GZ10" s="95"/>
      <c r="HA10" s="95"/>
      <c r="HB10" s="95"/>
      <c r="HC10" s="95"/>
      <c r="HD10" s="95"/>
      <c r="HE10" s="95"/>
      <c r="HF10" s="95"/>
      <c r="HG10" s="95"/>
      <c r="HH10" s="95"/>
      <c r="HI10" s="95"/>
      <c r="HJ10" s="95"/>
      <c r="HK10" s="95"/>
      <c r="HL10" s="95"/>
      <c r="HM10" s="95"/>
      <c r="HN10" s="95"/>
      <c r="HO10" s="95"/>
      <c r="HP10" s="95"/>
      <c r="HQ10" s="95"/>
      <c r="HR10" s="95"/>
      <c r="HS10" s="95"/>
      <c r="HT10" s="95"/>
      <c r="HU10" s="95"/>
      <c r="HV10" s="95"/>
      <c r="HW10" s="95"/>
      <c r="HX10" s="95"/>
      <c r="HY10" s="95"/>
      <c r="HZ10" s="95"/>
      <c r="IA10" s="95"/>
      <c r="IB10" s="95"/>
      <c r="IC10" s="95"/>
      <c r="ID10" s="95"/>
      <c r="IE10" s="95"/>
      <c r="IF10" s="95"/>
      <c r="IG10" s="95"/>
      <c r="IH10" s="95"/>
      <c r="II10" s="95"/>
      <c r="IJ10" s="95"/>
      <c r="IK10" s="95"/>
      <c r="IL10" s="95"/>
      <c r="IM10" s="95"/>
      <c r="IN10" s="95"/>
      <c r="IO10" s="95"/>
      <c r="IP10" s="95"/>
      <c r="IQ10" s="95"/>
      <c r="IR10" s="95"/>
      <c r="IS10" s="95"/>
      <c r="IT10" s="95"/>
      <c r="IU10" s="95"/>
      <c r="IV10" s="95"/>
      <c r="IW10" s="95"/>
      <c r="IX10" s="95"/>
      <c r="IY10" s="95"/>
      <c r="IZ10" s="95"/>
      <c r="JA10" s="95"/>
      <c r="JB10" s="95"/>
      <c r="JC10" s="95"/>
      <c r="JD10" s="95"/>
      <c r="JE10" s="95"/>
      <c r="JF10" s="95"/>
      <c r="JG10" s="95"/>
      <c r="JH10" s="95"/>
      <c r="JI10" s="95"/>
      <c r="JJ10" s="95"/>
      <c r="JK10" s="95"/>
      <c r="JL10" s="95"/>
      <c r="JM10" s="95"/>
      <c r="JN10" s="95"/>
      <c r="JO10" s="95"/>
      <c r="JP10" s="95"/>
      <c r="JQ10" s="95"/>
      <c r="JR10" s="95"/>
      <c r="JS10" s="95"/>
      <c r="JT10" s="95"/>
      <c r="JU10" s="95"/>
      <c r="JV10" s="95"/>
      <c r="JW10" s="95"/>
      <c r="JX10" s="95"/>
      <c r="JY10" s="95"/>
      <c r="JZ10" s="95"/>
      <c r="KA10" s="95"/>
      <c r="KB10" s="95"/>
      <c r="KC10" s="95"/>
      <c r="KD10" s="95"/>
      <c r="KE10" s="95"/>
      <c r="KF10" s="95"/>
      <c r="KG10" s="95"/>
      <c r="KH10" s="95"/>
      <c r="KI10" s="95"/>
      <c r="KJ10" s="95"/>
      <c r="KK10" s="95"/>
      <c r="KL10" s="95"/>
      <c r="KM10" s="95"/>
      <c r="KN10" s="95"/>
      <c r="KO10" s="95"/>
      <c r="KP10" s="95"/>
      <c r="KQ10" s="95"/>
      <c r="KR10" s="95"/>
      <c r="KS10" s="95"/>
      <c r="KT10" s="95"/>
      <c r="KU10" s="95"/>
      <c r="KV10" s="95"/>
      <c r="KW10" s="95"/>
      <c r="KX10" s="95"/>
      <c r="KY10" s="95"/>
      <c r="KZ10" s="95"/>
      <c r="LA10" s="95"/>
      <c r="LB10" s="95"/>
      <c r="LC10" s="95"/>
      <c r="LD10" s="95"/>
      <c r="LE10" s="95"/>
      <c r="LF10" s="95"/>
      <c r="LG10" s="95"/>
      <c r="LH10" s="95"/>
      <c r="LI10" s="95"/>
      <c r="LJ10" s="95"/>
      <c r="LK10" s="95"/>
      <c r="LL10" s="95"/>
      <c r="LM10" s="95"/>
      <c r="LN10" s="95"/>
      <c r="LO10" s="95"/>
      <c r="LP10" s="95"/>
      <c r="LQ10" s="95"/>
      <c r="LR10" s="95"/>
      <c r="LS10" s="95"/>
      <c r="LT10" s="95"/>
      <c r="LU10" s="95"/>
      <c r="LV10" s="95"/>
      <c r="LW10" s="95"/>
      <c r="LX10" s="95"/>
      <c r="LY10" s="95"/>
      <c r="LZ10" s="95"/>
      <c r="MA10" s="95"/>
      <c r="MB10" s="95"/>
      <c r="MC10" s="95"/>
      <c r="MD10" s="95"/>
      <c r="ME10" s="95"/>
      <c r="MF10" s="95"/>
      <c r="MG10" s="95"/>
      <c r="MH10" s="95"/>
      <c r="MI10" s="95"/>
      <c r="MJ10" s="95"/>
      <c r="MK10" s="95"/>
      <c r="ML10" s="95"/>
      <c r="MM10" s="95"/>
      <c r="MN10" s="95"/>
      <c r="MO10" s="95"/>
      <c r="MP10" s="95"/>
      <c r="MQ10" s="95"/>
      <c r="MR10" s="95"/>
      <c r="MS10" s="95"/>
      <c r="MT10" s="95"/>
      <c r="MU10" s="95"/>
      <c r="MV10" s="95"/>
      <c r="MW10" s="95"/>
      <c r="MX10" s="95"/>
      <c r="MY10" s="95"/>
      <c r="MZ10" s="95"/>
      <c r="NA10" s="95"/>
      <c r="NB10" s="95"/>
      <c r="NC10" s="95"/>
      <c r="ND10" s="95"/>
    </row>
    <row r="11" spans="1:368" s="28" customFormat="1" ht="15" x14ac:dyDescent="0.25">
      <c r="A11" t="s">
        <v>47</v>
      </c>
      <c r="B11" s="142">
        <f t="shared" si="0"/>
        <v>0</v>
      </c>
      <c r="C11" s="143">
        <f t="shared" si="1"/>
        <v>0</v>
      </c>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95"/>
      <c r="BU11" s="95"/>
      <c r="BV11" s="95"/>
      <c r="BW11" s="95"/>
      <c r="BX11" s="95"/>
      <c r="BY11" s="95"/>
      <c r="BZ11" s="95"/>
      <c r="CA11" s="95"/>
      <c r="CB11" s="95"/>
      <c r="CC11" s="95"/>
      <c r="CD11" s="95"/>
      <c r="CE11" s="95"/>
      <c r="CF11" s="95"/>
      <c r="CG11" s="95"/>
      <c r="CH11" s="95"/>
      <c r="CI11" s="95"/>
      <c r="CJ11" s="95"/>
      <c r="CK11" s="95"/>
      <c r="CL11" s="95"/>
      <c r="CM11" s="95"/>
      <c r="CN11" s="95"/>
      <c r="CO11" s="95"/>
      <c r="CP11" s="95"/>
      <c r="CQ11" s="95"/>
      <c r="CR11" s="95"/>
      <c r="CS11" s="95"/>
      <c r="CT11" s="95"/>
      <c r="CU11" s="95"/>
      <c r="CV11" s="95"/>
      <c r="CW11" s="95"/>
      <c r="CX11" s="95"/>
      <c r="CY11" s="95"/>
      <c r="CZ11" s="95"/>
      <c r="DA11" s="95"/>
      <c r="DB11" s="95"/>
      <c r="DC11" s="95"/>
      <c r="DD11" s="95"/>
      <c r="DE11" s="95"/>
      <c r="DF11" s="95"/>
      <c r="DG11" s="95"/>
      <c r="DH11" s="95"/>
      <c r="DI11" s="95"/>
      <c r="DJ11" s="95"/>
      <c r="DK11" s="95"/>
      <c r="DL11" s="95"/>
      <c r="DM11" s="95"/>
      <c r="DN11" s="95"/>
      <c r="DO11" s="95"/>
      <c r="DP11" s="95"/>
      <c r="DQ11" s="95"/>
      <c r="DR11" s="95"/>
      <c r="DS11" s="95"/>
      <c r="DT11" s="95"/>
      <c r="DU11" s="95"/>
      <c r="DV11" s="95"/>
      <c r="DW11" s="95"/>
      <c r="DX11" s="95"/>
      <c r="DY11" s="95"/>
      <c r="DZ11" s="95"/>
      <c r="EA11" s="95"/>
      <c r="EB11" s="95"/>
      <c r="EC11" s="95"/>
      <c r="ED11" s="95"/>
      <c r="EE11" s="95"/>
      <c r="EF11" s="95"/>
      <c r="EG11" s="95"/>
      <c r="EH11" s="95"/>
      <c r="EI11" s="95"/>
      <c r="EJ11" s="95"/>
      <c r="EK11" s="95"/>
      <c r="EL11" s="95"/>
      <c r="EM11" s="95"/>
      <c r="EN11" s="95"/>
      <c r="EO11" s="95"/>
      <c r="EP11" s="95"/>
      <c r="EQ11" s="95"/>
      <c r="ER11" s="95"/>
      <c r="ES11" s="95"/>
      <c r="ET11" s="95"/>
      <c r="EU11" s="95"/>
      <c r="EV11" s="95"/>
      <c r="EW11" s="95"/>
      <c r="EX11" s="95"/>
      <c r="EY11" s="95"/>
      <c r="EZ11" s="95"/>
      <c r="FA11" s="95"/>
      <c r="FB11" s="95"/>
      <c r="FC11" s="95"/>
      <c r="FD11" s="95"/>
      <c r="FE11" s="95"/>
      <c r="FF11" s="95"/>
      <c r="FG11" s="95"/>
      <c r="FH11" s="95"/>
      <c r="FI11" s="95"/>
      <c r="FJ11" s="95"/>
      <c r="FK11" s="95"/>
      <c r="FL11" s="95"/>
      <c r="FM11" s="95"/>
      <c r="FN11" s="95"/>
      <c r="FO11" s="95"/>
      <c r="FP11" s="95"/>
      <c r="FQ11" s="95"/>
      <c r="FR11" s="95"/>
      <c r="FS11" s="95"/>
      <c r="FT11" s="95"/>
      <c r="FU11" s="95"/>
      <c r="FV11" s="95"/>
      <c r="FW11" s="95"/>
      <c r="FX11" s="95"/>
      <c r="FY11" s="95"/>
      <c r="FZ11" s="95"/>
      <c r="GA11" s="95"/>
      <c r="GB11" s="95"/>
      <c r="GC11" s="95"/>
      <c r="GD11" s="95"/>
      <c r="GE11" s="95"/>
      <c r="GF11" s="95"/>
      <c r="GG11" s="95"/>
      <c r="GH11" s="95"/>
      <c r="GI11" s="95"/>
      <c r="GJ11" s="95"/>
      <c r="GK11" s="95"/>
      <c r="GL11" s="95"/>
      <c r="GM11" s="95"/>
      <c r="GN11" s="95"/>
      <c r="GO11" s="95"/>
      <c r="GP11" s="95"/>
      <c r="GQ11" s="95"/>
      <c r="GR11" s="95"/>
      <c r="GS11" s="95"/>
      <c r="GT11" s="95"/>
      <c r="GU11" s="95"/>
      <c r="GV11" s="95"/>
      <c r="GW11" s="95"/>
      <c r="GX11" s="95"/>
      <c r="GY11" s="95"/>
      <c r="GZ11" s="95"/>
      <c r="HA11" s="95"/>
      <c r="HB11" s="95"/>
      <c r="HC11" s="95"/>
      <c r="HD11" s="95"/>
      <c r="HE11" s="95"/>
      <c r="HF11" s="95"/>
      <c r="HG11" s="95"/>
      <c r="HH11" s="95"/>
      <c r="HI11" s="95"/>
      <c r="HJ11" s="95"/>
      <c r="HK11" s="95"/>
      <c r="HL11" s="95"/>
      <c r="HM11" s="95"/>
      <c r="HN11" s="95"/>
      <c r="HO11" s="95"/>
      <c r="HP11" s="95"/>
      <c r="HQ11" s="95"/>
      <c r="HR11" s="95"/>
      <c r="HS11" s="95"/>
      <c r="HT11" s="95"/>
      <c r="HU11" s="95"/>
      <c r="HV11" s="95"/>
      <c r="HW11" s="95"/>
      <c r="HX11" s="95"/>
      <c r="HY11" s="95"/>
      <c r="HZ11" s="95"/>
      <c r="IA11" s="95"/>
      <c r="IB11" s="95"/>
      <c r="IC11" s="95"/>
      <c r="ID11" s="95"/>
      <c r="IE11" s="95"/>
      <c r="IF11" s="95"/>
      <c r="IG11" s="95"/>
      <c r="IH11" s="95"/>
      <c r="II11" s="95"/>
      <c r="IJ11" s="95"/>
      <c r="IK11" s="95"/>
      <c r="IL11" s="95"/>
      <c r="IM11" s="95"/>
      <c r="IN11" s="95"/>
      <c r="IO11" s="95"/>
      <c r="IP11" s="95"/>
      <c r="IQ11" s="95"/>
      <c r="IR11" s="95"/>
      <c r="IS11" s="95"/>
      <c r="IT11" s="95"/>
      <c r="IU11" s="95"/>
      <c r="IV11" s="95"/>
      <c r="IW11" s="95"/>
      <c r="IX11" s="95"/>
      <c r="IY11" s="95"/>
      <c r="IZ11" s="95"/>
      <c r="JA11" s="95"/>
      <c r="JB11" s="95"/>
      <c r="JC11" s="95"/>
      <c r="JD11" s="95"/>
      <c r="JE11" s="95"/>
      <c r="JF11" s="95"/>
      <c r="JG11" s="95"/>
      <c r="JH11" s="95"/>
      <c r="JI11" s="95"/>
      <c r="JJ11" s="95"/>
      <c r="JK11" s="95"/>
      <c r="JL11" s="95"/>
      <c r="JM11" s="95"/>
      <c r="JN11" s="95"/>
      <c r="JO11" s="95"/>
      <c r="JP11" s="95"/>
      <c r="JQ11" s="95"/>
      <c r="JR11" s="95"/>
      <c r="JS11" s="95"/>
      <c r="JT11" s="95"/>
      <c r="JU11" s="95"/>
      <c r="JV11" s="95"/>
      <c r="JW11" s="95"/>
      <c r="JX11" s="95"/>
      <c r="JY11" s="95"/>
      <c r="JZ11" s="95"/>
      <c r="KA11" s="95"/>
      <c r="KB11" s="95"/>
      <c r="KC11" s="95"/>
      <c r="KD11" s="95"/>
      <c r="KE11" s="95"/>
      <c r="KF11" s="95"/>
      <c r="KG11" s="95"/>
      <c r="KH11" s="95"/>
      <c r="KI11" s="95"/>
      <c r="KJ11" s="95"/>
      <c r="KK11" s="95"/>
      <c r="KL11" s="95"/>
      <c r="KM11" s="95"/>
      <c r="KN11" s="95"/>
      <c r="KO11" s="95"/>
      <c r="KP11" s="95"/>
      <c r="KQ11" s="95"/>
      <c r="KR11" s="95"/>
      <c r="KS11" s="95"/>
      <c r="KT11" s="95"/>
      <c r="KU11" s="95"/>
      <c r="KV11" s="95"/>
      <c r="KW11" s="95"/>
      <c r="KX11" s="95"/>
      <c r="KY11" s="95"/>
      <c r="KZ11" s="95"/>
      <c r="LA11" s="95"/>
      <c r="LB11" s="95"/>
      <c r="LC11" s="95"/>
      <c r="LD11" s="95"/>
      <c r="LE11" s="95"/>
      <c r="LF11" s="95"/>
      <c r="LG11" s="95"/>
      <c r="LH11" s="95"/>
      <c r="LI11" s="95"/>
      <c r="LJ11" s="95"/>
      <c r="LK11" s="95"/>
      <c r="LL11" s="95"/>
      <c r="LM11" s="95"/>
      <c r="LN11" s="95"/>
      <c r="LO11" s="95"/>
      <c r="LP11" s="95"/>
      <c r="LQ11" s="95"/>
      <c r="LR11" s="95"/>
      <c r="LS11" s="95"/>
      <c r="LT11" s="95"/>
      <c r="LU11" s="95"/>
      <c r="LV11" s="95"/>
      <c r="LW11" s="95"/>
      <c r="LX11" s="95"/>
      <c r="LY11" s="95"/>
      <c r="LZ11" s="95"/>
      <c r="MA11" s="95"/>
      <c r="MB11" s="95"/>
      <c r="MC11" s="95"/>
      <c r="MD11" s="95"/>
      <c r="ME11" s="95"/>
      <c r="MF11" s="95"/>
      <c r="MG11" s="95"/>
      <c r="MH11" s="95"/>
      <c r="MI11" s="95"/>
      <c r="MJ11" s="95"/>
      <c r="MK11" s="95"/>
      <c r="ML11" s="95"/>
      <c r="MM11" s="95"/>
      <c r="MN11" s="95"/>
      <c r="MO11" s="95"/>
      <c r="MP11" s="95"/>
      <c r="MQ11" s="95"/>
      <c r="MR11" s="95"/>
      <c r="MS11" s="95"/>
      <c r="MT11" s="95"/>
      <c r="MU11" s="95"/>
      <c r="MV11" s="95"/>
      <c r="MW11" s="95"/>
      <c r="MX11" s="95"/>
      <c r="MY11" s="95"/>
      <c r="MZ11" s="95"/>
      <c r="NA11" s="95"/>
      <c r="NB11" s="95"/>
      <c r="NC11" s="95"/>
      <c r="ND11" s="95"/>
    </row>
    <row r="12" spans="1:368" ht="15" x14ac:dyDescent="0.25">
      <c r="A12"/>
      <c r="B12"/>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row>
    <row r="13" spans="1:368" ht="15" x14ac:dyDescent="0.25">
      <c r="A13"/>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row>
    <row r="14" spans="1:368" ht="15" x14ac:dyDescent="0.25">
      <c r="A14"/>
      <c r="B14"/>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row>
    <row r="15" spans="1:368" ht="15" x14ac:dyDescent="0.25">
      <c r="A15"/>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row>
    <row r="16" spans="1:368" ht="15" x14ac:dyDescent="0.25">
      <c r="A16"/>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row>
    <row r="17" spans="1:368" ht="15" x14ac:dyDescent="0.25">
      <c r="A17"/>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row>
    <row r="18" spans="1:368" ht="15" x14ac:dyDescent="0.25">
      <c r="A18"/>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row>
    <row r="19" spans="1:368" ht="15" x14ac:dyDescent="0.25">
      <c r="A19"/>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row>
    <row r="20" spans="1:368" ht="15" x14ac:dyDescent="0.25">
      <c r="A20"/>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row>
    <row r="21" spans="1:368" ht="15" x14ac:dyDescent="0.25">
      <c r="A2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row>
    <row r="22" spans="1:368" ht="15" x14ac:dyDescent="0.25">
      <c r="A22"/>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row>
    <row r="23" spans="1:368" ht="15" x14ac:dyDescent="0.25">
      <c r="A23"/>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row>
    <row r="24" spans="1:368" ht="15" x14ac:dyDescent="0.25">
      <c r="A24"/>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row>
    <row r="25" spans="1:368" ht="15" x14ac:dyDescent="0.25">
      <c r="A25"/>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row>
    <row r="26" spans="1:368" ht="15" x14ac:dyDescent="0.25">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row>
    <row r="27" spans="1:368" ht="15" x14ac:dyDescent="0.25">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row>
    <row r="28" spans="1:368" ht="15" x14ac:dyDescent="0.25">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row>
    <row r="29" spans="1:368" ht="15" x14ac:dyDescent="0.25">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row>
    <row r="30" spans="1:368" ht="15" x14ac:dyDescent="0.25">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row>
    <row r="31" spans="1:368" ht="15" x14ac:dyDescent="0.25">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row>
    <row r="32" spans="1:368" ht="15" x14ac:dyDescent="0.25">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row>
    <row r="33" spans="1:368" ht="15" x14ac:dyDescent="0.25">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row>
    <row r="34" spans="1:368" ht="15" x14ac:dyDescent="0.25">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row>
    <row r="35" spans="1:368" ht="15" x14ac:dyDescent="0.25">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row>
    <row r="36" spans="1:368" ht="15" x14ac:dyDescent="0.25">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row>
    <row r="37" spans="1:368" ht="15" x14ac:dyDescent="0.25">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row>
    <row r="38" spans="1:368" ht="15" x14ac:dyDescent="0.25">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row>
    <row r="39" spans="1:368" ht="15" x14ac:dyDescent="0.25">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row>
    <row r="40" spans="1:368" ht="15" x14ac:dyDescent="0.25">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row>
  </sheetData>
  <conditionalFormatting sqref="D1:ND50">
    <cfRule type="expression" dxfId="367" priority="2">
      <formula>IF(DATEVALUE(D$1)=TODAY(),1,0)</formula>
    </cfRule>
  </conditionalFormatting>
  <dataValidations count="1">
    <dataValidation type="list" errorStyle="information" allowBlank="1" sqref="D2:ND11">
      <formula1>"a,l"</formula1>
    </dataValidation>
  </dataValidations>
  <pageMargins left="0.7" right="0.7" top="0.75" bottom="0.75" header="0.3" footer="0.3"/>
  <pageSetup orientation="portrait" horizontalDpi="4294967293"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Data Entry</vt:lpstr>
      <vt:lpstr>Options and Things to Try</vt:lpstr>
      <vt:lpstr>Explore</vt:lpstr>
      <vt:lpstr>Printouts</vt:lpstr>
      <vt:lpstr>Absences</vt:lpstr>
      <vt:lpstr>ColorTable</vt:lpstr>
      <vt:lpstr>Greenthreshold</vt:lpstr>
      <vt:lpstr>PercentageBreakdownCells</vt:lpstr>
      <vt:lpstr>'Data Entry'!Print_Area</vt:lpstr>
      <vt:lpstr>Printouts!Print_Area</vt:lpstr>
      <vt:lpstr>'Data Entry'!Print_Titles</vt:lpstr>
      <vt:lpstr>Printouts!Print_Titles</vt:lpstr>
      <vt:lpstr>Yellowthreshold</vt:lpstr>
    </vt:vector>
  </TitlesOfParts>
  <Company>Massachusetts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jabbott</dc:creator>
  <cp:lastModifiedBy>jabbott</cp:lastModifiedBy>
  <cp:lastPrinted>2014-11-11T07:49:49Z</cp:lastPrinted>
  <dcterms:created xsi:type="dcterms:W3CDTF">2013-03-23T16:29:11Z</dcterms:created>
  <dcterms:modified xsi:type="dcterms:W3CDTF">2015-07-15T06:02:08Z</dcterms:modified>
</cp:coreProperties>
</file>