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pivotTables/pivotTable1.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526"/>
  <workbookPr autoCompressPictures="0"/>
  <bookViews>
    <workbookView xWindow="0" yWindow="0" windowWidth="21600" windowHeight="9740" tabRatio="879"/>
  </bookViews>
  <sheets>
    <sheet name="Data Entry" sheetId="1" r:id="rId1"/>
    <sheet name="Options and Things to Try" sheetId="2" r:id="rId2"/>
    <sheet name="Explore" sheetId="3" r:id="rId3"/>
    <sheet name="Printouts" sheetId="9" r:id="rId4"/>
    <sheet name="Absences" sheetId="7" state="hidden" r:id="rId5"/>
  </sheets>
  <definedNames>
    <definedName name="ColorTable">'Options and Things to Try'!$B$36</definedName>
    <definedName name="Greenthreshold">'Options and Things to Try'!$B$37</definedName>
    <definedName name="PercentageBreakdownCells">'Data Entry'!$M$4:$R$4</definedName>
    <definedName name="_xlnm.Print_Area" localSheetId="0">'Data Entry'!$A$1:$R$21</definedName>
    <definedName name="_xlnm.Print_Area" localSheetId="3">Printouts!$C$2:$Q$38</definedName>
    <definedName name="_xlnm.Print_Titles" localSheetId="0">'Data Entry'!$A:$K,'Data Entry'!$1:$11</definedName>
    <definedName name="_xlnm.Print_Titles" localSheetId="3">Printouts!$C:$G,Printouts!$16:$16</definedName>
    <definedName name="Yellowthreshold">'Options and Things to Try'!$B$38</definedName>
  </definedNames>
  <calcPr calcId="140001" concurrentCalc="0"/>
  <pivotCaches>
    <pivotCache cacheId="0" r:id="rId6"/>
  </pivotCaches>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8" i="2" l="1"/>
  <c r="D37" i="2"/>
  <c r="D36" i="2"/>
  <c r="A5" i="1"/>
  <c r="I15" i="9"/>
  <c r="J15" i="9"/>
  <c r="K15" i="9"/>
  <c r="L15" i="9"/>
  <c r="M15" i="9"/>
  <c r="N15" i="9"/>
  <c r="O15" i="9"/>
  <c r="P15" i="9"/>
  <c r="Q15" i="9"/>
  <c r="B30" i="9"/>
  <c r="B31" i="9"/>
  <c r="B32" i="9"/>
  <c r="B33" i="9"/>
  <c r="B34" i="9"/>
  <c r="B35" i="9"/>
  <c r="B36" i="9"/>
  <c r="B37" i="9"/>
  <c r="B38" i="9"/>
  <c r="B23" i="9"/>
  <c r="B24" i="9"/>
  <c r="B25" i="9"/>
  <c r="B26" i="9"/>
  <c r="B27" i="9"/>
  <c r="D51" i="2"/>
  <c r="B7" i="1"/>
  <c r="B8" i="1"/>
  <c r="B9" i="1"/>
  <c r="B6" i="1"/>
  <c r="M12" i="1"/>
  <c r="M13" i="1"/>
  <c r="M14" i="1"/>
  <c r="M15" i="1"/>
  <c r="M16" i="1"/>
  <c r="M17" i="1"/>
  <c r="M18" i="1"/>
  <c r="M19" i="1"/>
  <c r="M20" i="1"/>
  <c r="M21" i="1"/>
  <c r="M3" i="1"/>
  <c r="C38" i="9"/>
  <c r="D38" i="9"/>
  <c r="E38" i="9"/>
  <c r="F38" i="9"/>
  <c r="G38" i="9"/>
  <c r="H38" i="9"/>
  <c r="I38" i="9"/>
  <c r="J38" i="9"/>
  <c r="K38" i="9"/>
  <c r="L38" i="9"/>
  <c r="M38" i="9"/>
  <c r="N38" i="9"/>
  <c r="O38" i="9"/>
  <c r="P38" i="9"/>
  <c r="Q38" i="9"/>
  <c r="C37" i="9"/>
  <c r="D37" i="9"/>
  <c r="E37" i="9"/>
  <c r="F37" i="9"/>
  <c r="G37" i="9"/>
  <c r="H37" i="9"/>
  <c r="I37" i="9"/>
  <c r="J37" i="9"/>
  <c r="K37" i="9"/>
  <c r="L37" i="9"/>
  <c r="M37" i="9"/>
  <c r="N37" i="9"/>
  <c r="O37" i="9"/>
  <c r="P37" i="9"/>
  <c r="Q37" i="9"/>
  <c r="C23" i="9"/>
  <c r="C24" i="9"/>
  <c r="C25" i="9"/>
  <c r="C26" i="9"/>
  <c r="C27" i="9"/>
  <c r="C22" i="9"/>
  <c r="C6" i="9"/>
  <c r="G23" i="9"/>
  <c r="G24" i="9"/>
  <c r="G25" i="9"/>
  <c r="G26" i="9"/>
  <c r="G27" i="9"/>
  <c r="G22" i="9"/>
  <c r="H16" i="9"/>
  <c r="I16" i="9"/>
  <c r="J16" i="9"/>
  <c r="K16" i="9"/>
  <c r="L16" i="9"/>
  <c r="M16" i="9"/>
  <c r="N16" i="9"/>
  <c r="O16" i="9"/>
  <c r="P16" i="9"/>
  <c r="Q16" i="9"/>
  <c r="C17" i="9"/>
  <c r="C18" i="9"/>
  <c r="C19" i="9"/>
  <c r="C29" i="9"/>
  <c r="D29" i="9"/>
  <c r="E29" i="9"/>
  <c r="F29" i="9"/>
  <c r="G29" i="9"/>
  <c r="C30" i="9"/>
  <c r="D30" i="9"/>
  <c r="E30" i="9"/>
  <c r="F30" i="9"/>
  <c r="G30" i="9"/>
  <c r="H30" i="9"/>
  <c r="I30" i="9"/>
  <c r="J30" i="9"/>
  <c r="K30" i="9"/>
  <c r="L30" i="9"/>
  <c r="M30" i="9"/>
  <c r="N30" i="9"/>
  <c r="O30" i="9"/>
  <c r="P30" i="9"/>
  <c r="Q30" i="9"/>
  <c r="C31" i="9"/>
  <c r="D31" i="9"/>
  <c r="E31" i="9"/>
  <c r="F31" i="9"/>
  <c r="G31" i="9"/>
  <c r="H31" i="9"/>
  <c r="I31" i="9"/>
  <c r="J31" i="9"/>
  <c r="K31" i="9"/>
  <c r="L31" i="9"/>
  <c r="M31" i="9"/>
  <c r="N31" i="9"/>
  <c r="O31" i="9"/>
  <c r="P31" i="9"/>
  <c r="Q31" i="9"/>
  <c r="C32" i="9"/>
  <c r="D32" i="9"/>
  <c r="E32" i="9"/>
  <c r="F32" i="9"/>
  <c r="G32" i="9"/>
  <c r="H32" i="9"/>
  <c r="I32" i="9"/>
  <c r="J32" i="9"/>
  <c r="K32" i="9"/>
  <c r="L32" i="9"/>
  <c r="M32" i="9"/>
  <c r="N32" i="9"/>
  <c r="O32" i="9"/>
  <c r="P32" i="9"/>
  <c r="Q32" i="9"/>
  <c r="C33" i="9"/>
  <c r="D33" i="9"/>
  <c r="E33" i="9"/>
  <c r="F33" i="9"/>
  <c r="G33" i="9"/>
  <c r="H33" i="9"/>
  <c r="I33" i="9"/>
  <c r="J33" i="9"/>
  <c r="K33" i="9"/>
  <c r="L33" i="9"/>
  <c r="M33" i="9"/>
  <c r="N33" i="9"/>
  <c r="O33" i="9"/>
  <c r="P33" i="9"/>
  <c r="Q33" i="9"/>
  <c r="C34" i="9"/>
  <c r="D34" i="9"/>
  <c r="E34" i="9"/>
  <c r="F34" i="9"/>
  <c r="G34" i="9"/>
  <c r="H34" i="9"/>
  <c r="I34" i="9"/>
  <c r="J34" i="9"/>
  <c r="K34" i="9"/>
  <c r="L34" i="9"/>
  <c r="M34" i="9"/>
  <c r="N34" i="9"/>
  <c r="O34" i="9"/>
  <c r="P34" i="9"/>
  <c r="Q34" i="9"/>
  <c r="C35" i="9"/>
  <c r="D35" i="9"/>
  <c r="E35" i="9"/>
  <c r="F35" i="9"/>
  <c r="G35" i="9"/>
  <c r="H35" i="9"/>
  <c r="I35" i="9"/>
  <c r="J35" i="9"/>
  <c r="K35" i="9"/>
  <c r="L35" i="9"/>
  <c r="M35" i="9"/>
  <c r="N35" i="9"/>
  <c r="O35" i="9"/>
  <c r="P35" i="9"/>
  <c r="Q35" i="9"/>
  <c r="C36" i="9"/>
  <c r="D36" i="9"/>
  <c r="E36" i="9"/>
  <c r="F36" i="9"/>
  <c r="G36" i="9"/>
  <c r="H36" i="9"/>
  <c r="I36" i="9"/>
  <c r="J36" i="9"/>
  <c r="K36" i="9"/>
  <c r="L36" i="9"/>
  <c r="M36" i="9"/>
  <c r="N36" i="9"/>
  <c r="O36" i="9"/>
  <c r="P36" i="9"/>
  <c r="Q36" i="9"/>
  <c r="D52" i="2"/>
  <c r="D54" i="2"/>
  <c r="C54" i="2"/>
  <c r="C52" i="2"/>
  <c r="C44" i="2"/>
  <c r="C45" i="2"/>
  <c r="C46" i="2"/>
  <c r="C47" i="2"/>
  <c r="C48" i="2"/>
  <c r="C49" i="2"/>
  <c r="C50" i="2"/>
  <c r="C51" i="2"/>
  <c r="C53" i="2"/>
  <c r="C43" i="2"/>
  <c r="D53" i="2"/>
  <c r="D50" i="2"/>
  <c r="D49" i="2"/>
  <c r="D48" i="2"/>
  <c r="D47" i="2"/>
  <c r="D46" i="2"/>
  <c r="D45" i="2"/>
  <c r="D44" i="2"/>
  <c r="D43" i="2"/>
  <c r="C3" i="7"/>
  <c r="C4" i="7"/>
  <c r="C5" i="7"/>
  <c r="C6" i="7"/>
  <c r="C7" i="7"/>
  <c r="C8" i="7"/>
  <c r="C9" i="7"/>
  <c r="C10" i="7"/>
  <c r="C11" i="7"/>
  <c r="B3" i="7"/>
  <c r="B4" i="7"/>
  <c r="B5" i="7"/>
  <c r="B6" i="7"/>
  <c r="B7" i="7"/>
  <c r="B8" i="7"/>
  <c r="B9" i="7"/>
  <c r="B10" i="7"/>
  <c r="B11" i="7"/>
  <c r="C2" i="7"/>
  <c r="B2" i="7"/>
  <c r="S6" i="1"/>
  <c r="T6" i="1"/>
  <c r="U6" i="1"/>
  <c r="V6" i="1"/>
  <c r="W6" i="1"/>
  <c r="X6" i="1"/>
  <c r="Y6" i="1"/>
  <c r="Z6" i="1"/>
  <c r="AA6" i="1"/>
  <c r="AB6" i="1"/>
  <c r="AC6" i="1"/>
  <c r="AD6" i="1"/>
  <c r="AE6" i="1"/>
  <c r="AF6" i="1"/>
  <c r="AG6" i="1"/>
  <c r="AH6" i="1"/>
  <c r="AI6" i="1"/>
  <c r="AJ6" i="1"/>
  <c r="AK6" i="1"/>
  <c r="AL6" i="1"/>
  <c r="AM6" i="1"/>
  <c r="AN6" i="1"/>
  <c r="AO6" i="1"/>
  <c r="AP6" i="1"/>
  <c r="AQ6" i="1"/>
  <c r="AR6" i="1"/>
  <c r="AS6" i="1"/>
  <c r="AT6" i="1"/>
  <c r="AU6" i="1"/>
  <c r="AV6"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S9" i="1"/>
  <c r="T9" i="1"/>
  <c r="U9" i="1"/>
  <c r="V9" i="1"/>
  <c r="W9" i="1"/>
  <c r="X9" i="1"/>
  <c r="Y9" i="1"/>
  <c r="Z9" i="1"/>
  <c r="AA9" i="1"/>
  <c r="AB9" i="1"/>
  <c r="AC9" i="1"/>
  <c r="AD9" i="1"/>
  <c r="AE9" i="1"/>
  <c r="AF9" i="1"/>
  <c r="AG9" i="1"/>
  <c r="AH9" i="1"/>
  <c r="AI9" i="1"/>
  <c r="AJ9" i="1"/>
  <c r="AK9" i="1"/>
  <c r="AL9" i="1"/>
  <c r="AM9" i="1"/>
  <c r="AN9" i="1"/>
  <c r="AO9" i="1"/>
  <c r="AP9" i="1"/>
  <c r="AQ9" i="1"/>
  <c r="AR9" i="1"/>
  <c r="AS9" i="1"/>
  <c r="AT9" i="1"/>
  <c r="AU9" i="1"/>
  <c r="AV9"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C36" i="2"/>
  <c r="I12" i="1"/>
  <c r="H18" i="9"/>
  <c r="I16" i="1"/>
  <c r="L18" i="9"/>
  <c r="I17" i="1"/>
  <c r="M18" i="9"/>
  <c r="I18" i="1"/>
  <c r="N18" i="9"/>
  <c r="I19" i="1"/>
  <c r="O18" i="9"/>
  <c r="I20" i="1"/>
  <c r="P18" i="9"/>
  <c r="I21" i="1"/>
  <c r="Q18" i="9"/>
  <c r="H16" i="1"/>
  <c r="L17" i="9"/>
  <c r="H17" i="1"/>
  <c r="M17" i="9"/>
  <c r="H18" i="1"/>
  <c r="N17" i="9"/>
  <c r="H19" i="1"/>
  <c r="O17" i="9"/>
  <c r="H20" i="1"/>
  <c r="P17" i="9"/>
  <c r="H21" i="1"/>
  <c r="Q17" i="9"/>
  <c r="H12" i="1"/>
  <c r="H17" i="9"/>
  <c r="H13" i="1"/>
  <c r="I17" i="9"/>
  <c r="I13" i="1"/>
  <c r="I18" i="9"/>
  <c r="H14" i="1"/>
  <c r="J17" i="9"/>
  <c r="I14" i="1"/>
  <c r="J18" i="9"/>
  <c r="H15" i="1"/>
  <c r="K17" i="9"/>
  <c r="I15" i="1"/>
  <c r="K18" i="9"/>
  <c r="R21" i="1"/>
  <c r="Q21" i="1"/>
  <c r="P21" i="1"/>
  <c r="O21" i="1"/>
  <c r="Q24" i="9"/>
  <c r="N21" i="1"/>
  <c r="K21" i="1"/>
  <c r="R20" i="1"/>
  <c r="Q20" i="1"/>
  <c r="P26" i="9"/>
  <c r="P20" i="1"/>
  <c r="O20" i="1"/>
  <c r="N20" i="1"/>
  <c r="R19" i="1"/>
  <c r="Q19" i="1"/>
  <c r="P19" i="1"/>
  <c r="O19" i="1"/>
  <c r="O24" i="9"/>
  <c r="N19" i="1"/>
  <c r="R18" i="1"/>
  <c r="Q18" i="1"/>
  <c r="N26" i="9"/>
  <c r="P18" i="1"/>
  <c r="O18" i="1"/>
  <c r="N18" i="1"/>
  <c r="R17" i="1"/>
  <c r="Q17" i="1"/>
  <c r="P17" i="1"/>
  <c r="O17" i="1"/>
  <c r="M24" i="9"/>
  <c r="N17" i="1"/>
  <c r="K17" i="1"/>
  <c r="R16" i="1"/>
  <c r="Q16" i="1"/>
  <c r="L26" i="9"/>
  <c r="P16" i="1"/>
  <c r="O16" i="1"/>
  <c r="N16" i="1"/>
  <c r="R15" i="1"/>
  <c r="Q15" i="1"/>
  <c r="P15" i="1"/>
  <c r="O15" i="1"/>
  <c r="K24" i="9"/>
  <c r="N15" i="1"/>
  <c r="R14" i="1"/>
  <c r="Q14" i="1"/>
  <c r="J26" i="9"/>
  <c r="P14" i="1"/>
  <c r="O14" i="1"/>
  <c r="N14" i="1"/>
  <c r="R13" i="1"/>
  <c r="Q13" i="1"/>
  <c r="P13" i="1"/>
  <c r="O13" i="1"/>
  <c r="I24" i="9"/>
  <c r="N13" i="1"/>
  <c r="K13" i="1"/>
  <c r="R12" i="1"/>
  <c r="Q12" i="1"/>
  <c r="H26" i="9"/>
  <c r="P12" i="1"/>
  <c r="O12" i="1"/>
  <c r="N12" i="1"/>
  <c r="K15" i="1"/>
  <c r="K19" i="1"/>
  <c r="K14" i="1"/>
  <c r="K18" i="1"/>
  <c r="K12" i="1"/>
  <c r="K20" i="1"/>
  <c r="K16" i="1"/>
  <c r="H23" i="9"/>
  <c r="H27" i="9"/>
  <c r="H29" i="9"/>
  <c r="I25" i="9"/>
  <c r="J23" i="9"/>
  <c r="J27" i="9"/>
  <c r="J29" i="9"/>
  <c r="K25" i="9"/>
  <c r="L23" i="9"/>
  <c r="L27" i="9"/>
  <c r="L29" i="9"/>
  <c r="M25" i="9"/>
  <c r="N23" i="9"/>
  <c r="N27" i="9"/>
  <c r="N29" i="9"/>
  <c r="O25" i="9"/>
  <c r="P23" i="9"/>
  <c r="P27" i="9"/>
  <c r="P29" i="9"/>
  <c r="Q25" i="9"/>
  <c r="H24" i="9"/>
  <c r="I26" i="9"/>
  <c r="J24" i="9"/>
  <c r="K26" i="9"/>
  <c r="L24" i="9"/>
  <c r="M26" i="9"/>
  <c r="N24" i="9"/>
  <c r="O26" i="9"/>
  <c r="P24" i="9"/>
  <c r="Q26" i="9"/>
  <c r="H25" i="9"/>
  <c r="I23" i="9"/>
  <c r="I27" i="9"/>
  <c r="I29" i="9"/>
  <c r="J25" i="9"/>
  <c r="K23" i="9"/>
  <c r="K27" i="9"/>
  <c r="K29" i="9"/>
  <c r="L25" i="9"/>
  <c r="M23" i="9"/>
  <c r="M27" i="9"/>
  <c r="M29" i="9"/>
  <c r="N25" i="9"/>
  <c r="O23" i="9"/>
  <c r="O27" i="9"/>
  <c r="O29" i="9"/>
  <c r="P25" i="9"/>
  <c r="Q23" i="9"/>
  <c r="Q27" i="9"/>
  <c r="Q29" i="9"/>
  <c r="M9" i="1"/>
  <c r="M8" i="1"/>
  <c r="M7" i="1"/>
  <c r="M10" i="1"/>
  <c r="M6" i="1"/>
  <c r="Q9" i="1"/>
  <c r="Q6" i="1"/>
  <c r="Q10" i="1"/>
  <c r="Q7" i="1"/>
  <c r="Q8" i="1"/>
  <c r="N8" i="1"/>
  <c r="N9" i="1"/>
  <c r="N6" i="1"/>
  <c r="N10" i="1"/>
  <c r="N7" i="1"/>
  <c r="R8" i="1"/>
  <c r="R9" i="1"/>
  <c r="R6" i="1"/>
  <c r="R10" i="1"/>
  <c r="R7" i="1"/>
  <c r="O7" i="1"/>
  <c r="O8" i="1"/>
  <c r="O9" i="1"/>
  <c r="O6" i="1"/>
  <c r="O10" i="1"/>
  <c r="P6" i="1"/>
  <c r="P10" i="1"/>
  <c r="P7" i="1"/>
  <c r="P8" i="1"/>
  <c r="P9" i="1"/>
  <c r="O19" i="9"/>
  <c r="L19" i="1"/>
  <c r="L19" i="9"/>
  <c r="L16" i="1"/>
  <c r="M19" i="9"/>
  <c r="L17" i="1"/>
  <c r="J19" i="9"/>
  <c r="L14" i="1"/>
  <c r="K19" i="9"/>
  <c r="L15" i="1"/>
  <c r="H19" i="9"/>
  <c r="L12" i="1"/>
  <c r="P19" i="9"/>
  <c r="L20" i="1"/>
  <c r="Q19" i="9"/>
  <c r="L21" i="1"/>
  <c r="I19" i="9"/>
  <c r="L13" i="1"/>
  <c r="N19" i="9"/>
  <c r="L18" i="1"/>
  <c r="K10" i="1"/>
  <c r="K6" i="1"/>
  <c r="K9" i="1"/>
  <c r="K8" i="1"/>
  <c r="K7" i="1"/>
  <c r="C20" i="2"/>
  <c r="C24" i="2"/>
  <c r="C28" i="2"/>
  <c r="C32" i="2"/>
  <c r="C21" i="2"/>
  <c r="C25" i="2"/>
  <c r="C29" i="2"/>
  <c r="C22" i="2"/>
  <c r="C26" i="2"/>
  <c r="C30" i="2"/>
  <c r="C23" i="2"/>
  <c r="C27" i="2"/>
  <c r="C31" i="2"/>
  <c r="I22" i="9"/>
  <c r="I20" i="9"/>
  <c r="P22" i="9"/>
  <c r="P20" i="9"/>
  <c r="K22" i="9"/>
  <c r="K20" i="9"/>
  <c r="M22" i="9"/>
  <c r="M20" i="9"/>
  <c r="O22" i="9"/>
  <c r="O20" i="9"/>
  <c r="N22" i="9"/>
  <c r="N20" i="9"/>
  <c r="Q22" i="9"/>
  <c r="Q20" i="9"/>
  <c r="H22" i="9"/>
  <c r="H20" i="9"/>
  <c r="J22" i="9"/>
  <c r="J20" i="9"/>
  <c r="L22" i="9"/>
  <c r="L20" i="9"/>
</calcChain>
</file>

<file path=xl/sharedStrings.xml><?xml version="1.0" encoding="utf-8"?>
<sst xmlns="http://schemas.openxmlformats.org/spreadsheetml/2006/main" count="559" uniqueCount="505">
  <si>
    <t>Assessment Type</t>
  </si>
  <si>
    <t>Points</t>
  </si>
  <si>
    <t>Weight</t>
  </si>
  <si>
    <t>Class</t>
  </si>
  <si>
    <t>Name</t>
  </si>
  <si>
    <t>Race</t>
  </si>
  <si>
    <t>Gender</t>
  </si>
  <si>
    <t>Age</t>
  </si>
  <si>
    <t>Repeated Grades</t>
  </si>
  <si>
    <t>Financial Status</t>
  </si>
  <si>
    <t>Absences</t>
  </si>
  <si>
    <t>Make your own categories</t>
  </si>
  <si>
    <t>Projects</t>
  </si>
  <si>
    <t>Assessment 2</t>
  </si>
  <si>
    <t>Assessment 3</t>
  </si>
  <si>
    <t>Assessment 4</t>
  </si>
  <si>
    <t>Assessment 5</t>
  </si>
  <si>
    <t>Assessment 6</t>
  </si>
  <si>
    <t>Assessment 7</t>
  </si>
  <si>
    <t>Assessment 8</t>
  </si>
  <si>
    <t>Assessment 9</t>
  </si>
  <si>
    <t>Assessment 10</t>
  </si>
  <si>
    <t>Assessment 11</t>
  </si>
  <si>
    <t>Assessment 12</t>
  </si>
  <si>
    <t>Assessment 13</t>
  </si>
  <si>
    <t>Assessment 14</t>
  </si>
  <si>
    <t>Assessment 15</t>
  </si>
  <si>
    <t>Assessment 16</t>
  </si>
  <si>
    <t>Assessment 17</t>
  </si>
  <si>
    <t>Assessment 18</t>
  </si>
  <si>
    <t>Assessment 19</t>
  </si>
  <si>
    <t>Assessment 20</t>
  </si>
  <si>
    <t>Assessment 21</t>
  </si>
  <si>
    <t>Assessment 22</t>
  </si>
  <si>
    <t>Assessment 23</t>
  </si>
  <si>
    <t>Assessment 24</t>
  </si>
  <si>
    <t>Assessment 25</t>
  </si>
  <si>
    <t>Student 1</t>
  </si>
  <si>
    <t>Student 2</t>
  </si>
  <si>
    <t>Student 3</t>
  </si>
  <si>
    <t>Excused</t>
  </si>
  <si>
    <t>Student 4</t>
  </si>
  <si>
    <t>Student 5</t>
  </si>
  <si>
    <t>Student 6</t>
  </si>
  <si>
    <t>Student 7</t>
  </si>
  <si>
    <t>Student 8</t>
  </si>
  <si>
    <t>Student 9</t>
  </si>
  <si>
    <t>Student 10</t>
  </si>
  <si>
    <t>Options and Things to Try</t>
  </si>
  <si>
    <t>For Coloring:</t>
  </si>
  <si>
    <t>Yes</t>
  </si>
  <si>
    <t>Things to Try:</t>
  </si>
  <si>
    <t>Set up autosave</t>
  </si>
  <si>
    <t>Add a total row</t>
  </si>
  <si>
    <t>Add demographics</t>
  </si>
  <si>
    <t>Filter and sort</t>
  </si>
  <si>
    <t>Change color scheme</t>
  </si>
  <si>
    <t>About</t>
  </si>
  <si>
    <t>Version</t>
  </si>
  <si>
    <t>http://web.mit.edu/jabbott/www/excelgradetracker.html</t>
  </si>
  <si>
    <t>Author</t>
  </si>
  <si>
    <t>Jonathan Abbott</t>
  </si>
  <si>
    <t>Row Labels</t>
  </si>
  <si>
    <t>Grand Total</t>
  </si>
  <si>
    <t>Grade Report</t>
  </si>
  <si>
    <t>[Your School]</t>
  </si>
  <si>
    <t>Teacher: [Your name]</t>
  </si>
  <si>
    <t>Class: [Your Class]</t>
  </si>
  <si>
    <t>Score</t>
  </si>
  <si>
    <t>a</t>
  </si>
  <si>
    <t>24-Aug</t>
  </si>
  <si>
    <t>23-Aug</t>
  </si>
  <si>
    <t>22-Aug</t>
  </si>
  <si>
    <t>21-Aug</t>
  </si>
  <si>
    <t>20-Aug</t>
  </si>
  <si>
    <t>19-Aug</t>
  </si>
  <si>
    <t>18-Aug</t>
  </si>
  <si>
    <t>17-Aug</t>
  </si>
  <si>
    <t>16-Aug</t>
  </si>
  <si>
    <t>15-Aug</t>
  </si>
  <si>
    <t>14-Aug</t>
  </si>
  <si>
    <t>13-Aug</t>
  </si>
  <si>
    <t>12-Aug</t>
  </si>
  <si>
    <t>11-Aug</t>
  </si>
  <si>
    <t>10-Aug</t>
  </si>
  <si>
    <t>9-Aug</t>
  </si>
  <si>
    <t>8-Aug</t>
  </si>
  <si>
    <t>7-Aug</t>
  </si>
  <si>
    <t>6-Aug</t>
  </si>
  <si>
    <t>5-Aug</t>
  </si>
  <si>
    <t>4-Aug</t>
  </si>
  <si>
    <t>3-Aug</t>
  </si>
  <si>
    <t>2-Aug</t>
  </si>
  <si>
    <t>1-Aug</t>
  </si>
  <si>
    <t>31-Jul</t>
  </si>
  <si>
    <t>30-Jul</t>
  </si>
  <si>
    <t>29-Jul</t>
  </si>
  <si>
    <t>28-Jul</t>
  </si>
  <si>
    <t>27-Jul</t>
  </si>
  <si>
    <t>26-Jul</t>
  </si>
  <si>
    <t>25-Jul</t>
  </si>
  <si>
    <t>24-Jul</t>
  </si>
  <si>
    <t>23-Jul</t>
  </si>
  <si>
    <t>22-Jul</t>
  </si>
  <si>
    <t>21-Jul</t>
  </si>
  <si>
    <t>20-Jul</t>
  </si>
  <si>
    <t>19-Jul</t>
  </si>
  <si>
    <t>18-Jul</t>
  </si>
  <si>
    <t>17-Jul</t>
  </si>
  <si>
    <t>16-Jul</t>
  </si>
  <si>
    <t>15-Jul</t>
  </si>
  <si>
    <t>14-Jul</t>
  </si>
  <si>
    <t>13-Jul</t>
  </si>
  <si>
    <t>12-Jul</t>
  </si>
  <si>
    <t>11-Jul</t>
  </si>
  <si>
    <t>10-Jul</t>
  </si>
  <si>
    <t>9-Jul</t>
  </si>
  <si>
    <t>8-Jul</t>
  </si>
  <si>
    <t>7-Jul</t>
  </si>
  <si>
    <t>6-Jul</t>
  </si>
  <si>
    <t>5-Jul</t>
  </si>
  <si>
    <t>4-Jul</t>
  </si>
  <si>
    <t>3-Jul</t>
  </si>
  <si>
    <t>2-Jul</t>
  </si>
  <si>
    <t>1-Jul</t>
  </si>
  <si>
    <t>30-Jun</t>
  </si>
  <si>
    <t>29-Jun</t>
  </si>
  <si>
    <t>28-Jun</t>
  </si>
  <si>
    <t>27-Jun</t>
  </si>
  <si>
    <t>26-Jun</t>
  </si>
  <si>
    <t>25-Jun</t>
  </si>
  <si>
    <t>24-Jun</t>
  </si>
  <si>
    <t>23-Jun</t>
  </si>
  <si>
    <t>22-Jun</t>
  </si>
  <si>
    <t>21-Jun</t>
  </si>
  <si>
    <t>20-Jun</t>
  </si>
  <si>
    <t>19-Jun</t>
  </si>
  <si>
    <t>18-Jun</t>
  </si>
  <si>
    <t>17-Jun</t>
  </si>
  <si>
    <t>16-Jun</t>
  </si>
  <si>
    <t>15-Jun</t>
  </si>
  <si>
    <t>14-Jun</t>
  </si>
  <si>
    <t>13-Jun</t>
  </si>
  <si>
    <t>12-Jun</t>
  </si>
  <si>
    <t>11-Jun</t>
  </si>
  <si>
    <t>10-Jun</t>
  </si>
  <si>
    <t>9-Jun</t>
  </si>
  <si>
    <t>8-Jun</t>
  </si>
  <si>
    <t>7-Jun</t>
  </si>
  <si>
    <t>6-Jun</t>
  </si>
  <si>
    <t>5-Jun</t>
  </si>
  <si>
    <t>4-Jun</t>
  </si>
  <si>
    <t>3-Jun</t>
  </si>
  <si>
    <t>2-Jun</t>
  </si>
  <si>
    <t>1-Jun</t>
  </si>
  <si>
    <t>31-May</t>
  </si>
  <si>
    <t>30-May</t>
  </si>
  <si>
    <t>29-May</t>
  </si>
  <si>
    <t>28-May</t>
  </si>
  <si>
    <t>27-May</t>
  </si>
  <si>
    <t>26-May</t>
  </si>
  <si>
    <t>25-May</t>
  </si>
  <si>
    <t>24-May</t>
  </si>
  <si>
    <t>23-May</t>
  </si>
  <si>
    <t>22-May</t>
  </si>
  <si>
    <t>21-May</t>
  </si>
  <si>
    <t>20-May</t>
  </si>
  <si>
    <t>19-May</t>
  </si>
  <si>
    <t>18-May</t>
  </si>
  <si>
    <t>17-May</t>
  </si>
  <si>
    <t>16-May</t>
  </si>
  <si>
    <t>15-May</t>
  </si>
  <si>
    <t>14-May</t>
  </si>
  <si>
    <t>13-May</t>
  </si>
  <si>
    <t>12-May</t>
  </si>
  <si>
    <t>11-May</t>
  </si>
  <si>
    <t>10-May</t>
  </si>
  <si>
    <t>9-May</t>
  </si>
  <si>
    <t>8-May</t>
  </si>
  <si>
    <t>7-May</t>
  </si>
  <si>
    <t>6-May</t>
  </si>
  <si>
    <t>5-May</t>
  </si>
  <si>
    <t>4-May</t>
  </si>
  <si>
    <t>3-May</t>
  </si>
  <si>
    <t>2-May</t>
  </si>
  <si>
    <t>1-May</t>
  </si>
  <si>
    <t>30-Apr</t>
  </si>
  <si>
    <t>29-Apr</t>
  </si>
  <si>
    <t>28-Apr</t>
  </si>
  <si>
    <t>27-Apr</t>
  </si>
  <si>
    <t>26-Apr</t>
  </si>
  <si>
    <t>25-Apr</t>
  </si>
  <si>
    <t>24-Apr</t>
  </si>
  <si>
    <t>23-Apr</t>
  </si>
  <si>
    <t>22-Apr</t>
  </si>
  <si>
    <t>21-Apr</t>
  </si>
  <si>
    <t>20-Apr</t>
  </si>
  <si>
    <t>19-Apr</t>
  </si>
  <si>
    <t>18-Apr</t>
  </si>
  <si>
    <t>17-Apr</t>
  </si>
  <si>
    <t>16-Apr</t>
  </si>
  <si>
    <t>15-Apr</t>
  </si>
  <si>
    <t>14-Apr</t>
  </si>
  <si>
    <t>13-Apr</t>
  </si>
  <si>
    <t>12-Apr</t>
  </si>
  <si>
    <t>11-Apr</t>
  </si>
  <si>
    <t>10-Apr</t>
  </si>
  <si>
    <t>9-Apr</t>
  </si>
  <si>
    <t>8-Apr</t>
  </si>
  <si>
    <t>7-Apr</t>
  </si>
  <si>
    <t>6-Apr</t>
  </si>
  <si>
    <t>5-Apr</t>
  </si>
  <si>
    <t>4-Apr</t>
  </si>
  <si>
    <t>3-Apr</t>
  </si>
  <si>
    <t>2-Apr</t>
  </si>
  <si>
    <t>1-Apr</t>
  </si>
  <si>
    <t>31-Mar</t>
  </si>
  <si>
    <t>30-Mar</t>
  </si>
  <si>
    <t>29-Mar</t>
  </si>
  <si>
    <t>28-Mar</t>
  </si>
  <si>
    <t>27-Mar</t>
  </si>
  <si>
    <t>26-Mar</t>
  </si>
  <si>
    <t>25-Mar</t>
  </si>
  <si>
    <t>24-Mar</t>
  </si>
  <si>
    <t>23-Mar</t>
  </si>
  <si>
    <t>22-Mar</t>
  </si>
  <si>
    <t>21-Mar</t>
  </si>
  <si>
    <t>20-Mar</t>
  </si>
  <si>
    <t>19-Mar</t>
  </si>
  <si>
    <t>18-Mar</t>
  </si>
  <si>
    <t>17-Mar</t>
  </si>
  <si>
    <t>16-Mar</t>
  </si>
  <si>
    <t>15-Mar</t>
  </si>
  <si>
    <t>14-Mar</t>
  </si>
  <si>
    <t>13-Mar</t>
  </si>
  <si>
    <t>12-Mar</t>
  </si>
  <si>
    <t>11-Mar</t>
  </si>
  <si>
    <t>10-Mar</t>
  </si>
  <si>
    <t>9-Mar</t>
  </si>
  <si>
    <t>8-Mar</t>
  </si>
  <si>
    <t>7-Mar</t>
  </si>
  <si>
    <t>6-Mar</t>
  </si>
  <si>
    <t>5-Mar</t>
  </si>
  <si>
    <t>4-Mar</t>
  </si>
  <si>
    <t>3-Mar</t>
  </si>
  <si>
    <t>2-Mar</t>
  </si>
  <si>
    <t>1-Mar</t>
  </si>
  <si>
    <t>28-Feb</t>
  </si>
  <si>
    <t>27-Feb</t>
  </si>
  <si>
    <t>26-Feb</t>
  </si>
  <si>
    <t>25-Feb</t>
  </si>
  <si>
    <t>24-Feb</t>
  </si>
  <si>
    <t>23-Feb</t>
  </si>
  <si>
    <t>22-Feb</t>
  </si>
  <si>
    <t>21-Feb</t>
  </si>
  <si>
    <t>20-Feb</t>
  </si>
  <si>
    <t>19-Feb</t>
  </si>
  <si>
    <t>18-Feb</t>
  </si>
  <si>
    <t>17-Feb</t>
  </si>
  <si>
    <t>16-Feb</t>
  </si>
  <si>
    <t>15-Feb</t>
  </si>
  <si>
    <t>14-Feb</t>
  </si>
  <si>
    <t>13-Feb</t>
  </si>
  <si>
    <t>12-Feb</t>
  </si>
  <si>
    <t>11-Feb</t>
  </si>
  <si>
    <t>10-Feb</t>
  </si>
  <si>
    <t>9-Feb</t>
  </si>
  <si>
    <t>8-Feb</t>
  </si>
  <si>
    <t>7-Feb</t>
  </si>
  <si>
    <t>6-Feb</t>
  </si>
  <si>
    <t>5-Feb</t>
  </si>
  <si>
    <t>4-Feb</t>
  </si>
  <si>
    <t>3-Feb</t>
  </si>
  <si>
    <t>2-Feb</t>
  </si>
  <si>
    <t>1-Feb</t>
  </si>
  <si>
    <t>31-Jan</t>
  </si>
  <si>
    <t>30-Jan</t>
  </si>
  <si>
    <t>29-Jan</t>
  </si>
  <si>
    <t>28-Jan</t>
  </si>
  <si>
    <t>27-Jan</t>
  </si>
  <si>
    <t>26-Jan</t>
  </si>
  <si>
    <t>25-Jan</t>
  </si>
  <si>
    <t>24-Jan</t>
  </si>
  <si>
    <t>23-Jan</t>
  </si>
  <si>
    <t>22-Jan</t>
  </si>
  <si>
    <t>21-Jan</t>
  </si>
  <si>
    <t>20-Jan</t>
  </si>
  <si>
    <t>19-Jan</t>
  </si>
  <si>
    <t>18-Jan</t>
  </si>
  <si>
    <t>17-Jan</t>
  </si>
  <si>
    <t>16-Jan</t>
  </si>
  <si>
    <t>15-Jan</t>
  </si>
  <si>
    <t>14-Jan</t>
  </si>
  <si>
    <t>13-Jan</t>
  </si>
  <si>
    <t>12-Jan</t>
  </si>
  <si>
    <t>11-Jan</t>
  </si>
  <si>
    <t>10-Jan</t>
  </si>
  <si>
    <t>9-Jan</t>
  </si>
  <si>
    <t>8-Jan</t>
  </si>
  <si>
    <t>7-Jan</t>
  </si>
  <si>
    <t>6-Jan</t>
  </si>
  <si>
    <t>5-Jan</t>
  </si>
  <si>
    <t>4-Jan</t>
  </si>
  <si>
    <t>3-Jan</t>
  </si>
  <si>
    <t>2-Jan</t>
  </si>
  <si>
    <t>1-Jan</t>
  </si>
  <si>
    <t>31-Dec</t>
  </si>
  <si>
    <t>30-Dec</t>
  </si>
  <si>
    <t>29-Dec</t>
  </si>
  <si>
    <t>28-Dec</t>
  </si>
  <si>
    <t>27-Dec</t>
  </si>
  <si>
    <t>26-Dec</t>
  </si>
  <si>
    <t>25-Dec</t>
  </si>
  <si>
    <t>24-Dec</t>
  </si>
  <si>
    <t>23-Dec</t>
  </si>
  <si>
    <t>22-Dec</t>
  </si>
  <si>
    <t>21-Dec</t>
  </si>
  <si>
    <t>20-Dec</t>
  </si>
  <si>
    <t>19-Dec</t>
  </si>
  <si>
    <t>18-Dec</t>
  </si>
  <si>
    <t>17-Dec</t>
  </si>
  <si>
    <t>16-Dec</t>
  </si>
  <si>
    <t>15-Dec</t>
  </si>
  <si>
    <t>14-Dec</t>
  </si>
  <si>
    <t>13-Dec</t>
  </si>
  <si>
    <t>12-Dec</t>
  </si>
  <si>
    <t>11-Dec</t>
  </si>
  <si>
    <t>10-Dec</t>
  </si>
  <si>
    <t>9-Dec</t>
  </si>
  <si>
    <t>8-Dec</t>
  </si>
  <si>
    <t>7-Dec</t>
  </si>
  <si>
    <t>6-Dec</t>
  </si>
  <si>
    <t>5-Dec</t>
  </si>
  <si>
    <t>4-Dec</t>
  </si>
  <si>
    <t>3-Dec</t>
  </si>
  <si>
    <t>2-Dec</t>
  </si>
  <si>
    <t>1-Dec</t>
  </si>
  <si>
    <t>30-Nov</t>
  </si>
  <si>
    <t>29-Nov</t>
  </si>
  <si>
    <t>28-Nov</t>
  </si>
  <si>
    <t>27-Nov</t>
  </si>
  <si>
    <t>26-Nov</t>
  </si>
  <si>
    <t>25-Nov</t>
  </si>
  <si>
    <t>24-Nov</t>
  </si>
  <si>
    <t>23-Nov</t>
  </si>
  <si>
    <t>22-Nov</t>
  </si>
  <si>
    <t>21-Nov</t>
  </si>
  <si>
    <t>20-Nov</t>
  </si>
  <si>
    <t>19-Nov</t>
  </si>
  <si>
    <t>18-Nov</t>
  </si>
  <si>
    <t>17-Nov</t>
  </si>
  <si>
    <t>16-Nov</t>
  </si>
  <si>
    <t>15-Nov</t>
  </si>
  <si>
    <t>14-Nov</t>
  </si>
  <si>
    <t>13-Nov</t>
  </si>
  <si>
    <t>12-Nov</t>
  </si>
  <si>
    <t>11-Nov</t>
  </si>
  <si>
    <t>10-Nov</t>
  </si>
  <si>
    <t>9-Nov</t>
  </si>
  <si>
    <t>8-Nov</t>
  </si>
  <si>
    <t>7-Nov</t>
  </si>
  <si>
    <t>6-Nov</t>
  </si>
  <si>
    <t>5-Nov</t>
  </si>
  <si>
    <t>4-Nov</t>
  </si>
  <si>
    <t>3-Nov</t>
  </si>
  <si>
    <t>2-Nov</t>
  </si>
  <si>
    <t>1-Nov</t>
  </si>
  <si>
    <t>31-Oct</t>
  </si>
  <si>
    <t>30-Oct</t>
  </si>
  <si>
    <t>29-Oct</t>
  </si>
  <si>
    <t>28-Oct</t>
  </si>
  <si>
    <t>27-Oct</t>
  </si>
  <si>
    <t>26-Oct</t>
  </si>
  <si>
    <t>25-Oct</t>
  </si>
  <si>
    <t>24-Oct</t>
  </si>
  <si>
    <t>23-Oct</t>
  </si>
  <si>
    <t>22-Oct</t>
  </si>
  <si>
    <t>21-Oct</t>
  </si>
  <si>
    <t>20-Oct</t>
  </si>
  <si>
    <t>19-Oct</t>
  </si>
  <si>
    <t>18-Oct</t>
  </si>
  <si>
    <t>17-Oct</t>
  </si>
  <si>
    <t>16-Oct</t>
  </si>
  <si>
    <t>15-Oct</t>
  </si>
  <si>
    <t>14-Oct</t>
  </si>
  <si>
    <t>13-Oct</t>
  </si>
  <si>
    <t>12-Oct</t>
  </si>
  <si>
    <t>11-Oct</t>
  </si>
  <si>
    <t>10-Oct</t>
  </si>
  <si>
    <t>9-Oct</t>
  </si>
  <si>
    <t>8-Oct</t>
  </si>
  <si>
    <t>7-Oct</t>
  </si>
  <si>
    <t>6-Oct</t>
  </si>
  <si>
    <t>5-Oct</t>
  </si>
  <si>
    <t>4-Oct</t>
  </si>
  <si>
    <t>3-Oct</t>
  </si>
  <si>
    <t>2-Oct</t>
  </si>
  <si>
    <t>1-Oct</t>
  </si>
  <si>
    <t>30-Sep</t>
  </si>
  <si>
    <t>29-Sep</t>
  </si>
  <si>
    <t>28-Sep</t>
  </si>
  <si>
    <t>27-Sep</t>
  </si>
  <si>
    <t>26-Sep</t>
  </si>
  <si>
    <t>25-Sep</t>
  </si>
  <si>
    <t>24-Sep</t>
  </si>
  <si>
    <t>23-Sep</t>
  </si>
  <si>
    <t>22-Sep</t>
  </si>
  <si>
    <t>21-Sep</t>
  </si>
  <si>
    <t>20-Sep</t>
  </si>
  <si>
    <t>19-Sep</t>
  </si>
  <si>
    <t>18-Sep</t>
  </si>
  <si>
    <t>17-Sep</t>
  </si>
  <si>
    <t>16-Sep</t>
  </si>
  <si>
    <t>15-Sep</t>
  </si>
  <si>
    <t>14-Sep</t>
  </si>
  <si>
    <t>13-Sep</t>
  </si>
  <si>
    <t>12-Sep</t>
  </si>
  <si>
    <t>11-Sep</t>
  </si>
  <si>
    <t>10-Sep</t>
  </si>
  <si>
    <t>9-Sep</t>
  </si>
  <si>
    <t>8-Sep</t>
  </si>
  <si>
    <t>7-Sep</t>
  </si>
  <si>
    <t>6-Sep</t>
  </si>
  <si>
    <t>5-Sep</t>
  </si>
  <si>
    <t>4-Sep</t>
  </si>
  <si>
    <t>3-Sep</t>
  </si>
  <si>
    <t>2-Sep</t>
  </si>
  <si>
    <t>1-Sep</t>
  </si>
  <si>
    <t>31-Aug</t>
  </si>
  <si>
    <t>30-Aug</t>
  </si>
  <si>
    <t>29-Aug</t>
  </si>
  <si>
    <t>28-Aug</t>
  </si>
  <si>
    <t>27-Aug</t>
  </si>
  <si>
    <t>26-Aug</t>
  </si>
  <si>
    <t>25-Aug</t>
  </si>
  <si>
    <t>Student</t>
  </si>
  <si>
    <t>Date</t>
  </si>
  <si>
    <t>Assessment | Insert new columns before here</t>
  </si>
  <si>
    <t>The little graphs</t>
  </si>
  <si>
    <t>Show more screen</t>
  </si>
  <si>
    <t>F:</t>
  </si>
  <si>
    <t>Absent</t>
  </si>
  <si>
    <t>Late</t>
  </si>
  <si>
    <t>Running Average</t>
  </si>
  <si>
    <t>Average of Running Average</t>
  </si>
  <si>
    <t>Lates</t>
  </si>
  <si>
    <t>l</t>
  </si>
  <si>
    <t>Can be contacted at jabbott.mit@gmail.com</t>
  </si>
  <si>
    <t>Percentage Breakdown By Assessment Type</t>
  </si>
  <si>
    <t>Point Multiplier</t>
  </si>
  <si>
    <t>Scoring:</t>
  </si>
  <si>
    <t>Website (till Feb '16)</t>
  </si>
  <si>
    <t>Questions / Concerns?</t>
  </si>
  <si>
    <t>Please reach out to me with any feedback, concerns, and questions</t>
  </si>
  <si>
    <t>Homework One</t>
  </si>
  <si>
    <t>Classwork  One</t>
  </si>
  <si>
    <t>Homework Two</t>
  </si>
  <si>
    <t>First Test</t>
  </si>
  <si>
    <t>Project</t>
  </si>
  <si>
    <t>Homeworks</t>
  </si>
  <si>
    <t>Classworks</t>
  </si>
  <si>
    <t>Tests</t>
  </si>
  <si>
    <t>Color the Table</t>
  </si>
  <si>
    <t>Not Yet</t>
  </si>
  <si>
    <t>Another Type 2</t>
  </si>
  <si>
    <t>Another Type</t>
  </si>
  <si>
    <t>Make helper colns</t>
  </si>
  <si>
    <t>Give extra credit</t>
  </si>
  <si>
    <t>Track absences</t>
  </si>
  <si>
    <t>Excused assignments</t>
  </si>
  <si>
    <t>More marking periods</t>
  </si>
  <si>
    <t>Type</t>
  </si>
  <si>
    <t>General Comments:</t>
  </si>
  <si>
    <t>Assignment</t>
  </si>
  <si>
    <t>Points Earned</t>
  </si>
  <si>
    <t>Parent Signiture:</t>
  </si>
  <si>
    <t>Assessment Avg</t>
  </si>
  <si>
    <t>Percent of Grade</t>
  </si>
  <si>
    <t>Pointed Earned</t>
  </si>
  <si>
    <t>Grade</t>
  </si>
  <si>
    <t>A+</t>
  </si>
  <si>
    <t>A-</t>
  </si>
  <si>
    <t>A</t>
  </si>
  <si>
    <t>B</t>
  </si>
  <si>
    <t>B+</t>
  </si>
  <si>
    <t>B-</t>
  </si>
  <si>
    <t>C</t>
  </si>
  <si>
    <t>C+</t>
  </si>
  <si>
    <t>C-</t>
  </si>
  <si>
    <t>F</t>
  </si>
  <si>
    <t>D+</t>
  </si>
  <si>
    <t>D-</t>
  </si>
  <si>
    <t>D</t>
  </si>
  <si>
    <t>Letter Grades:</t>
  </si>
  <si>
    <t>Letter Grade</t>
  </si>
  <si>
    <t xml:space="preserve"> </t>
  </si>
  <si>
    <t>Freq</t>
  </si>
  <si>
    <t>These letter grades are referenced on the Data Entry sheet for each student. 
If you want to delete rows of this table, simply delete the whole row.
The 5 bar sparkline charts have cutoffs based on D-, C-, B-, and A-.
Ex: Anything above B-, but below A- is a B.</t>
  </si>
  <si>
    <t>If the percentage breakdown shown right should be changed, you can edit it in cells L4:Q4 on the Data Entry sheet.
This gradebook averages all assignments within each assessment type and then calculates the running average using the percentage breakdown shown right.
An average for an assignment type is:
(Points Earned) / (Total Possible Points*)
*Assignments can be marked as "Excused"</t>
  </si>
  <si>
    <t>This  version for Excel 2007+ calculates a grade using assessment type and points</t>
  </si>
  <si>
    <t xml:space="preserve"> 1.5apoints </t>
  </si>
  <si>
    <t>Last Updated</t>
  </si>
  <si>
    <t>Date this gradebook this version was last updated</t>
  </si>
  <si>
    <t>Yellow if Above</t>
  </si>
  <si>
    <t>Green if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</si>
</sst>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409]d\-mmm;@"/>
    <numFmt numFmtId="166" formatCode=";;;"/>
    <numFmt numFmtId="167" formatCode="#&quot; (Average)&quot;"/>
  </numFmts>
  <fonts count="16" x14ac:knownFonts="1">
    <font>
      <sz val="11"/>
      <color theme="1"/>
      <name val="Calibri"/>
      <family val="2"/>
      <scheme val="minor"/>
    </font>
    <font>
      <sz val="11"/>
      <color theme="1"/>
      <name val="Calibri"/>
      <family val="2"/>
      <scheme val="minor"/>
    </font>
    <font>
      <i/>
      <sz val="11"/>
      <color rgb="FF7F7F7F"/>
      <name val="Calibri"/>
      <family val="2"/>
      <scheme val="minor"/>
    </font>
    <font>
      <sz val="11"/>
      <color theme="1"/>
      <name val="Arial"/>
      <family val="2"/>
    </font>
    <font>
      <sz val="11"/>
      <color theme="0" tint="-0.499984740745262"/>
      <name val="Arial"/>
      <family val="2"/>
    </font>
    <font>
      <sz val="11"/>
      <name val="Arial"/>
      <family val="2"/>
    </font>
    <font>
      <i/>
      <sz val="18"/>
      <color theme="1"/>
      <name val="Calibri"/>
      <family val="2"/>
      <scheme val="minor"/>
    </font>
    <font>
      <b/>
      <i/>
      <sz val="11"/>
      <color theme="1" tint="4.9989318521683403E-2"/>
      <name val="Calibri"/>
      <family val="2"/>
      <scheme val="minor"/>
    </font>
    <font>
      <sz val="11"/>
      <color theme="1" tint="0.249977111117893"/>
      <name val="Calibri"/>
      <family val="2"/>
      <scheme val="minor"/>
    </font>
    <font>
      <b/>
      <i/>
      <sz val="11"/>
      <color theme="1"/>
      <name val="Calibri"/>
      <family val="2"/>
      <scheme val="minor"/>
    </font>
    <font>
      <u/>
      <sz val="11"/>
      <color theme="10"/>
      <name val="Calibri"/>
      <family val="2"/>
      <scheme val="minor"/>
    </font>
    <font>
      <b/>
      <sz val="15"/>
      <color theme="3"/>
      <name val="Calibri"/>
      <family val="2"/>
      <scheme val="minor"/>
    </font>
    <font>
      <b/>
      <sz val="15"/>
      <name val="Calibri"/>
      <family val="2"/>
      <scheme val="minor"/>
    </font>
    <font>
      <sz val="14"/>
      <color theme="1"/>
      <name val="Calibri"/>
      <family val="2"/>
      <scheme val="minor"/>
    </font>
    <font>
      <sz val="11"/>
      <color theme="1" tint="4.9989318521683403E-2"/>
      <name val="Arial"/>
      <family val="2"/>
    </font>
    <font>
      <b/>
      <sz val="11"/>
      <color theme="1"/>
      <name val="Calibri"/>
      <family val="2"/>
      <scheme val="minor"/>
    </font>
  </fonts>
  <fills count="21">
    <fill>
      <patternFill patternType="none"/>
    </fill>
    <fill>
      <patternFill patternType="gray125"/>
    </fill>
    <fill>
      <patternFill patternType="solid">
        <fgColor theme="4" tint="0.79998168889431442"/>
        <bgColor indexed="65"/>
      </patternFill>
    </fill>
    <fill>
      <patternFill patternType="solid">
        <fgColor theme="2"/>
        <bgColor indexed="64"/>
      </patternFill>
    </fill>
    <fill>
      <gradientFill>
        <stop position="0">
          <color theme="3" tint="0.80001220740379042"/>
        </stop>
        <stop position="1">
          <color theme="3" tint="0.59999389629810485"/>
        </stop>
      </gradientFill>
    </fill>
    <fill>
      <gradientFill degree="180">
        <stop position="0">
          <color theme="3" tint="0.80001220740379042"/>
        </stop>
        <stop position="1">
          <color theme="3" tint="0.59999389629810485"/>
        </stop>
      </gradientFill>
    </fill>
    <fill>
      <patternFill patternType="solid">
        <fgColor theme="3" tint="0.79998168889431442"/>
        <bgColor indexed="64"/>
      </patternFill>
    </fill>
    <fill>
      <gradientFill>
        <stop position="0">
          <color theme="0" tint="-5.0965910824915313E-2"/>
        </stop>
        <stop position="1">
          <color theme="0" tint="-0.1490218817712943"/>
        </stop>
      </gradientFill>
    </fill>
    <fill>
      <gradientFill degree="180">
        <stop position="0">
          <color theme="0" tint="-5.0965910824915313E-2"/>
        </stop>
        <stop position="1">
          <color theme="0" tint="-0.1490218817712943"/>
        </stop>
      </gradientFill>
    </fill>
    <fill>
      <patternFill patternType="solid">
        <fgColor theme="0" tint="-4.9989318521683403E-2"/>
        <bgColor indexed="64"/>
      </patternFill>
    </fill>
    <fill>
      <gradientFill>
        <stop position="0">
          <color theme="9" tint="0.80001220740379042"/>
        </stop>
        <stop position="1">
          <color theme="9" tint="0.59999389629810485"/>
        </stop>
      </gradientFill>
    </fill>
    <fill>
      <gradientFill degree="180">
        <stop position="0">
          <color theme="9" tint="0.80001220740379042"/>
        </stop>
        <stop position="1">
          <color theme="9" tint="0.59999389629810485"/>
        </stop>
      </gradientFill>
    </fill>
    <fill>
      <patternFill patternType="solid">
        <fgColor theme="7" tint="0.79998168889431442"/>
        <bgColor indexed="64"/>
      </patternFill>
    </fill>
    <fill>
      <patternFill patternType="solid">
        <fgColor theme="0" tint="-0.14999847407452621"/>
        <bgColor indexed="64"/>
      </patternFill>
    </fill>
    <fill>
      <patternFill patternType="darkUp"/>
    </fill>
    <fill>
      <patternFill patternType="solid">
        <fgColor theme="0"/>
        <bgColor auto="1"/>
      </patternFill>
    </fill>
    <fill>
      <patternFill patternType="solid">
        <fgColor theme="0" tint="-4.9989318521683403E-2"/>
        <bgColor auto="1"/>
      </patternFill>
    </fill>
    <fill>
      <patternFill patternType="solid">
        <fgColor theme="0"/>
        <bgColor indexed="64"/>
      </patternFill>
    </fill>
    <fill>
      <patternFill patternType="solid">
        <fgColor theme="9" tint="0.79998168889431442"/>
        <bgColor indexed="64"/>
      </patternFill>
    </fill>
    <fill>
      <gradientFill degree="90">
        <stop position="0">
          <color theme="2" tint="-9.8025452436902985E-2"/>
        </stop>
        <stop position="1">
          <color theme="2" tint="-0.25098422193060094"/>
        </stop>
      </gradientFill>
    </fill>
    <fill>
      <gradientFill degree="90">
        <stop position="0">
          <color theme="3" tint="0.80001220740379042"/>
        </stop>
        <stop position="1">
          <color theme="3" tint="0.59999389629810485"/>
        </stop>
      </gradientFill>
    </fill>
  </fills>
  <borders count="38">
    <border>
      <left/>
      <right/>
      <top/>
      <bottom/>
      <diagonal/>
    </border>
    <border>
      <left/>
      <right/>
      <top/>
      <bottom style="thin">
        <color auto="1"/>
      </bottom>
      <diagonal/>
    </border>
    <border>
      <left/>
      <right/>
      <top/>
      <bottom style="thick">
        <color theme="4"/>
      </bottom>
      <diagonal/>
    </border>
    <border>
      <left/>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right/>
      <top style="thin">
        <color theme="0" tint="-0.499984740745262"/>
      </top>
      <bottom style="thin">
        <color theme="0" tint="-0.499984740745262"/>
      </bottom>
      <diagonal/>
    </border>
    <border>
      <left style="thin">
        <color auto="1"/>
      </left>
      <right style="thin">
        <color auto="1"/>
      </right>
      <top style="thin">
        <color theme="0" tint="-0.499984740745262"/>
      </top>
      <bottom style="thin">
        <color theme="0" tint="-0.499984740745262"/>
      </bottom>
      <diagonal/>
    </border>
    <border>
      <left style="thin">
        <color auto="1"/>
      </left>
      <right style="thin">
        <color auto="1"/>
      </right>
      <top/>
      <bottom style="thin">
        <color theme="0" tint="-0.499984740745262"/>
      </bottom>
      <diagonal/>
    </border>
    <border>
      <left style="thin">
        <color auto="1"/>
      </left>
      <right style="thin">
        <color auto="1"/>
      </right>
      <top style="thin">
        <color theme="0" tint="-0.499984740745262"/>
      </top>
      <bottom style="medium">
        <color auto="1"/>
      </bottom>
      <diagonal/>
    </border>
    <border>
      <left style="thin">
        <color auto="1"/>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thin">
        <color auto="1"/>
      </top>
      <bottom style="thin">
        <color theme="0" tint="-0.499984740745262"/>
      </bottom>
      <diagonal/>
    </border>
    <border>
      <left style="thin">
        <color auto="1"/>
      </left>
      <right style="thin">
        <color theme="0" tint="-0.499984740745262"/>
      </right>
      <top style="thin">
        <color auto="1"/>
      </top>
      <bottom style="thin">
        <color theme="0" tint="-0.499984740745262"/>
      </bottom>
      <diagonal/>
    </border>
    <border>
      <left style="thin">
        <color theme="0" tint="-0.499984740745262"/>
      </left>
      <right/>
      <top style="thin">
        <color auto="1"/>
      </top>
      <bottom style="thin">
        <color theme="0" tint="-0.499984740745262"/>
      </bottom>
      <diagonal/>
    </border>
    <border>
      <left style="thin">
        <color auto="1"/>
      </left>
      <right style="thin">
        <color auto="1"/>
      </right>
      <top/>
      <bottom/>
      <diagonal/>
    </border>
    <border>
      <left style="thin">
        <color auto="1"/>
      </left>
      <right style="thin">
        <color auto="1"/>
      </right>
      <top style="thin">
        <color auto="1"/>
      </top>
      <bottom style="thin">
        <color theme="0" tint="-0.499984740745262"/>
      </bottom>
      <diagonal/>
    </border>
    <border>
      <left style="thin">
        <color auto="1"/>
      </left>
      <right style="thin">
        <color theme="0" tint="-0.499984740745262"/>
      </right>
      <top/>
      <bottom/>
      <diagonal/>
    </border>
    <border>
      <left/>
      <right/>
      <top style="thin">
        <color theme="0" tint="-0.499984740745262"/>
      </top>
      <bottom style="medium">
        <color auto="1"/>
      </bottom>
      <diagonal/>
    </border>
    <border>
      <left/>
      <right/>
      <top/>
      <bottom style="medium">
        <color auto="1"/>
      </bottom>
      <diagonal/>
    </border>
    <border>
      <left style="thin">
        <color auto="1"/>
      </left>
      <right/>
      <top/>
      <bottom style="medium">
        <color auto="1"/>
      </bottom>
      <diagonal/>
    </border>
    <border>
      <left/>
      <right/>
      <top style="medium">
        <color auto="1"/>
      </top>
      <bottom style="thin">
        <color auto="1"/>
      </bottom>
      <diagonal/>
    </border>
    <border>
      <left style="thin">
        <color auto="1"/>
      </left>
      <right style="thin">
        <color auto="1"/>
      </right>
      <top style="medium">
        <color auto="1"/>
      </top>
      <bottom style="thin">
        <color theme="0" tint="-0.499984740745262"/>
      </bottom>
      <diagonal/>
    </border>
    <border>
      <left style="thin">
        <color auto="1"/>
      </left>
      <right/>
      <top style="medium">
        <color auto="1"/>
      </top>
      <bottom style="thin">
        <color auto="1"/>
      </bottom>
      <diagonal/>
    </border>
    <border>
      <left style="thin">
        <color auto="1"/>
      </left>
      <right/>
      <top/>
      <bottom style="thin">
        <color theme="0" tint="-0.499984740745262"/>
      </bottom>
      <diagonal/>
    </border>
    <border>
      <left style="thin">
        <color auto="1"/>
      </left>
      <right/>
      <top style="thin">
        <color theme="0" tint="-0.499984740745262"/>
      </top>
      <bottom style="thin">
        <color theme="0" tint="-0.499984740745262"/>
      </bottom>
      <diagonal/>
    </border>
    <border>
      <left style="thin">
        <color auto="1"/>
      </left>
      <right/>
      <top style="thin">
        <color theme="0" tint="-0.499984740745262"/>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s>
  <cellStyleXfs count="7">
    <xf numFmtId="0" fontId="0" fillId="17" borderId="0"/>
    <xf numFmtId="9" fontId="1" fillId="0" borderId="0" applyFont="0" applyFill="0" applyBorder="0" applyAlignment="0" applyProtection="0"/>
    <xf numFmtId="0" fontId="2" fillId="0" borderId="0" applyNumberFormat="0" applyFill="0" applyBorder="0" applyAlignment="0" applyProtection="0"/>
    <xf numFmtId="0" fontId="1" fillId="2" borderId="0" applyNumberFormat="0" applyBorder="0" applyAlignment="0" applyProtection="0"/>
    <xf numFmtId="0" fontId="10" fillId="0" borderId="0" applyNumberFormat="0" applyFill="0" applyBorder="0" applyAlignment="0" applyProtection="0"/>
    <xf numFmtId="0" fontId="11" fillId="0" borderId="2" applyNumberFormat="0" applyFill="0" applyAlignment="0" applyProtection="0"/>
    <xf numFmtId="43" fontId="1" fillId="0" borderId="0" applyFont="0" applyFill="0" applyBorder="0" applyAlignment="0" applyProtection="0"/>
  </cellStyleXfs>
  <cellXfs count="160">
    <xf numFmtId="0" fontId="0" fillId="17" borderId="0" xfId="0"/>
    <xf numFmtId="0" fontId="3" fillId="3" borderId="0" xfId="0" applyFont="1" applyFill="1" applyBorder="1" applyAlignment="1" applyProtection="1">
      <alignment horizontal="center"/>
    </xf>
    <xf numFmtId="0" fontId="3" fillId="17" borderId="0" xfId="0" applyFont="1" applyBorder="1" applyProtection="1"/>
    <xf numFmtId="0" fontId="3" fillId="4" borderId="0" xfId="0" applyFont="1" applyFill="1" applyBorder="1" applyAlignment="1" applyProtection="1">
      <alignment horizontal="center"/>
    </xf>
    <xf numFmtId="0" fontId="4" fillId="5" borderId="0" xfId="0" applyFont="1" applyFill="1" applyBorder="1" applyProtection="1"/>
    <xf numFmtId="0" fontId="3" fillId="6" borderId="0" xfId="0" applyFont="1" applyFill="1" applyBorder="1" applyProtection="1"/>
    <xf numFmtId="0" fontId="3" fillId="6" borderId="0" xfId="0" applyFont="1" applyFill="1" applyBorder="1" applyAlignment="1" applyProtection="1">
      <alignment horizontal="center" vertical="center"/>
    </xf>
    <xf numFmtId="9" fontId="3" fillId="4" borderId="0" xfId="1" applyFont="1" applyFill="1" applyBorder="1" applyProtection="1"/>
    <xf numFmtId="0" fontId="3" fillId="17" borderId="0" xfId="0" applyFont="1"/>
    <xf numFmtId="0" fontId="6" fillId="2" borderId="0" xfId="3" applyFont="1" applyAlignment="1">
      <alignment horizontal="centerContinuous"/>
    </xf>
    <xf numFmtId="0" fontId="7" fillId="9" borderId="0" xfId="0" applyFont="1" applyFill="1"/>
    <xf numFmtId="0" fontId="0" fillId="9" borderId="0" xfId="0" applyFill="1"/>
    <xf numFmtId="0" fontId="0" fillId="13" borderId="0" xfId="0" applyFill="1" applyAlignment="1">
      <alignment horizontal="center"/>
    </xf>
    <xf numFmtId="0" fontId="0" fillId="9" borderId="0" xfId="0" applyFill="1" applyAlignment="1">
      <alignment horizontal="center"/>
    </xf>
    <xf numFmtId="0" fontId="2" fillId="9" borderId="0" xfId="2" applyFill="1"/>
    <xf numFmtId="0" fontId="8" fillId="17" borderId="0" xfId="0" applyFont="1"/>
    <xf numFmtId="0" fontId="0" fillId="13" borderId="0" xfId="0" applyFill="1" applyAlignment="1">
      <alignment horizontal="center" vertical="center"/>
    </xf>
    <xf numFmtId="0" fontId="9" fillId="9" borderId="0" xfId="0" applyFont="1" applyFill="1"/>
    <xf numFmtId="49" fontId="0" fillId="9" borderId="0" xfId="0" applyNumberFormat="1" applyFill="1" applyAlignment="1">
      <alignment horizontal="center"/>
    </xf>
    <xf numFmtId="0" fontId="10" fillId="9" borderId="0" xfId="4" applyFill="1"/>
    <xf numFmtId="49" fontId="0" fillId="9" borderId="0" xfId="0" applyNumberFormat="1" applyFill="1" applyAlignment="1">
      <alignment horizontal="left"/>
    </xf>
    <xf numFmtId="0" fontId="0" fillId="9" borderId="0" xfId="0" applyFill="1" applyAlignment="1">
      <alignment horizontal="left"/>
    </xf>
    <xf numFmtId="0" fontId="2" fillId="9" borderId="0" xfId="2" applyFill="1" applyAlignment="1">
      <alignment wrapText="1"/>
    </xf>
    <xf numFmtId="0" fontId="0" fillId="17" borderId="0" xfId="0" pivotButton="1"/>
    <xf numFmtId="0" fontId="0" fillId="17" borderId="0" xfId="0" applyAlignment="1">
      <alignment horizontal="left"/>
    </xf>
    <xf numFmtId="2" fontId="0" fillId="17" borderId="0" xfId="0" applyNumberFormat="1"/>
    <xf numFmtId="0" fontId="4" fillId="17" borderId="0" xfId="0" applyFont="1" applyBorder="1" applyProtection="1"/>
    <xf numFmtId="0" fontId="5" fillId="0" borderId="0" xfId="0" applyFont="1" applyFill="1" applyBorder="1"/>
    <xf numFmtId="0" fontId="3" fillId="0" borderId="0" xfId="0" applyFont="1" applyFill="1" applyBorder="1"/>
    <xf numFmtId="0" fontId="4" fillId="9" borderId="0" xfId="0" applyFont="1" applyFill="1" applyBorder="1" applyAlignment="1" applyProtection="1">
      <alignment horizontal="center" vertical="center"/>
    </xf>
    <xf numFmtId="166" fontId="3" fillId="6" borderId="0" xfId="0" applyNumberFormat="1" applyFont="1" applyFill="1" applyBorder="1" applyAlignment="1" applyProtection="1">
      <alignment horizontal="center"/>
    </xf>
    <xf numFmtId="0" fontId="3" fillId="14" borderId="0" xfId="0" applyFont="1" applyFill="1" applyBorder="1" applyProtection="1"/>
    <xf numFmtId="0" fontId="4" fillId="14" borderId="0" xfId="0" applyFont="1" applyFill="1" applyBorder="1" applyProtection="1"/>
    <xf numFmtId="0" fontId="3" fillId="16" borderId="0" xfId="0" applyFont="1" applyFill="1" applyBorder="1" applyAlignment="1" applyProtection="1">
      <alignment horizontal="center"/>
    </xf>
    <xf numFmtId="0" fontId="4" fillId="15" borderId="0" xfId="0" applyFont="1" applyFill="1" applyBorder="1" applyProtection="1"/>
    <xf numFmtId="0" fontId="4" fillId="17" borderId="0" xfId="0" applyFont="1" applyFill="1" applyBorder="1" applyAlignment="1" applyProtection="1">
      <alignment horizontal="center" vertical="center"/>
    </xf>
    <xf numFmtId="165" fontId="4" fillId="17" borderId="0" xfId="1" applyNumberFormat="1" applyFont="1" applyFill="1" applyBorder="1" applyAlignment="1" applyProtection="1">
      <alignment horizontal="center" vertical="center"/>
    </xf>
    <xf numFmtId="0" fontId="3" fillId="3" borderId="3" xfId="0" applyFont="1" applyFill="1" applyBorder="1" applyProtection="1"/>
    <xf numFmtId="0" fontId="3" fillId="3" borderId="3" xfId="0" applyFont="1" applyFill="1" applyBorder="1" applyAlignment="1" applyProtection="1">
      <alignment horizontal="center"/>
    </xf>
    <xf numFmtId="0" fontId="4" fillId="17" borderId="4" xfId="0" applyFont="1" applyFill="1" applyBorder="1" applyAlignment="1" applyProtection="1">
      <alignment horizontal="center" vertical="center"/>
    </xf>
    <xf numFmtId="0" fontId="4" fillId="9" borderId="4" xfId="0" applyFont="1" applyFill="1" applyBorder="1" applyAlignment="1" applyProtection="1">
      <alignment horizontal="center" vertical="center"/>
    </xf>
    <xf numFmtId="0" fontId="4" fillId="17" borderId="5" xfId="0" applyFont="1" applyFill="1" applyBorder="1" applyAlignment="1" applyProtection="1">
      <alignment horizontal="center" vertical="center"/>
    </xf>
    <xf numFmtId="0" fontId="4" fillId="9" borderId="5" xfId="0" applyFont="1" applyFill="1" applyBorder="1" applyAlignment="1" applyProtection="1">
      <alignment horizontal="center" vertical="center"/>
    </xf>
    <xf numFmtId="0" fontId="4" fillId="7" borderId="3" xfId="0" applyFont="1" applyFill="1" applyBorder="1" applyAlignment="1" applyProtection="1">
      <alignment horizontal="right"/>
    </xf>
    <xf numFmtId="0" fontId="4" fillId="8" borderId="3" xfId="0" applyFont="1" applyFill="1" applyBorder="1" applyProtection="1"/>
    <xf numFmtId="0" fontId="4" fillId="9" borderId="3" xfId="0" applyFont="1" applyFill="1" applyBorder="1" applyAlignment="1" applyProtection="1">
      <alignment horizontal="center" vertical="center"/>
    </xf>
    <xf numFmtId="165" fontId="4" fillId="9" borderId="3" xfId="1" applyNumberFormat="1" applyFont="1" applyFill="1" applyBorder="1" applyAlignment="1" applyProtection="1">
      <alignment horizontal="center" vertical="center"/>
    </xf>
    <xf numFmtId="0" fontId="4" fillId="9" borderId="7" xfId="0" applyFont="1" applyFill="1" applyBorder="1" applyAlignment="1" applyProtection="1">
      <alignment horizontal="center" vertical="center"/>
    </xf>
    <xf numFmtId="0" fontId="4" fillId="9" borderId="6" xfId="0" applyFont="1" applyFill="1" applyBorder="1" applyAlignment="1" applyProtection="1">
      <alignment horizontal="center" vertical="center"/>
    </xf>
    <xf numFmtId="0" fontId="4" fillId="3" borderId="0" xfId="0" applyFont="1" applyFill="1" applyBorder="1" applyAlignment="1" applyProtection="1">
      <alignment horizontal="left"/>
    </xf>
    <xf numFmtId="9" fontId="4" fillId="3" borderId="4" xfId="0" applyNumberFormat="1" applyFont="1" applyFill="1" applyBorder="1" applyAlignment="1" applyProtection="1">
      <alignment horizontal="centerContinuous"/>
    </xf>
    <xf numFmtId="9" fontId="3" fillId="3" borderId="0" xfId="0" applyNumberFormat="1" applyFont="1" applyFill="1" applyBorder="1" applyAlignment="1" applyProtection="1">
      <alignment horizontal="centerContinuous"/>
    </xf>
    <xf numFmtId="9" fontId="3" fillId="3" borderId="5" xfId="0" applyNumberFormat="1" applyFont="1" applyFill="1" applyBorder="1" applyAlignment="1" applyProtection="1">
      <alignment horizontal="centerContinuous"/>
    </xf>
    <xf numFmtId="9" fontId="4" fillId="3" borderId="4" xfId="1" applyFont="1" applyFill="1" applyBorder="1" applyAlignment="1" applyProtection="1">
      <alignment horizontal="centerContinuous" vertical="center"/>
    </xf>
    <xf numFmtId="9" fontId="3" fillId="3" borderId="0" xfId="1" applyFont="1" applyFill="1" applyBorder="1" applyAlignment="1" applyProtection="1">
      <alignment horizontal="centerContinuous" vertical="center"/>
    </xf>
    <xf numFmtId="9" fontId="3" fillId="3" borderId="5" xfId="1" applyFont="1" applyFill="1" applyBorder="1" applyAlignment="1" applyProtection="1">
      <alignment horizontal="centerContinuous" vertical="center"/>
    </xf>
    <xf numFmtId="9" fontId="4" fillId="6" borderId="0" xfId="1" applyFont="1" applyFill="1" applyBorder="1" applyAlignment="1" applyProtection="1">
      <alignment horizontal="center" vertical="center"/>
    </xf>
    <xf numFmtId="164" fontId="14" fillId="0" borderId="8" xfId="1" applyNumberFormat="1" applyFont="1" applyBorder="1" applyAlignment="1" applyProtection="1">
      <alignment horizontal="center"/>
    </xf>
    <xf numFmtId="164" fontId="14" fillId="0" borderId="8" xfId="1" applyNumberFormat="1" applyFont="1" applyBorder="1" applyAlignment="1">
      <alignment horizontal="center"/>
    </xf>
    <xf numFmtId="164" fontId="14" fillId="0" borderId="13" xfId="1" applyNumberFormat="1" applyFont="1" applyBorder="1" applyAlignment="1">
      <alignment horizontal="center"/>
    </xf>
    <xf numFmtId="0" fontId="14" fillId="10" borderId="7" xfId="0" applyNumberFormat="1" applyFont="1" applyFill="1" applyBorder="1" applyAlignment="1" applyProtection="1">
      <alignment horizontal="center" vertical="center"/>
    </xf>
    <xf numFmtId="0" fontId="14" fillId="11" borderId="9" xfId="0" applyNumberFormat="1" applyFont="1" applyFill="1" applyBorder="1" applyAlignment="1" applyProtection="1">
      <alignment horizontal="center" vertical="center"/>
    </xf>
    <xf numFmtId="0" fontId="14" fillId="12" borderId="9" xfId="0" applyNumberFormat="1" applyFont="1" applyFill="1" applyBorder="1" applyAlignment="1" applyProtection="1">
      <alignment horizontal="center" vertical="center" wrapText="1"/>
    </xf>
    <xf numFmtId="0" fontId="14" fillId="17" borderId="10" xfId="0" applyNumberFormat="1" applyFont="1" applyBorder="1" applyAlignment="1" applyProtection="1">
      <alignment horizontal="center"/>
    </xf>
    <xf numFmtId="0" fontId="14" fillId="17" borderId="8" xfId="0" applyNumberFormat="1" applyFont="1" applyBorder="1" applyAlignment="1" applyProtection="1">
      <alignment horizontal="left"/>
    </xf>
    <xf numFmtId="0" fontId="14" fillId="17" borderId="8" xfId="0" applyNumberFormat="1" applyFont="1" applyBorder="1" applyAlignment="1" applyProtection="1">
      <alignment horizontal="center"/>
    </xf>
    <xf numFmtId="0" fontId="14" fillId="17" borderId="11" xfId="0" applyNumberFormat="1" applyFont="1" applyBorder="1" applyAlignment="1" applyProtection="1">
      <alignment horizontal="center"/>
    </xf>
    <xf numFmtId="0" fontId="14" fillId="17" borderId="8" xfId="0" applyNumberFormat="1" applyFont="1" applyBorder="1" applyAlignment="1" applyProtection="1">
      <alignment horizontal="center" wrapText="1"/>
    </xf>
    <xf numFmtId="0" fontId="14" fillId="17" borderId="11" xfId="0" applyNumberFormat="1" applyFont="1" applyBorder="1" applyAlignment="1" applyProtection="1">
      <alignment horizontal="center" wrapText="1"/>
    </xf>
    <xf numFmtId="0" fontId="14" fillId="17" borderId="10" xfId="0" applyNumberFormat="1" applyFont="1" applyBorder="1" applyAlignment="1">
      <alignment horizontal="center"/>
    </xf>
    <xf numFmtId="0" fontId="14" fillId="17" borderId="8" xfId="0" applyNumberFormat="1" applyFont="1" applyBorder="1" applyAlignment="1">
      <alignment horizontal="left"/>
    </xf>
    <xf numFmtId="0" fontId="14" fillId="17" borderId="8" xfId="0" applyNumberFormat="1" applyFont="1" applyBorder="1" applyAlignment="1">
      <alignment horizontal="center"/>
    </xf>
    <xf numFmtId="0" fontId="14" fillId="0" borderId="8" xfId="1" applyNumberFormat="1" applyFont="1" applyBorder="1" applyAlignment="1">
      <alignment horizontal="center"/>
    </xf>
    <xf numFmtId="0" fontId="14" fillId="0" borderId="11" xfId="1" applyNumberFormat="1" applyFont="1" applyBorder="1" applyAlignment="1">
      <alignment horizontal="center"/>
    </xf>
    <xf numFmtId="0" fontId="14" fillId="17" borderId="12" xfId="0" applyNumberFormat="1" applyFont="1" applyBorder="1" applyAlignment="1">
      <alignment horizontal="center"/>
    </xf>
    <xf numFmtId="0" fontId="14" fillId="17" borderId="13" xfId="0" applyNumberFormat="1" applyFont="1" applyBorder="1" applyAlignment="1">
      <alignment horizontal="left"/>
    </xf>
    <xf numFmtId="0" fontId="14" fillId="17" borderId="13" xfId="0" applyNumberFormat="1" applyFont="1" applyBorder="1" applyAlignment="1">
      <alignment horizontal="center"/>
    </xf>
    <xf numFmtId="0" fontId="14" fillId="0" borderId="13" xfId="1" applyNumberFormat="1" applyFont="1" applyBorder="1" applyAlignment="1">
      <alignment horizontal="center"/>
    </xf>
    <xf numFmtId="0" fontId="14" fillId="0" borderId="14" xfId="1" applyNumberFormat="1" applyFont="1" applyBorder="1" applyAlignment="1">
      <alignment horizontal="center"/>
    </xf>
    <xf numFmtId="9" fontId="14" fillId="3" borderId="6" xfId="1" applyFont="1" applyFill="1" applyBorder="1" applyAlignment="1" applyProtection="1">
      <alignment horizontal="center" vertical="center"/>
    </xf>
    <xf numFmtId="9" fontId="14" fillId="3" borderId="3" xfId="1" applyFont="1" applyFill="1" applyBorder="1" applyAlignment="1" applyProtection="1">
      <alignment horizontal="center" vertical="center"/>
    </xf>
    <xf numFmtId="9" fontId="14" fillId="3" borderId="7" xfId="1" applyFont="1" applyFill="1" applyBorder="1" applyAlignment="1" applyProtection="1">
      <alignment horizontal="center" vertical="center"/>
    </xf>
    <xf numFmtId="0" fontId="14" fillId="3" borderId="3" xfId="0" applyFont="1" applyFill="1" applyBorder="1" applyAlignment="1" applyProtection="1">
      <alignment horizontal="center" vertical="center"/>
    </xf>
    <xf numFmtId="0" fontId="14" fillId="6" borderId="0" xfId="0" applyFont="1" applyFill="1" applyBorder="1" applyAlignment="1" applyProtection="1">
      <alignment horizontal="center" vertical="center"/>
    </xf>
    <xf numFmtId="0" fontId="14" fillId="6" borderId="0" xfId="0" applyNumberFormat="1" applyFont="1" applyFill="1" applyBorder="1" applyAlignment="1" applyProtection="1">
      <alignment horizontal="center" vertical="center"/>
    </xf>
    <xf numFmtId="0" fontId="4" fillId="3" borderId="3" xfId="0" applyFont="1" applyFill="1" applyBorder="1" applyProtection="1"/>
    <xf numFmtId="0" fontId="14" fillId="18" borderId="9" xfId="0" applyNumberFormat="1" applyFont="1" applyFill="1" applyBorder="1" applyAlignment="1" applyProtection="1">
      <alignment horizontal="center" textRotation="90" wrapText="1"/>
    </xf>
    <xf numFmtId="0" fontId="14" fillId="18" borderId="6" xfId="0" applyNumberFormat="1" applyFont="1" applyFill="1" applyBorder="1" applyAlignment="1" applyProtection="1">
      <alignment horizontal="center" textRotation="90" wrapText="1"/>
    </xf>
    <xf numFmtId="167" fontId="14" fillId="19" borderId="9" xfId="0" applyNumberFormat="1" applyFont="1" applyFill="1" applyBorder="1" applyAlignment="1" applyProtection="1">
      <alignment horizontal="center" textRotation="90" wrapText="1"/>
    </xf>
    <xf numFmtId="0" fontId="14" fillId="20" borderId="9" xfId="0" applyNumberFormat="1" applyFont="1" applyFill="1" applyBorder="1" applyAlignment="1" applyProtection="1">
      <alignment horizontal="center" vertical="center" wrapText="1"/>
    </xf>
    <xf numFmtId="0" fontId="3" fillId="3" borderId="15" xfId="0" applyFont="1" applyFill="1" applyBorder="1" applyAlignment="1" applyProtection="1">
      <alignment horizontal="center"/>
    </xf>
    <xf numFmtId="164" fontId="12" fillId="17" borderId="1" xfId="5" applyNumberFormat="1" applyFont="1" applyFill="1" applyBorder="1" applyAlignment="1">
      <alignment horizontal="left" vertical="top"/>
    </xf>
    <xf numFmtId="0" fontId="0" fillId="17" borderId="0" xfId="0" applyBorder="1"/>
    <xf numFmtId="0" fontId="0" fillId="17" borderId="1" xfId="0" applyBorder="1"/>
    <xf numFmtId="0" fontId="0" fillId="9" borderId="0" xfId="0" applyFill="1" applyAlignment="1">
      <alignment horizontal="left" vertical="center" wrapText="1"/>
    </xf>
    <xf numFmtId="0" fontId="0" fillId="17" borderId="0" xfId="0" applyAlignment="1">
      <alignment horizontal="center" vertical="center"/>
    </xf>
    <xf numFmtId="0" fontId="0" fillId="17" borderId="8" xfId="0" applyBorder="1" applyAlignment="1">
      <alignment horizontal="center" vertical="top"/>
    </xf>
    <xf numFmtId="9" fontId="0" fillId="17" borderId="8" xfId="1" applyFont="1" applyFill="1" applyBorder="1" applyAlignment="1">
      <alignment horizontal="center" vertical="top"/>
    </xf>
    <xf numFmtId="0" fontId="0" fillId="17" borderId="21" xfId="0" applyBorder="1" applyAlignment="1">
      <alignment horizontal="center" vertical="top"/>
    </xf>
    <xf numFmtId="9" fontId="0" fillId="17" borderId="21" xfId="1" applyFont="1" applyFill="1" applyBorder="1" applyAlignment="1">
      <alignment horizontal="center" vertical="top"/>
    </xf>
    <xf numFmtId="0" fontId="0" fillId="17" borderId="22" xfId="0" applyBorder="1" applyAlignment="1">
      <alignment horizontal="center" vertical="top"/>
    </xf>
    <xf numFmtId="0" fontId="0" fillId="17" borderId="19" xfId="0" applyBorder="1" applyAlignment="1">
      <alignment horizontal="center" vertical="top"/>
    </xf>
    <xf numFmtId="14" fontId="0" fillId="17" borderId="23" xfId="0" applyNumberFormat="1" applyBorder="1" applyAlignment="1">
      <alignment horizontal="center" vertical="top"/>
    </xf>
    <xf numFmtId="14" fontId="0" fillId="17" borderId="11" xfId="0" applyNumberFormat="1" applyBorder="1" applyAlignment="1">
      <alignment horizontal="center" vertical="top"/>
    </xf>
    <xf numFmtId="0" fontId="0" fillId="13" borderId="20" xfId="0" applyFill="1" applyBorder="1" applyAlignment="1">
      <alignment horizontal="center"/>
    </xf>
    <xf numFmtId="0" fontId="0" fillId="13" borderId="4" xfId="0" applyFill="1" applyBorder="1" applyAlignment="1">
      <alignment horizontal="center"/>
    </xf>
    <xf numFmtId="0" fontId="0" fillId="17" borderId="16" xfId="0" applyBorder="1" applyAlignment="1">
      <alignment horizontal="center" vertical="top" wrapText="1"/>
    </xf>
    <xf numFmtId="0" fontId="0" fillId="13" borderId="24" xfId="0" applyFill="1" applyBorder="1" applyAlignment="1">
      <alignment horizontal="center" vertical="top" wrapText="1"/>
    </xf>
    <xf numFmtId="0" fontId="0" fillId="17" borderId="25" xfId="0" applyBorder="1" applyAlignment="1">
      <alignment horizontal="center" vertical="top" wrapText="1"/>
    </xf>
    <xf numFmtId="0" fontId="0" fillId="13" borderId="26" xfId="0" applyFill="1" applyBorder="1" applyAlignment="1">
      <alignment horizontal="center"/>
    </xf>
    <xf numFmtId="0" fontId="0" fillId="17" borderId="28" xfId="0" applyBorder="1"/>
    <xf numFmtId="164" fontId="15" fillId="17" borderId="7" xfId="6" applyNumberFormat="1" applyFont="1" applyFill="1" applyBorder="1" applyAlignment="1">
      <alignment horizontal="center" vertical="top" wrapText="1"/>
    </xf>
    <xf numFmtId="164" fontId="15" fillId="17" borderId="10" xfId="6" applyNumberFormat="1" applyFont="1" applyFill="1" applyBorder="1" applyAlignment="1">
      <alignment horizontal="center" vertical="top" wrapText="1"/>
    </xf>
    <xf numFmtId="0" fontId="0" fillId="17" borderId="17" xfId="0" applyFont="1" applyBorder="1" applyAlignment="1">
      <alignment horizontal="center" vertical="top" wrapText="1"/>
    </xf>
    <xf numFmtId="0" fontId="0" fillId="17" borderId="9" xfId="0" applyFont="1" applyBorder="1"/>
    <xf numFmtId="0" fontId="0" fillId="17" borderId="16" xfId="0" applyFont="1" applyBorder="1" applyAlignment="1">
      <alignment horizontal="center" vertical="top" wrapText="1"/>
    </xf>
    <xf numFmtId="0" fontId="0" fillId="17" borderId="13" xfId="0" applyFont="1" applyBorder="1"/>
    <xf numFmtId="164" fontId="13" fillId="17" borderId="0" xfId="0" applyNumberFormat="1" applyFont="1" applyFill="1" applyBorder="1"/>
    <xf numFmtId="164" fontId="0" fillId="17" borderId="0" xfId="0" applyNumberFormat="1" applyFont="1" applyFill="1" applyBorder="1"/>
    <xf numFmtId="164" fontId="0" fillId="17" borderId="0" xfId="0" applyNumberFormat="1" applyFill="1" applyBorder="1"/>
    <xf numFmtId="164" fontId="2" fillId="17" borderId="0" xfId="2" applyNumberFormat="1" applyFill="1" applyBorder="1"/>
    <xf numFmtId="0" fontId="0" fillId="17" borderId="0" xfId="0" applyFont="1" applyBorder="1"/>
    <xf numFmtId="0" fontId="0" fillId="13" borderId="31" xfId="0" applyFill="1" applyBorder="1" applyAlignment="1">
      <alignment horizontal="center"/>
    </xf>
    <xf numFmtId="9" fontId="0" fillId="17" borderId="16" xfId="1" applyFont="1" applyFill="1" applyBorder="1" applyAlignment="1">
      <alignment horizontal="center" vertical="top"/>
    </xf>
    <xf numFmtId="9" fontId="0" fillId="17" borderId="18" xfId="1" applyFont="1" applyFill="1" applyBorder="1" applyAlignment="1">
      <alignment horizontal="center" vertical="top"/>
    </xf>
    <xf numFmtId="164" fontId="0" fillId="13" borderId="31" xfId="6" applyNumberFormat="1" applyFont="1" applyFill="1" applyBorder="1" applyAlignment="1">
      <alignment horizontal="center" vertical="top" wrapText="1"/>
    </xf>
    <xf numFmtId="164" fontId="0" fillId="17" borderId="17" xfId="6" applyNumberFormat="1" applyFont="1" applyFill="1" applyBorder="1" applyAlignment="1">
      <alignment horizontal="center" vertical="top" wrapText="1"/>
    </xf>
    <xf numFmtId="164" fontId="0" fillId="17" borderId="16" xfId="6" applyNumberFormat="1" applyFont="1" applyFill="1" applyBorder="1" applyAlignment="1">
      <alignment horizontal="center" vertical="top" wrapText="1"/>
    </xf>
    <xf numFmtId="164" fontId="0" fillId="17" borderId="18" xfId="6" applyNumberFormat="1" applyFont="1" applyFill="1" applyBorder="1" applyAlignment="1">
      <alignment horizontal="center" vertical="top" wrapText="1"/>
    </xf>
    <xf numFmtId="164" fontId="0" fillId="13" borderId="24" xfId="6" applyNumberFormat="1" applyFont="1" applyFill="1" applyBorder="1" applyAlignment="1">
      <alignment horizontal="center" vertical="top" wrapText="1"/>
    </xf>
    <xf numFmtId="164" fontId="0" fillId="17" borderId="25" xfId="6" applyNumberFormat="1" applyFont="1" applyFill="1" applyBorder="1" applyAlignment="1">
      <alignment horizontal="center" vertical="top" wrapText="1"/>
    </xf>
    <xf numFmtId="164" fontId="15" fillId="17" borderId="3" xfId="6" applyNumberFormat="1" applyFont="1" applyFill="1" applyBorder="1" applyAlignment="1">
      <alignment horizontal="center" vertical="top" wrapText="1"/>
    </xf>
    <xf numFmtId="164" fontId="15" fillId="17" borderId="15" xfId="6" applyNumberFormat="1" applyFont="1" applyFill="1" applyBorder="1" applyAlignment="1">
      <alignment horizontal="center" vertical="top" wrapText="1"/>
    </xf>
    <xf numFmtId="0" fontId="0" fillId="17" borderId="0" xfId="0" applyFont="1" applyBorder="1" applyAlignment="1">
      <alignment horizontal="left" vertical="top" wrapText="1"/>
    </xf>
    <xf numFmtId="0" fontId="0" fillId="17" borderId="28" xfId="0" applyFont="1" applyBorder="1" applyAlignment="1">
      <alignment horizontal="left" vertical="top" wrapText="1"/>
    </xf>
    <xf numFmtId="0" fontId="0" fillId="17" borderId="29" xfId="0" applyFont="1" applyBorder="1" applyAlignment="1">
      <alignment horizontal="left" vertical="top"/>
    </xf>
    <xf numFmtId="164" fontId="15" fillId="17" borderId="16" xfId="6" applyNumberFormat="1" applyFont="1" applyFill="1" applyBorder="1" applyAlignment="1">
      <alignment horizontal="center" vertical="top" wrapText="1"/>
    </xf>
    <xf numFmtId="164" fontId="15" fillId="17" borderId="37" xfId="6" applyNumberFormat="1" applyFont="1" applyFill="1" applyBorder="1" applyAlignment="1">
      <alignment horizontal="center" vertical="top" wrapText="1"/>
    </xf>
    <xf numFmtId="0" fontId="15" fillId="13" borderId="36" xfId="0" applyFont="1" applyFill="1" applyBorder="1" applyAlignment="1">
      <alignment horizontal="center" vertical="top" wrapText="1"/>
    </xf>
    <xf numFmtId="0" fontId="0" fillId="17" borderId="0" xfId="0" applyAlignment="1">
      <alignment horizontal="center" vertical="center" textRotation="90"/>
    </xf>
    <xf numFmtId="0" fontId="0" fillId="17" borderId="4" xfId="0" applyBorder="1" applyAlignment="1">
      <alignment horizontal="center" vertical="center" textRotation="90"/>
    </xf>
    <xf numFmtId="0" fontId="0" fillId="17" borderId="5" xfId="0" applyBorder="1" applyAlignment="1">
      <alignment horizontal="center" vertical="center" textRotation="90"/>
    </xf>
    <xf numFmtId="0" fontId="0" fillId="17" borderId="4" xfId="0" applyBorder="1" applyAlignment="1">
      <alignment horizontal="center" vertical="center"/>
    </xf>
    <xf numFmtId="0" fontId="0" fillId="17" borderId="5" xfId="0" applyBorder="1" applyAlignment="1">
      <alignment horizontal="center" vertical="center"/>
    </xf>
    <xf numFmtId="0" fontId="4" fillId="15" borderId="0" xfId="0" applyFont="1" applyFill="1" applyBorder="1" applyAlignment="1" applyProtection="1">
      <alignment horizontal="left"/>
    </xf>
    <xf numFmtId="14" fontId="0" fillId="9" borderId="0" xfId="0" applyNumberFormat="1" applyFill="1" applyAlignment="1">
      <alignment horizontal="center"/>
    </xf>
    <xf numFmtId="0" fontId="0" fillId="9" borderId="0" xfId="0" applyFill="1" applyAlignment="1">
      <alignment horizontal="left" vertical="center" wrapText="1"/>
    </xf>
    <xf numFmtId="0" fontId="0" fillId="9" borderId="0" xfId="0" applyFill="1" applyAlignment="1">
      <alignment horizontal="left" vertical="top" wrapText="1" indent="1"/>
    </xf>
    <xf numFmtId="0" fontId="0" fillId="9" borderId="0" xfId="0" applyFill="1" applyAlignment="1">
      <alignment horizontal="left" vertical="top" indent="1"/>
    </xf>
    <xf numFmtId="0" fontId="0" fillId="17" borderId="34" xfId="0" applyBorder="1" applyAlignment="1">
      <alignment horizontal="left" vertical="top"/>
    </xf>
    <xf numFmtId="0" fontId="0" fillId="17" borderId="15" xfId="0" applyBorder="1" applyAlignment="1">
      <alignment horizontal="left" vertical="top"/>
    </xf>
    <xf numFmtId="0" fontId="0" fillId="17" borderId="35" xfId="0" applyBorder="1" applyAlignment="1">
      <alignment horizontal="left" vertical="top"/>
    </xf>
    <xf numFmtId="0" fontId="0" fillId="17" borderId="27" xfId="0" applyBorder="1" applyAlignment="1">
      <alignment horizontal="left" vertical="top"/>
    </xf>
    <xf numFmtId="0" fontId="0" fillId="13" borderId="32" xfId="0" applyFont="1" applyFill="1" applyBorder="1" applyAlignment="1">
      <alignment horizontal="left" vertical="top" wrapText="1"/>
    </xf>
    <xf numFmtId="0" fontId="0" fillId="13" borderId="30" xfId="0" applyFont="1" applyFill="1" applyBorder="1" applyAlignment="1">
      <alignment horizontal="left" vertical="top" wrapText="1"/>
    </xf>
    <xf numFmtId="0" fontId="0" fillId="17" borderId="33" xfId="0" applyFont="1" applyBorder="1" applyAlignment="1">
      <alignment horizontal="left" vertical="top" wrapText="1"/>
    </xf>
    <xf numFmtId="0" fontId="0" fillId="17" borderId="3" xfId="0" applyFont="1" applyBorder="1" applyAlignment="1">
      <alignment horizontal="left" vertical="top" wrapText="1"/>
    </xf>
    <xf numFmtId="0" fontId="0" fillId="17" borderId="1" xfId="0" applyBorder="1" applyAlignment="1">
      <alignment horizontal="left" vertical="top"/>
    </xf>
    <xf numFmtId="0" fontId="0" fillId="13" borderId="33" xfId="0" applyFill="1" applyBorder="1" applyAlignment="1">
      <alignment horizontal="left"/>
    </xf>
    <xf numFmtId="0" fontId="0" fillId="13" borderId="3" xfId="0" applyFill="1" applyBorder="1" applyAlignment="1">
      <alignment horizontal="left"/>
    </xf>
  </cellXfs>
  <cellStyles count="7">
    <cellStyle name="20% - Accent1" xfId="3" builtinId="30"/>
    <cellStyle name="Comma" xfId="6" builtinId="3"/>
    <cellStyle name="Explanatory Text" xfId="2" builtinId="53"/>
    <cellStyle name="Heading 1" xfId="5" builtinId="16"/>
    <cellStyle name="Hyperlink" xfId="4" builtinId="8"/>
    <cellStyle name="Normal" xfId="0" builtinId="0" customBuiltin="1"/>
    <cellStyle name="Percent" xfId="1" builtinId="5"/>
  </cellStyles>
  <dxfs count="475">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right style="thin">
          <color theme="0" tint="-0.499984740745262"/>
        </right>
        <top/>
        <bottom/>
      </border>
    </dxf>
    <dxf>
      <alignment horizontal="center" vertical="center" textRotation="0" wrapText="0" indent="0" justifyLastLine="0" shrinkToFit="0" readingOrder="0"/>
      <border diagonalUp="0" diagonalDown="0" outline="0">
        <left style="thin">
          <color theme="0" tint="-0.499984740745262"/>
        </left>
        <right/>
        <top/>
        <bottom/>
      </border>
    </dxf>
    <dxf>
      <fill>
        <patternFill>
          <bgColor theme="2" tint="-0.24994659260841701"/>
        </patternFill>
      </fill>
    </dxf>
    <dxf>
      <numFmt numFmtId="2" formatCode="0.00"/>
    </dxf>
    <dxf>
      <numFmt numFmtId="0" formatCode="General"/>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0"/>
        <color auto="1"/>
        <name val="Arial Unicode MS"/>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164" formatCode="0.0"/>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164" formatCode="0.0"/>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164" formatCode="0.0"/>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164" formatCode="0.0"/>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164" formatCode="0.0"/>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164" formatCode="0.0"/>
      <alignment horizontal="center" vertical="bottom" textRotation="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1"/>
        <color theme="1" tint="4.9989318521683403E-2"/>
        <name val="Arial"/>
        <scheme val="none"/>
      </font>
      <numFmt numFmtId="164" formatCode="0.0"/>
      <alignment horizontal="center" vertical="bottom" textRotation="0" wrapText="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protection locked="1" hidden="0"/>
    </dxf>
    <dxf>
      <font>
        <b val="0"/>
        <i val="0"/>
        <strike val="0"/>
        <outline val="0"/>
        <shadow val="0"/>
        <u val="none"/>
        <vertAlign val="baseline"/>
        <sz val="11"/>
        <color theme="1" tint="4.9989318521683403E-2"/>
        <name val="Arial"/>
        <scheme val="none"/>
      </font>
      <numFmt numFmtId="164" formatCode="0.0"/>
      <alignment horizontal="center" vertical="bottom" textRotation="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left" vertical="bottom" textRotation="0" wrapText="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outline val="0"/>
        <shadow val="0"/>
        <u val="none"/>
        <vertAlign val="baseline"/>
        <sz val="11"/>
        <color theme="1" tint="4.9989318521683403E-2"/>
        <name val="Arial"/>
        <scheme val="none"/>
      </font>
      <numFmt numFmtId="0" formatCode="General"/>
      <alignment horizontal="center" vertical="bottom" textRotation="0" indent="0" justifyLastLine="0" shrinkToFit="0" readingOrder="0"/>
      <border diagonalUp="0" diagonalDown="0" outline="0">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1"/>
        <color theme="1" tint="4.9989318521683403E-2"/>
        <name val="Arial"/>
        <scheme val="none"/>
      </font>
      <numFmt numFmtId="0" formatCode="General"/>
      <alignment horizontal="center" vertical="bottom" textRotation="0" wrapText="0" indent="0" justifyLastLine="0" shrinkToFit="0" readingOrder="0"/>
      <border diagonalUp="0" diagonalDown="0" outline="0">
        <left style="thin">
          <color theme="0" tint="-0.499984740745262"/>
        </left>
        <right style="thin">
          <color theme="0" tint="-0.499984740745262"/>
        </right>
        <top/>
        <bottom/>
      </border>
      <protection locked="1" hidden="0"/>
    </dxf>
    <dxf>
      <border diagonalUp="0" diagonalDown="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1"/>
        <color theme="1" tint="4.9989318521683403E-2"/>
        <name val="Arial"/>
        <scheme val="none"/>
      </font>
      <numFmt numFmtId="0" formatCode="General"/>
      <fill>
        <patternFill>
          <fgColor indexed="64"/>
        </patternFill>
      </fill>
      <alignment horizontal="center" vertical="bottom" textRotation="0" wrapText="0" indent="0" justifyLastLine="0" shrinkToFit="0" readingOrder="0"/>
      <border diagonalUp="0" diagonalDown="0" outline="0"/>
      <protection locked="1" hidden="0"/>
    </dxf>
    <dxf>
      <border>
        <bottom style="thin">
          <color theme="0" tint="-0.499984740745262"/>
        </bottom>
      </border>
    </dxf>
    <dxf>
      <font>
        <strike val="0"/>
        <outline val="0"/>
        <shadow val="0"/>
        <u val="none"/>
        <vertAlign val="baseline"/>
        <sz val="11"/>
        <color theme="1" tint="4.9989318521683403E-2"/>
        <name val="Arial"/>
        <scheme val="none"/>
      </font>
      <numFmt numFmtId="0" formatCode="General"/>
      <fill>
        <patternFill patternType="none">
          <fgColor indexed="64"/>
          <bgColor indexed="65"/>
        </patternFill>
      </fill>
      <border diagonalUp="0" diagonalDown="0" outline="0">
        <left style="thin">
          <color theme="0" tint="-0.499984740745262"/>
        </left>
        <right style="thin">
          <color theme="0" tint="-0.499984740745262"/>
        </right>
        <top/>
        <bottom/>
      </border>
      <protection locked="1" hidden="0"/>
    </dxf>
    <dxf>
      <fill>
        <patternFill>
          <bgColor theme="5" tint="0.39994506668294322"/>
        </patternFill>
      </fill>
      <border>
        <left style="thin">
          <color rgb="FFFF0000"/>
        </left>
        <right style="thin">
          <color rgb="FFFF0000"/>
        </right>
        <top style="thin">
          <color rgb="FFFF0000"/>
        </top>
        <bottom style="thin">
          <color rgb="FFFF0000"/>
        </bottom>
        <vertical/>
        <horizontal/>
      </border>
    </dxf>
    <dxf>
      <font>
        <color rgb="FFFF0000"/>
      </font>
    </dxf>
    <dxf>
      <fill>
        <patternFill>
          <bgColor theme="5" tint="0.39994506668294322"/>
        </patternFill>
      </fill>
    </dxf>
    <dxf>
      <fill>
        <patternFill>
          <bgColor theme="5" tint="0.39994506668294322"/>
        </patternFill>
      </fill>
      <border>
        <left style="thin">
          <color rgb="FFFF0000"/>
        </left>
        <right style="thin">
          <color rgb="FFFF0000"/>
        </right>
        <top style="thin">
          <color rgb="FFFF0000"/>
        </top>
        <bottom style="thin">
          <color rgb="FFFF0000"/>
        </bottom>
        <vertical/>
        <horizontal/>
      </border>
    </dxf>
    <dxf>
      <fill>
        <patternFill>
          <bgColor rgb="FFFFCCCC"/>
        </patternFill>
      </fill>
    </dxf>
    <dxf>
      <fill>
        <patternFill>
          <bgColor rgb="FFFFFF99"/>
        </patternFill>
      </fill>
    </dxf>
    <dxf>
      <fill>
        <patternFill>
          <bgColor rgb="FFCCFFCC"/>
        </patternFill>
      </fill>
    </dxf>
    <dxf>
      <fill>
        <patternFill>
          <bgColor rgb="FFFFCCCC"/>
        </patternFill>
      </fill>
    </dxf>
    <dxf>
      <fill>
        <patternFill>
          <bgColor rgb="FFFFFF99"/>
        </patternFill>
      </fill>
    </dxf>
    <dxf>
      <fill>
        <patternFill>
          <bgColor rgb="FFCCFFCC"/>
        </patternFill>
      </fill>
    </dxf>
    <dxf>
      <fill>
        <patternFill>
          <bgColor rgb="FFFFCCCC"/>
        </patternFill>
      </fill>
    </dxf>
    <dxf>
      <fill>
        <patternFill>
          <bgColor rgb="FFCCFFCC"/>
        </patternFill>
      </fill>
    </dxf>
    <dxf>
      <fill>
        <patternFill>
          <bgColor rgb="FFFFFF99"/>
        </patternFill>
      </fill>
    </dxf>
    <dxf>
      <fill>
        <patternFill>
          <bgColor theme="5" tint="0.39994506668294322"/>
        </patternFill>
      </fill>
      <border>
        <left style="thin">
          <color rgb="FFFF0000"/>
        </left>
        <right style="thin">
          <color rgb="FFFF0000"/>
        </right>
        <top style="thin">
          <color rgb="FFFF0000"/>
        </top>
        <bottom style="thin">
          <color rgb="FFFF0000"/>
        </bottom>
      </border>
    </dxf>
    <dxf>
      <font>
        <color theme="3" tint="0.79998168889431442"/>
      </font>
    </dxf>
    <dxf>
      <fill>
        <patternFill>
          <bgColor theme="0" tint="-4.9989318521683403E-2"/>
        </patternFill>
      </fill>
      <border>
        <bottom style="thin">
          <color auto="1"/>
        </bottom>
        <horizontal style="thin">
          <color auto="1"/>
        </horizontal>
      </border>
    </dxf>
    <dxf>
      <fill>
        <patternFill patternType="none">
          <bgColor auto="1"/>
        </patternFill>
      </fill>
      <border>
        <bottom style="thin">
          <color auto="1"/>
        </bottom>
        <vertical/>
        <horizontal style="thin">
          <color auto="1"/>
        </horizontal>
      </border>
    </dxf>
    <dxf>
      <font>
        <b/>
        <i val="0"/>
      </font>
      <fill>
        <patternFill>
          <fgColor theme="9" tint="0.79998168889431442"/>
          <bgColor theme="9" tint="0.79998168889431442"/>
        </patternFill>
      </fill>
    </dxf>
    <dxf>
      <fill>
        <patternFill>
          <bgColor theme="8" tint="0.79998168889431442"/>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5"/>
          <bgColor theme="5"/>
        </patternFill>
      </fill>
    </dxf>
    <dxf>
      <font>
        <b/>
        <color theme="0"/>
      </font>
      <fill>
        <patternFill patternType="solid">
          <fgColor theme="5"/>
          <bgColor theme="5"/>
        </patternFill>
      </fill>
    </dxf>
    <dxf>
      <border>
        <top style="double">
          <color theme="1"/>
        </top>
      </border>
    </dxf>
    <dxf>
      <font>
        <b val="0"/>
        <i val="0"/>
        <color theme="0"/>
      </font>
      <fill>
        <patternFill patternType="solid">
          <fgColor theme="2"/>
          <bgColor theme="2"/>
        </patternFill>
      </fill>
      <border>
        <bottom style="medium">
          <color theme="1"/>
        </bottom>
      </border>
    </dxf>
    <dxf>
      <font>
        <color theme="1"/>
      </font>
      <border>
        <top style="medium">
          <color theme="1"/>
        </top>
        <bottom style="medium">
          <color theme="1"/>
        </bottom>
      </border>
    </dxf>
  </dxfs>
  <tableStyles count="2" defaultTableStyle="TableStyleMedium2" defaultPivotStyle="PivotStyleLight16">
    <tableStyle name="AbsencesTableStyle" pivot="0" count="7">
      <tableStyleElement type="wholeTable" dxfId="474"/>
      <tableStyleElement type="headerRow" dxfId="473"/>
      <tableStyleElement type="totalRow" dxfId="472"/>
      <tableStyleElement type="firstColumn" dxfId="471"/>
      <tableStyleElement type="lastColumn" dxfId="470"/>
      <tableStyleElement type="firstRowStripe" dxfId="469"/>
      <tableStyleElement type="firstColumnStripe" dxfId="468"/>
    </tableStyle>
    <tableStyle name="Table Style Custom 2" pivot="0" count="4">
      <tableStyleElement type="wholeTable" dxfId="467"/>
      <tableStyleElement type="headerRow" dxfId="466"/>
      <tableStyleElement type="firstRowStripe" dxfId="465"/>
      <tableStyleElement type="secondRowStripe" dxfId="464"/>
    </tableStyle>
  </tableStyles>
  <colors>
    <mruColors>
      <color rgb="FFFFCCCC"/>
      <color rgb="FFFF9B9B"/>
      <color rgb="FFFCF378"/>
      <color rgb="FFFBEE47"/>
      <color rgb="FFFF0D0D"/>
      <color rgb="FF68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v>AssessmentType</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dLbl>
              <c:idx val="4"/>
              <c:layout>
                <c:manualLayout>
                  <c:x val="0.0486830127246752"/>
                  <c:y val="-0.116773528308961"/>
                </c:manualLayout>
              </c:layout>
              <c:dLblPos val="bestFit"/>
              <c:showLegendKey val="0"/>
              <c:showVal val="1"/>
              <c:showCatName val="1"/>
              <c:showSerName val="0"/>
              <c:showPercent val="0"/>
              <c:showBubbleSize val="0"/>
              <c:extLst>
                <c:ext xmlns:c15="http://schemas.microsoft.com/office/drawing/2012/chart" uri="{CE6537A1-D6FC-4f65-9D91-7224C49458BB}"/>
              </c:extLst>
            </c:dLbl>
            <c:dLbl>
              <c:idx val="5"/>
              <c:layout>
                <c:manualLayout>
                  <c:x val="0.0235790779317141"/>
                  <c:y val="0.0653693288338958"/>
                </c:manualLayout>
              </c:layout>
              <c:dLblPos val="bestFit"/>
              <c:showLegendKey val="0"/>
              <c:showVal val="1"/>
              <c:showCatName val="1"/>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Entry'!$M$11:$R$11</c:f>
              <c:strCache>
                <c:ptCount val="6"/>
                <c:pt idx="0">
                  <c:v>Homeworks</c:v>
                </c:pt>
                <c:pt idx="1">
                  <c:v>Classworks</c:v>
                </c:pt>
                <c:pt idx="2">
                  <c:v>Tests</c:v>
                </c:pt>
                <c:pt idx="3">
                  <c:v>Projects</c:v>
                </c:pt>
                <c:pt idx="4">
                  <c:v>Another Type</c:v>
                </c:pt>
                <c:pt idx="5">
                  <c:v>Another Type 2</c:v>
                </c:pt>
              </c:strCache>
            </c:strRef>
          </c:cat>
          <c:val>
            <c:numRef>
              <c:f>'Data Entry'!$M$4:$R$4</c:f>
              <c:numCache>
                <c:formatCode>0%</c:formatCode>
                <c:ptCount val="6"/>
                <c:pt idx="0">
                  <c:v>0.1</c:v>
                </c:pt>
                <c:pt idx="1">
                  <c:v>0.2</c:v>
                </c:pt>
                <c:pt idx="2">
                  <c:v>0.4</c:v>
                </c:pt>
                <c:pt idx="3">
                  <c:v>0.3</c:v>
                </c:pt>
                <c:pt idx="4">
                  <c:v>0.0</c:v>
                </c:pt>
                <c:pt idx="5">
                  <c:v>0.0</c:v>
                </c:pt>
              </c:numCache>
            </c:numRef>
          </c:val>
        </c:ser>
        <c:dLbls>
          <c:dLblPos val="bestFit"/>
          <c:showLegendKey val="0"/>
          <c:showVal val="1"/>
          <c:showCatName val="0"/>
          <c:showSerName val="0"/>
          <c:showPercent val="0"/>
          <c:showBubbleSize val="0"/>
          <c:showLeaderLines val="1"/>
        </c:dLbls>
        <c:firstSliceAng val="90"/>
      </c:pieChart>
      <c:spPr>
        <a:noFill/>
        <a:ln>
          <a:noFill/>
        </a:ln>
        <a:effectLst/>
      </c:spPr>
    </c:plotArea>
    <c:plotVisOnly val="0"/>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'Options and Things to Try'!$B$20:$B$32</c:f>
              <c:strCache>
                <c:ptCount val="13"/>
                <c:pt idx="0">
                  <c:v>F</c:v>
                </c:pt>
                <c:pt idx="1">
                  <c:v>D-</c:v>
                </c:pt>
                <c:pt idx="2">
                  <c:v>D</c:v>
                </c:pt>
                <c:pt idx="3">
                  <c:v>D+</c:v>
                </c:pt>
                <c:pt idx="4">
                  <c:v>C-</c:v>
                </c:pt>
                <c:pt idx="5">
                  <c:v>C</c:v>
                </c:pt>
                <c:pt idx="6">
                  <c:v>C+</c:v>
                </c:pt>
                <c:pt idx="7">
                  <c:v>B-</c:v>
                </c:pt>
                <c:pt idx="8">
                  <c:v>B</c:v>
                </c:pt>
                <c:pt idx="9">
                  <c:v>B+</c:v>
                </c:pt>
                <c:pt idx="10">
                  <c:v>A-</c:v>
                </c:pt>
                <c:pt idx="11">
                  <c:v>A</c:v>
                </c:pt>
                <c:pt idx="12">
                  <c:v>A+</c:v>
                </c:pt>
              </c:strCache>
            </c:strRef>
          </c:cat>
          <c:val>
            <c:numRef>
              <c:f>'Options and Things to Try'!$C$20:$C$32</c:f>
              <c:numCache>
                <c:formatCode>General</c:formatCode>
                <c:ptCount val="13"/>
                <c:pt idx="0">
                  <c:v>6.0</c:v>
                </c:pt>
                <c:pt idx="1">
                  <c:v>0.0</c:v>
                </c:pt>
                <c:pt idx="2">
                  <c:v>0.0</c:v>
                </c:pt>
                <c:pt idx="3">
                  <c:v>0.0</c:v>
                </c:pt>
                <c:pt idx="4">
                  <c:v>0.0</c:v>
                </c:pt>
                <c:pt idx="5">
                  <c:v>0.0</c:v>
                </c:pt>
                <c:pt idx="6">
                  <c:v>0.0</c:v>
                </c:pt>
                <c:pt idx="7">
                  <c:v>1.0</c:v>
                </c:pt>
                <c:pt idx="8">
                  <c:v>0.0</c:v>
                </c:pt>
                <c:pt idx="9">
                  <c:v>2.0</c:v>
                </c:pt>
                <c:pt idx="10">
                  <c:v>0.0</c:v>
                </c:pt>
                <c:pt idx="11">
                  <c:v>0.0</c:v>
                </c:pt>
                <c:pt idx="12">
                  <c:v>1.0</c:v>
                </c:pt>
              </c:numCache>
            </c:numRef>
          </c:val>
        </c:ser>
        <c:dLbls>
          <c:showLegendKey val="0"/>
          <c:showVal val="0"/>
          <c:showCatName val="0"/>
          <c:showSerName val="0"/>
          <c:showPercent val="0"/>
          <c:showBubbleSize val="0"/>
        </c:dLbls>
        <c:gapWidth val="219"/>
        <c:overlap val="-27"/>
        <c:axId val="2143678488"/>
        <c:axId val="2143624952"/>
      </c:barChart>
      <c:catAx>
        <c:axId val="2143678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624952"/>
        <c:crosses val="autoZero"/>
        <c:auto val="1"/>
        <c:lblAlgn val="ctr"/>
        <c:lblOffset val="100"/>
        <c:noMultiLvlLbl val="0"/>
      </c:catAx>
      <c:valAx>
        <c:axId val="2143624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Students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678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66676</xdr:colOff>
      <xdr:row>23</xdr:row>
      <xdr:rowOff>0</xdr:rowOff>
    </xdr:from>
    <xdr:to>
      <xdr:col>11</xdr:col>
      <xdr:colOff>95250</xdr:colOff>
      <xdr:row>28</xdr:row>
      <xdr:rowOff>0</xdr:rowOff>
    </xdr:to>
    <xdr:sp macro="" textlink="">
      <xdr:nvSpPr>
        <xdr:cNvPr id="7" name="Rounded Rectangular Callout 6"/>
        <xdr:cNvSpPr/>
      </xdr:nvSpPr>
      <xdr:spPr>
        <a:xfrm>
          <a:off x="66676" y="4905375"/>
          <a:ext cx="2981324" cy="904875"/>
        </a:xfrm>
        <a:prstGeom prst="wedgeRoundRectCallout">
          <a:avLst>
            <a:gd name="adj1" fmla="val -19249"/>
            <a:gd name="adj2" fmla="val -67763"/>
            <a:gd name="adj3" fmla="val 16667"/>
          </a:avLst>
        </a:prstGeom>
        <a:solidFill>
          <a:schemeClr val="accent6">
            <a:lumMod val="20000"/>
            <a:lumOff val="8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US" sz="1100" b="1" baseline="0"/>
            <a:t>Step 1: A</a:t>
          </a:r>
          <a:r>
            <a:rPr lang="en-US" sz="1100" b="1"/>
            <a:t>dd Students</a:t>
          </a:r>
          <a:endParaRPr lang="en-US" sz="1100" b="0"/>
        </a:p>
        <a:p>
          <a:pPr algn="l"/>
          <a:r>
            <a:rPr lang="en-US" sz="1100" baseline="0"/>
            <a:t>- Simply type right below the table and it will automatically expand. </a:t>
          </a:r>
        </a:p>
        <a:p>
          <a:pPr algn="l"/>
          <a:r>
            <a:rPr lang="en-US" sz="1100" baseline="0">
              <a:solidFill>
                <a:schemeClr val="bg1">
                  <a:lumMod val="65000"/>
                </a:schemeClr>
              </a:solidFill>
            </a:rPr>
            <a:t>To delete, click border, press delete</a:t>
          </a:r>
          <a:endParaRPr lang="en-US" sz="1100">
            <a:solidFill>
              <a:schemeClr val="bg1">
                <a:lumMod val="65000"/>
              </a:schemeClr>
            </a:solidFill>
          </a:endParaRPr>
        </a:p>
      </xdr:txBody>
    </xdr:sp>
    <xdr:clientData fPrintsWithSheet="0"/>
  </xdr:twoCellAnchor>
  <xdr:twoCellAnchor editAs="oneCell">
    <xdr:from>
      <xdr:col>18</xdr:col>
      <xdr:colOff>47625</xdr:colOff>
      <xdr:row>23</xdr:row>
      <xdr:rowOff>0</xdr:rowOff>
    </xdr:from>
    <xdr:to>
      <xdr:col>21</xdr:col>
      <xdr:colOff>409576</xdr:colOff>
      <xdr:row>28</xdr:row>
      <xdr:rowOff>1</xdr:rowOff>
    </xdr:to>
    <xdr:sp macro="" textlink="">
      <xdr:nvSpPr>
        <xdr:cNvPr id="8" name="Rounded Rectangular Callout 7"/>
        <xdr:cNvSpPr/>
      </xdr:nvSpPr>
      <xdr:spPr>
        <a:xfrm>
          <a:off x="6696075" y="4905375"/>
          <a:ext cx="2790826" cy="904876"/>
        </a:xfrm>
        <a:prstGeom prst="wedgeRoundRectCallout">
          <a:avLst>
            <a:gd name="adj1" fmla="val -36519"/>
            <a:gd name="adj2" fmla="val -83985"/>
            <a:gd name="adj3" fmla="val 16667"/>
          </a:avLst>
        </a:prstGeom>
        <a:solidFill>
          <a:schemeClr val="accent6">
            <a:lumMod val="20000"/>
            <a:lumOff val="8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US" sz="1100" b="1" baseline="0"/>
            <a:t>Step 3: S</a:t>
          </a:r>
          <a:r>
            <a:rPr lang="en-US" sz="1100" b="1"/>
            <a:t>tart Entering Scores </a:t>
          </a:r>
        </a:p>
        <a:p>
          <a:pPr algn="l"/>
          <a:r>
            <a:rPr lang="en-US" sz="1100" b="0"/>
            <a:t>- Enter</a:t>
          </a:r>
          <a:r>
            <a:rPr lang="en-US" sz="1100" b="0" baseline="0"/>
            <a:t> scores starting in column S</a:t>
          </a:r>
        </a:p>
        <a:p>
          <a:pPr algn="l"/>
          <a:r>
            <a:rPr lang="en-US" sz="1100" b="0" baseline="0"/>
            <a:t>- Fill in the header information at top</a:t>
          </a:r>
        </a:p>
        <a:p>
          <a:pPr algn="l"/>
          <a:r>
            <a:rPr lang="en-US" sz="1100" b="0" baseline="0">
              <a:solidFill>
                <a:schemeClr val="bg1">
                  <a:lumMod val="50000"/>
                </a:schemeClr>
              </a:solidFill>
            </a:rPr>
            <a:t>Good luck and feel free to explore!</a:t>
          </a:r>
        </a:p>
      </xdr:txBody>
    </xdr:sp>
    <xdr:clientData fPrintsWithSheet="0"/>
  </xdr:twoCellAnchor>
  <xdr:twoCellAnchor>
    <xdr:from>
      <xdr:col>2</xdr:col>
      <xdr:colOff>85724</xdr:colOff>
      <xdr:row>0</xdr:row>
      <xdr:rowOff>66676</xdr:rowOff>
    </xdr:from>
    <xdr:to>
      <xdr:col>9</xdr:col>
      <xdr:colOff>666750</xdr:colOff>
      <xdr:row>4</xdr:row>
      <xdr:rowOff>66676</xdr:rowOff>
    </xdr:to>
    <xdr:sp macro="" textlink="">
      <xdr:nvSpPr>
        <xdr:cNvPr id="9" name="Rounded Rectangle 8"/>
        <xdr:cNvSpPr/>
      </xdr:nvSpPr>
      <xdr:spPr>
        <a:xfrm>
          <a:off x="2114549" y="66676"/>
          <a:ext cx="6248401" cy="723900"/>
        </a:xfrm>
        <a:prstGeom prst="roundRect">
          <a:avLst/>
        </a:prstGeom>
        <a:solidFill>
          <a:schemeClr val="accent4">
            <a:lumMod val="20000"/>
            <a:lumOff val="8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baseline="0"/>
            <a:t>    </a:t>
          </a:r>
          <a:r>
            <a:rPr lang="en-US" sz="1100"/>
            <a:t>These columns</a:t>
          </a:r>
          <a:r>
            <a:rPr lang="en-US" sz="1100" baseline="0"/>
            <a:t> hold demographic information and other data that you can use later to help analyze how your students are doing. Rename and make your own custom categories!</a:t>
          </a:r>
        </a:p>
        <a:p>
          <a:pPr algn="l"/>
          <a:r>
            <a:rPr lang="en-US" sz="1100" baseline="0">
              <a:solidFill>
                <a:schemeClr val="bg1">
                  <a:lumMod val="65000"/>
                </a:schemeClr>
              </a:solidFill>
            </a:rPr>
            <a:t>To delete, click border, press delete</a:t>
          </a:r>
          <a:endParaRPr lang="en-US" sz="1100">
            <a:solidFill>
              <a:schemeClr val="bg1">
                <a:lumMod val="65000"/>
              </a:schemeClr>
            </a:solidFill>
          </a:endParaRPr>
        </a:p>
      </xdr:txBody>
    </xdr:sp>
    <xdr:clientData fPrintsWithSheet="0"/>
  </xdr:twoCellAnchor>
  <xdr:twoCellAnchor editAs="oneCell">
    <xdr:from>
      <xdr:col>23</xdr:col>
      <xdr:colOff>157442</xdr:colOff>
      <xdr:row>1</xdr:row>
      <xdr:rowOff>25772</xdr:rowOff>
    </xdr:from>
    <xdr:to>
      <xdr:col>26</xdr:col>
      <xdr:colOff>378285</xdr:colOff>
      <xdr:row>10</xdr:row>
      <xdr:rowOff>1000125</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2492317" y="206747"/>
          <a:ext cx="2649718" cy="1812553"/>
        </a:xfrm>
        <a:prstGeom prst="roundRect">
          <a:avLst>
            <a:gd name="adj" fmla="val 8594"/>
          </a:avLst>
        </a:prstGeom>
        <a:solidFill>
          <a:srgbClr val="FFFFFF">
            <a:shade val="85000"/>
          </a:srgbClr>
        </a:solidFill>
        <a:ln>
          <a:solidFill>
            <a:schemeClr val="accent6"/>
          </a:solidFill>
        </a:ln>
        <a:effectLst/>
      </xdr:spPr>
    </xdr:pic>
    <xdr:clientData/>
  </xdr:twoCellAnchor>
  <xdr:twoCellAnchor>
    <xdr:from>
      <xdr:col>19</xdr:col>
      <xdr:colOff>77750</xdr:colOff>
      <xdr:row>5</xdr:row>
      <xdr:rowOff>11206</xdr:rowOff>
    </xdr:from>
    <xdr:to>
      <xdr:col>25</xdr:col>
      <xdr:colOff>762000</xdr:colOff>
      <xdr:row>9</xdr:row>
      <xdr:rowOff>68036</xdr:rowOff>
    </xdr:to>
    <xdr:sp macro="" textlink="">
      <xdr:nvSpPr>
        <xdr:cNvPr id="12" name="Rounded Rectangle 11"/>
        <xdr:cNvSpPr/>
      </xdr:nvSpPr>
      <xdr:spPr>
        <a:xfrm>
          <a:off x="9174125" y="1030381"/>
          <a:ext cx="5542000" cy="78073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US" sz="1100" baseline="0"/>
            <a:t>    </a:t>
          </a:r>
          <a:r>
            <a:rPr lang="en-US" sz="1100"/>
            <a:t>These rows help tally the scores for</a:t>
          </a:r>
          <a:r>
            <a:rPr lang="en-US" sz="1100" baseline="0"/>
            <a:t> the above distribution chart. You can change the ranges on the Options and Things to Try sheet. Note: if you want to add more rows (to have more bars) insert rows above row 8 or 9 as the top and bottom formulas are different.</a:t>
          </a:r>
        </a:p>
      </xdr:txBody>
    </xdr:sp>
    <xdr:clientData fPrintsWithSheet="0"/>
  </xdr:twoCellAnchor>
  <xdr:twoCellAnchor>
    <xdr:from>
      <xdr:col>6</xdr:col>
      <xdr:colOff>234043</xdr:colOff>
      <xdr:row>21</xdr:row>
      <xdr:rowOff>69397</xdr:rowOff>
    </xdr:from>
    <xdr:to>
      <xdr:col>9</xdr:col>
      <xdr:colOff>586469</xdr:colOff>
      <xdr:row>26</xdr:row>
      <xdr:rowOff>25853</xdr:rowOff>
    </xdr:to>
    <xdr:sp macro="" textlink="">
      <xdr:nvSpPr>
        <xdr:cNvPr id="14" name="Rounded Rectangle 13"/>
        <xdr:cNvSpPr/>
      </xdr:nvSpPr>
      <xdr:spPr>
        <a:xfrm>
          <a:off x="5554436" y="4559754"/>
          <a:ext cx="2801712" cy="840920"/>
        </a:xfrm>
        <a:prstGeom prst="roundRect">
          <a:avLst>
            <a:gd name="adj" fmla="val 4264"/>
          </a:avLst>
        </a:prstGeom>
        <a:solidFill>
          <a:schemeClr val="accent4">
            <a:lumMod val="20000"/>
            <a:lumOff val="8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baseline="0"/>
            <a:t>    The counts of absent and late come from a hidden "Absences" sheet. If you want to track absenses/lates, right click on the sheet tabs at bottom and click "Unhide."</a:t>
          </a:r>
          <a:endParaRPr lang="en-US" sz="1100">
            <a:solidFill>
              <a:schemeClr val="bg1">
                <a:lumMod val="65000"/>
              </a:schemeClr>
            </a:solidFill>
          </a:endParaRPr>
        </a:p>
      </xdr:txBody>
    </xdr:sp>
    <xdr:clientData fPrintsWithSheet="0"/>
  </xdr:twoCellAnchor>
  <xdr:twoCellAnchor>
    <xdr:from>
      <xdr:col>12</xdr:col>
      <xdr:colOff>76201</xdr:colOff>
      <xdr:row>23</xdr:row>
      <xdr:rowOff>9525</xdr:rowOff>
    </xdr:from>
    <xdr:to>
      <xdr:col>16</xdr:col>
      <xdr:colOff>285751</xdr:colOff>
      <xdr:row>29</xdr:row>
      <xdr:rowOff>9525</xdr:rowOff>
    </xdr:to>
    <xdr:sp macro="" textlink="">
      <xdr:nvSpPr>
        <xdr:cNvPr id="15" name="Rounded Rectangle 14"/>
        <xdr:cNvSpPr/>
      </xdr:nvSpPr>
      <xdr:spPr>
        <a:xfrm>
          <a:off x="3505201" y="4914900"/>
          <a:ext cx="3448050" cy="1085850"/>
        </a:xfrm>
        <a:prstGeom prst="roundRect">
          <a:avLst>
            <a:gd name="adj" fmla="val 15143"/>
          </a:avLst>
        </a:prstGeom>
        <a:solidFill>
          <a:schemeClr val="bg2"/>
        </a:solidFill>
        <a:ln>
          <a:solidFill>
            <a:schemeClr val="bg2">
              <a:lumMod val="5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US" sz="1100" b="1" baseline="0"/>
            <a:t>S</a:t>
          </a:r>
          <a:r>
            <a:rPr lang="en-US" sz="1100" b="1"/>
            <a:t>tep</a:t>
          </a:r>
          <a:r>
            <a:rPr lang="en-US" sz="1100" b="1" baseline="0"/>
            <a:t> 2:</a:t>
          </a:r>
          <a:r>
            <a:rPr lang="en-US" sz="1100" b="1"/>
            <a:t> Enter Grading</a:t>
          </a:r>
          <a:r>
            <a:rPr lang="en-US" sz="1100" b="1" baseline="0"/>
            <a:t> Breakdown</a:t>
          </a:r>
        </a:p>
        <a:p>
          <a:pPr algn="l"/>
          <a:r>
            <a:rPr lang="en-US" sz="1100" b="0" baseline="0"/>
            <a:t>- In M4:R4: what percent should each assessment type be in the running average? </a:t>
          </a:r>
        </a:p>
        <a:p>
          <a:pPr algn="l"/>
          <a:r>
            <a:rPr lang="en-US" sz="1100" b="0" baseline="0"/>
            <a:t>- Rename the assessment types if desired.</a:t>
          </a:r>
        </a:p>
        <a:p>
          <a:pPr algn="l"/>
          <a:r>
            <a:rPr lang="en-US" sz="1100" b="0" baseline="0">
              <a:solidFill>
                <a:schemeClr val="bg1">
                  <a:lumMod val="50000"/>
                </a:schemeClr>
              </a:solidFill>
            </a:rPr>
            <a:t>Use the +/- box above column R to hide these columns</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38</xdr:row>
      <xdr:rowOff>142875</xdr:rowOff>
    </xdr:from>
    <xdr:to>
      <xdr:col>3</xdr:col>
      <xdr:colOff>4591050</xdr:colOff>
      <xdr:row>40</xdr:row>
      <xdr:rowOff>84896</xdr:rowOff>
    </xdr:to>
    <xdr:sp macro="" textlink="">
      <xdr:nvSpPr>
        <xdr:cNvPr id="2" name="Rounded Rectangle 1"/>
        <xdr:cNvSpPr/>
      </xdr:nvSpPr>
      <xdr:spPr>
        <a:xfrm>
          <a:off x="57150" y="3676650"/>
          <a:ext cx="7086600" cy="323021"/>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For the following</a:t>
          </a:r>
          <a:r>
            <a:rPr lang="en-US" sz="1100" baseline="0"/>
            <a:t> </a:t>
          </a:r>
          <a:r>
            <a:rPr lang="en-US" sz="1100" i="1" baseline="0"/>
            <a:t>Things To Try</a:t>
          </a:r>
          <a:r>
            <a:rPr lang="en-US" sz="1100" i="0" baseline="0"/>
            <a:t> if you mark </a:t>
          </a:r>
          <a:r>
            <a:rPr lang="en-US" sz="1100" i="1" baseline="0"/>
            <a:t>Tried It</a:t>
          </a:r>
          <a:r>
            <a:rPr lang="en-US" sz="1100" i="0" baseline="0"/>
            <a:t> in the darker boxes you will get more instructions.</a:t>
          </a:r>
          <a:endParaRPr lang="en-US" sz="1100" i="1"/>
        </a:p>
      </xdr:txBody>
    </xdr:sp>
    <xdr:clientData/>
  </xdr:twoCellAnchor>
  <xdr:twoCellAnchor>
    <xdr:from>
      <xdr:col>3</xdr:col>
      <xdr:colOff>66676</xdr:colOff>
      <xdr:row>1</xdr:row>
      <xdr:rowOff>19051</xdr:rowOff>
    </xdr:from>
    <xdr:to>
      <xdr:col>3</xdr:col>
      <xdr:colOff>4581526</xdr:colOff>
      <xdr:row>15</xdr:row>
      <xdr:rowOff>133351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628650</xdr:colOff>
      <xdr:row>23</xdr:row>
      <xdr:rowOff>28575</xdr:rowOff>
    </xdr:from>
    <xdr:to>
      <xdr:col>3</xdr:col>
      <xdr:colOff>3952874</xdr:colOff>
      <xdr:row>32</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247650</xdr:colOff>
      <xdr:row>0</xdr:row>
      <xdr:rowOff>180974</xdr:rowOff>
    </xdr:from>
    <xdr:to>
      <xdr:col>13</xdr:col>
      <xdr:colOff>238125</xdr:colOff>
      <xdr:row>11</xdr:row>
      <xdr:rowOff>9525</xdr:rowOff>
    </xdr:to>
    <xdr:sp macro="" textlink="">
      <xdr:nvSpPr>
        <xdr:cNvPr id="3" name="Rounded Rectangle 2"/>
        <xdr:cNvSpPr/>
      </xdr:nvSpPr>
      <xdr:spPr>
        <a:xfrm>
          <a:off x="2895600" y="180974"/>
          <a:ext cx="6696075" cy="1733551"/>
        </a:xfrm>
        <a:prstGeom prst="roundRect">
          <a:avLst>
            <a:gd name="adj" fmla="val 4386"/>
          </a:avLst>
        </a:prstGeom>
        <a:solidFill>
          <a:schemeClr val="tx2">
            <a:lumMod val="20000"/>
            <a:lumOff val="8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Here is a PivotTable that can be used to summarize and show scores. There is a good deal to learn, but learning this is very </a:t>
          </a:r>
          <a:r>
            <a:rPr lang="en-US" sz="1100" i="1" baseline="0">
              <a:solidFill>
                <a:schemeClr val="dk1"/>
              </a:solidFill>
              <a:effectLst/>
              <a:latin typeface="+mn-lt"/>
              <a:ea typeface="+mn-ea"/>
              <a:cs typeface="+mn-cs"/>
            </a:rPr>
            <a:t>POWERFUL</a:t>
          </a:r>
          <a:r>
            <a:rPr lang="en-US" sz="1100" i="0" baseline="0">
              <a:solidFill>
                <a:schemeClr val="dk1"/>
              </a:solidFill>
              <a:effectLst/>
              <a:latin typeface="+mn-lt"/>
              <a:ea typeface="+mn-ea"/>
              <a:cs typeface="+mn-cs"/>
            </a:rPr>
            <a:t>.</a:t>
          </a:r>
          <a:endParaRPr lang="en-US">
            <a:effectLst/>
          </a:endParaRPr>
        </a:p>
        <a:p>
          <a:pPr algn="l"/>
          <a:endParaRPr lang="en-US" sz="1100" baseline="0"/>
        </a:p>
        <a:p>
          <a:pPr algn="l"/>
          <a:r>
            <a:rPr lang="en-US" sz="1100" baseline="0"/>
            <a:t>First, always click on the table and then under PivotTable Tools-&gt; options, </a:t>
          </a:r>
          <a:r>
            <a:rPr lang="en-US" sz="1100" b="1" baseline="0"/>
            <a:t>click refresh to update the data</a:t>
          </a:r>
          <a:r>
            <a:rPr lang="en-US" sz="1100" baseline="0"/>
            <a:t>.</a:t>
          </a:r>
        </a:p>
        <a:p>
          <a:pPr algn="l"/>
          <a:r>
            <a:rPr lang="en-US" sz="1100" i="0" baseline="0"/>
            <a:t>To change which score(s) are shown, click inside the table. </a:t>
          </a:r>
          <a:r>
            <a:rPr lang="en-US" sz="1100" b="1" i="0" baseline="0"/>
            <a:t>Drag and drop </a:t>
          </a:r>
          <a:r>
            <a:rPr lang="en-US" sz="1100" b="0" i="0" baseline="0"/>
            <a:t>fields into the four spots. Have fun!</a:t>
          </a:r>
        </a:p>
        <a:p>
          <a:pPr algn="l"/>
          <a:r>
            <a:rPr lang="en-US" sz="1100" b="0" i="0" baseline="0"/>
            <a:t>If you have not already, you can add more demographic data for your students. (See the hidden columns by expanding the plus box above cell K.)</a:t>
          </a:r>
        </a:p>
        <a:p>
          <a:pPr algn="l"/>
          <a:endParaRPr lang="en-US" sz="1100" b="0" i="0" baseline="0"/>
        </a:p>
        <a:p>
          <a:pPr marL="0" marR="0" indent="0" algn="l"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If you have Windows and Excel 2010+, you can then instantly graph this with a PivotChart. Click on the PivotTable and then in the PivotTable options in the ribbon click PivotChart.</a:t>
          </a:r>
          <a:endParaRPr lang="en-US">
            <a:effectLst/>
          </a:endParaRPr>
        </a:p>
        <a:p>
          <a:pPr algn="l"/>
          <a:endParaRPr lang="en-US" sz="1100" b="0" i="0" baseline="0"/>
        </a:p>
        <a:p>
          <a:pPr algn="l"/>
          <a:endParaRPr lang="en-US" sz="1100" b="0" i="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238125</xdr:colOff>
      <xdr:row>0</xdr:row>
      <xdr:rowOff>180974</xdr:rowOff>
    </xdr:from>
    <xdr:to>
      <xdr:col>12</xdr:col>
      <xdr:colOff>600075</xdr:colOff>
      <xdr:row>13</xdr:row>
      <xdr:rowOff>161925</xdr:rowOff>
    </xdr:to>
    <xdr:sp macro="" textlink="">
      <xdr:nvSpPr>
        <xdr:cNvPr id="2" name="Rounded Rectangle 1"/>
        <xdr:cNvSpPr/>
      </xdr:nvSpPr>
      <xdr:spPr>
        <a:xfrm>
          <a:off x="4791075" y="180974"/>
          <a:ext cx="7981950" cy="2943226"/>
        </a:xfrm>
        <a:prstGeom prst="roundRect">
          <a:avLst>
            <a:gd name="adj" fmla="val 2955"/>
          </a:avLst>
        </a:prstGeom>
        <a:solidFill>
          <a:schemeClr val="accent4">
            <a:lumMod val="40000"/>
            <a:lumOff val="60000"/>
          </a:schemeClr>
        </a:solidFill>
        <a:ln>
          <a:solidFill>
            <a:schemeClr val="accent4">
              <a:lumMod val="60000"/>
              <a:lumOff val="40000"/>
            </a:schemeClr>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en-US" sz="1200" b="1"/>
            <a:t>Grade Printouts </a:t>
          </a:r>
        </a:p>
        <a:p>
          <a:pPr algn="l"/>
          <a:r>
            <a:rPr lang="en-US" sz="1200" b="0">
              <a:effectLst/>
            </a:rPr>
            <a:t>Here </a:t>
          </a:r>
          <a:r>
            <a:rPr lang="en-US" sz="1200" b="0" baseline="0">
              <a:effectLst/>
            </a:rPr>
            <a:t>you can make grade printouts for one or all of your students.</a:t>
          </a:r>
        </a:p>
        <a:p>
          <a:pPr algn="l"/>
          <a:r>
            <a:rPr lang="en-US" sz="1200" b="0" baseline="0">
              <a:effectLst/>
            </a:rPr>
            <a:t>- First, customize the header to the left however you would like. The general comment will appear on all of the printouts.</a:t>
          </a:r>
        </a:p>
        <a:p>
          <a:pPr algn="l"/>
          <a:r>
            <a:rPr lang="en-US" sz="1200" b="0" baseline="0">
              <a:effectLst/>
            </a:rPr>
            <a:t>- Fill the cells in the rightmost column to the right until you get all the students. You need to select all the cells with stuff in them. And "fill" means select the cells and then drag the little square in the bottom right of the selection.</a:t>
          </a:r>
        </a:p>
        <a:p>
          <a:pPr algn="l"/>
          <a:r>
            <a:rPr lang="en-US" sz="1200" b="0" baseline="0">
              <a:effectLst/>
            </a:rPr>
            <a:t>- You can now hide row 15.</a:t>
          </a:r>
        </a:p>
        <a:p>
          <a:pPr algn="l"/>
          <a:r>
            <a:rPr lang="en-US" sz="1200" b="0" baseline="0">
              <a:effectLst/>
            </a:rPr>
            <a:t>- Fill the cells in the bottommost row down until you get all the assignments.</a:t>
          </a:r>
        </a:p>
        <a:p>
          <a:pPr algn="l"/>
          <a:r>
            <a:rPr lang="en-US" sz="1200" b="0" baseline="0">
              <a:effectLst/>
            </a:rPr>
            <a:t>Note 1: You might need to delete any extra assessment types row(s) if you have not used all six.</a:t>
          </a:r>
        </a:p>
        <a:p>
          <a:pPr algn="l"/>
          <a:r>
            <a:rPr lang="en-US" sz="1200" b="0" baseline="0">
              <a:effectLst/>
            </a:rPr>
            <a:t>Note 2: If you inserted new columns in the data entry sheet and things are not appearing quite right, expand the plus boxes, and edit the references.</a:t>
          </a:r>
        </a:p>
        <a:p>
          <a:pPr algn="l"/>
          <a:r>
            <a:rPr lang="en-US" sz="1200" b="0" baseline="0">
              <a:effectLst/>
            </a:rPr>
            <a:t>- Adjust the print area (under page layout) to cover all the area.</a:t>
          </a:r>
          <a:endParaRPr lang="en-US" b="0">
            <a:effectLst/>
          </a:endParaRPr>
        </a:p>
        <a:p>
          <a:pPr algn="l"/>
          <a:r>
            <a:rPr lang="en-US" sz="1100"/>
            <a:t>- When printing,</a:t>
          </a:r>
          <a:r>
            <a:rPr lang="en-US" sz="1100" baseline="0"/>
            <a:t> check to see with print preview that everything appears correctly. You can print just one page if you want just one student or you can print all the pages if you would like everyone.</a:t>
          </a:r>
        </a:p>
        <a:p>
          <a:pPr algn="l"/>
          <a:r>
            <a:rPr lang="en-US" sz="1100" baseline="0"/>
            <a:t>Note 3: this works by having set "print titles" on this sheet that repeat, and adjusting the margins to get only 1 student at a time. </a:t>
          </a:r>
        </a:p>
        <a:p>
          <a:pPr algn="l"/>
          <a:r>
            <a:rPr lang="en-US" sz="1100" baseline="0"/>
            <a:t>Also note: You got this! But definitely ask someone if something is confusing. You can keep these instructions for reference if desired.</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xdr:from>
      <xdr:col>0</xdr:col>
      <xdr:colOff>66261</xdr:colOff>
      <xdr:row>12</xdr:row>
      <xdr:rowOff>157370</xdr:rowOff>
    </xdr:from>
    <xdr:to>
      <xdr:col>3</xdr:col>
      <xdr:colOff>1242</xdr:colOff>
      <xdr:row>27</xdr:row>
      <xdr:rowOff>47625</xdr:rowOff>
    </xdr:to>
    <xdr:sp macro="" textlink="">
      <xdr:nvSpPr>
        <xdr:cNvPr id="2" name="Rounded Rectangular Callout 1"/>
        <xdr:cNvSpPr/>
      </xdr:nvSpPr>
      <xdr:spPr>
        <a:xfrm>
          <a:off x="66261" y="3148220"/>
          <a:ext cx="2049531" cy="2747755"/>
        </a:xfrm>
        <a:prstGeom prst="wedgeRoundRectCallout">
          <a:avLst>
            <a:gd name="adj1" fmla="val -32979"/>
            <a:gd name="adj2" fmla="val -55495"/>
            <a:gd name="adj3" fmla="val 1666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    Just like the main Data Entry sheet,</a:t>
          </a:r>
          <a:r>
            <a:rPr lang="en-US" sz="1100" baseline="0"/>
            <a:t> enter your student names here. Make sure they match exactly in spelling. Marks of absent and late go into the hidden columns on the main table. (Click the + box above column K to show.) </a:t>
          </a:r>
        </a:p>
        <a:p>
          <a:pPr algn="l"/>
          <a:r>
            <a:rPr lang="en-US" sz="1100" baseline="0"/>
            <a:t>    You could reference it for a participation grade, or make a graph comparing attendance and performance.</a:t>
          </a:r>
          <a:endParaRPr lang="en-US" sz="1100"/>
        </a:p>
      </xdr:txBody>
    </xdr:sp>
    <xdr:clientData/>
  </xdr:twoCellAnchor>
  <xdr:twoCellAnchor>
    <xdr:from>
      <xdr:col>3</xdr:col>
      <xdr:colOff>231914</xdr:colOff>
      <xdr:row>13</xdr:row>
      <xdr:rowOff>41411</xdr:rowOff>
    </xdr:from>
    <xdr:to>
      <xdr:col>12</xdr:col>
      <xdr:colOff>182218</xdr:colOff>
      <xdr:row>17</xdr:row>
      <xdr:rowOff>179293</xdr:rowOff>
    </xdr:to>
    <xdr:sp macro="" textlink="">
      <xdr:nvSpPr>
        <xdr:cNvPr id="3" name="Rounded Rectangular Callout 2"/>
        <xdr:cNvSpPr/>
      </xdr:nvSpPr>
      <xdr:spPr>
        <a:xfrm>
          <a:off x="2349826" y="2954940"/>
          <a:ext cx="2471627" cy="855059"/>
        </a:xfrm>
        <a:prstGeom prst="wedgeRoundRectCallout">
          <a:avLst>
            <a:gd name="adj1" fmla="val -26571"/>
            <a:gd name="adj2" fmla="val -76947"/>
            <a:gd name="adj3" fmla="val 1666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Mark a for absent and l for late. One nice feature is that</a:t>
          </a:r>
          <a:r>
            <a:rPr lang="en-US" sz="1100" baseline="0"/>
            <a:t> the column for today's date is highlighted. </a:t>
          </a:r>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jabbott" refreshedDate="41953.855659606481" createdVersion="5" refreshedVersion="5" minRefreshableVersion="3" recordCount="10">
  <cacheSource type="worksheet">
    <worksheetSource name="Trackerdata"/>
  </cacheSource>
  <cacheFields count="48">
    <cacheField name="Class" numFmtId="0">
      <sharedItems containsSemiMixedTypes="0" containsString="0" containsNumber="1" containsInteger="1" minValue="1" maxValue="1" count="1">
        <n v="1"/>
      </sharedItems>
    </cacheField>
    <cacheField name="Name" numFmtId="0">
      <sharedItems/>
    </cacheField>
    <cacheField name="Race" numFmtId="0">
      <sharedItems containsNonDate="0" containsString="0" containsBlank="1"/>
    </cacheField>
    <cacheField name="Gender" numFmtId="0">
      <sharedItems containsNonDate="0" containsString="0" containsBlank="1"/>
    </cacheField>
    <cacheField name="Age" numFmtId="0">
      <sharedItems containsNonDate="0" containsString="0" containsBlank="1"/>
    </cacheField>
    <cacheField name="Repeated Grades" numFmtId="0">
      <sharedItems containsNonDate="0" containsString="0" containsBlank="1"/>
    </cacheField>
    <cacheField name="Financial Status" numFmtId="0">
      <sharedItems containsNonDate="0" containsString="0" containsBlank="1"/>
    </cacheField>
    <cacheField name="Absent" numFmtId="0">
      <sharedItems containsSemiMixedTypes="0" containsString="0" containsNumber="1" containsInteger="1" minValue="0" maxValue="2"/>
    </cacheField>
    <cacheField name="Late" numFmtId="0">
      <sharedItems containsSemiMixedTypes="0" containsString="0" containsNumber="1" containsInteger="1" minValue="0" maxValue="1"/>
    </cacheField>
    <cacheField name="Make your own categories" numFmtId="0">
      <sharedItems containsNonDate="0" containsString="0" containsBlank="1"/>
    </cacheField>
    <cacheField name="Running Average" numFmtId="164">
      <sharedItems containsSemiMixedTypes="0" containsString="0" containsNumber="1" minValue="0" maxValue="100" count="5">
        <n v="100"/>
        <n v="89.733333333333334"/>
        <n v="82"/>
        <n v="88.333333333333343"/>
        <n v="0"/>
      </sharedItems>
      <fieldGroup base="10">
        <rangePr autoStart="0" startNum="60" endNum="100" groupInterval="10"/>
        <groupItems count="6">
          <s v="&lt;60"/>
          <s v="60-70"/>
          <s v="70-80"/>
          <s v="80-90"/>
          <s v="90-100"/>
          <s v="&gt;100"/>
        </groupItems>
      </fieldGroup>
    </cacheField>
    <cacheField name="Letter Grade" numFmtId="164">
      <sharedItems count="4">
        <s v="A+"/>
        <s v="B+"/>
        <s v="B-"/>
        <s v="F"/>
      </sharedItems>
    </cacheField>
    <cacheField name="Homeworks" numFmtId="164">
      <sharedItems containsSemiMixedTypes="0" containsString="0" containsNumber="1" minValue="0" maxValue="100"/>
    </cacheField>
    <cacheField name="Classworks" numFmtId="164">
      <sharedItems containsSemiMixedTypes="0" containsString="0" containsNumber="1" minValue="0" maxValue="100"/>
    </cacheField>
    <cacheField name="Tests" numFmtId="164">
      <sharedItems containsSemiMixedTypes="0" containsString="0" containsNumber="1" containsInteger="1" minValue="0" maxValue="100"/>
    </cacheField>
    <cacheField name="Projects" numFmtId="164">
      <sharedItems containsSemiMixedTypes="0" containsString="0" containsNumber="1" containsInteger="1" minValue="0" maxValue="100"/>
    </cacheField>
    <cacheField name="Another Type" numFmtId="164">
      <sharedItems/>
    </cacheField>
    <cacheField name="Another Type 2" numFmtId="164">
      <sharedItems/>
    </cacheField>
    <cacheField name="Homework One" numFmtId="0">
      <sharedItems containsString="0" containsBlank="1" containsNumber="1" containsInteger="1" minValue="8" maxValue="10"/>
    </cacheField>
    <cacheField name="Classwork  One" numFmtId="0">
      <sharedItems containsString="0" containsBlank="1" containsNumber="1" containsInteger="1" minValue="10" maxValue="15"/>
    </cacheField>
    <cacheField name="Homework Two" numFmtId="0">
      <sharedItems containsBlank="1" containsMixedTypes="1" containsNumber="1" containsInteger="1" minValue="4" maxValue="5"/>
    </cacheField>
    <cacheField name="First Test" numFmtId="0">
      <sharedItems containsString="0" containsBlank="1" containsNumber="1" containsInteger="1" minValue="40" maxValue="50"/>
    </cacheField>
    <cacheField name="Project" numFmtId="0">
      <sharedItems containsString="0" containsBlank="1" containsNumber="1" containsInteger="1" minValue="8" maxValue="10"/>
    </cacheField>
    <cacheField name="Assessment 2" numFmtId="0">
      <sharedItems containsNonDate="0" containsString="0" containsBlank="1"/>
    </cacheField>
    <cacheField name="Assessment 3" numFmtId="0">
      <sharedItems containsNonDate="0" containsString="0" containsBlank="1"/>
    </cacheField>
    <cacheField name="Assessment 4" numFmtId="0">
      <sharedItems containsNonDate="0" containsString="0" containsBlank="1"/>
    </cacheField>
    <cacheField name="Assessment 5" numFmtId="0">
      <sharedItems containsNonDate="0" containsString="0" containsBlank="1"/>
    </cacheField>
    <cacheField name="Assessment 6" numFmtId="0">
      <sharedItems containsNonDate="0" containsString="0" containsBlank="1"/>
    </cacheField>
    <cacheField name="Assessment 7" numFmtId="0">
      <sharedItems containsNonDate="0" containsString="0" containsBlank="1"/>
    </cacheField>
    <cacheField name="Assessment 8" numFmtId="0">
      <sharedItems containsNonDate="0" containsString="0" containsBlank="1"/>
    </cacheField>
    <cacheField name="Assessment 9" numFmtId="0">
      <sharedItems containsNonDate="0" containsString="0" containsBlank="1"/>
    </cacheField>
    <cacheField name="Assessment 10" numFmtId="0">
      <sharedItems containsNonDate="0" containsString="0" containsBlank="1"/>
    </cacheField>
    <cacheField name="Assessment 11" numFmtId="0">
      <sharedItems containsNonDate="0" containsString="0" containsBlank="1"/>
    </cacheField>
    <cacheField name="Assessment 12" numFmtId="0">
      <sharedItems containsNonDate="0" containsString="0" containsBlank="1"/>
    </cacheField>
    <cacheField name="Assessment 13" numFmtId="0">
      <sharedItems containsNonDate="0" containsString="0" containsBlank="1"/>
    </cacheField>
    <cacheField name="Assessment 14" numFmtId="0">
      <sharedItems containsNonDate="0" containsString="0" containsBlank="1"/>
    </cacheField>
    <cacheField name="Assessment 15" numFmtId="0">
      <sharedItems containsNonDate="0" containsString="0" containsBlank="1"/>
    </cacheField>
    <cacheField name="Assessment 16" numFmtId="0">
      <sharedItems containsNonDate="0" containsString="0" containsBlank="1"/>
    </cacheField>
    <cacheField name="Assessment 17" numFmtId="0">
      <sharedItems containsNonDate="0" containsString="0" containsBlank="1"/>
    </cacheField>
    <cacheField name="Assessment 18" numFmtId="0">
      <sharedItems containsNonDate="0" containsString="0" containsBlank="1"/>
    </cacheField>
    <cacheField name="Assessment 19" numFmtId="0">
      <sharedItems containsNonDate="0" containsString="0" containsBlank="1"/>
    </cacheField>
    <cacheField name="Assessment 20" numFmtId="0">
      <sharedItems containsNonDate="0" containsString="0" containsBlank="1"/>
    </cacheField>
    <cacheField name="Assessment 21" numFmtId="0">
      <sharedItems containsNonDate="0" containsString="0" containsBlank="1"/>
    </cacheField>
    <cacheField name="Assessment 22" numFmtId="0">
      <sharedItems containsNonDate="0" containsString="0" containsBlank="1"/>
    </cacheField>
    <cacheField name="Assessment 23" numFmtId="0">
      <sharedItems containsNonDate="0" containsString="0" containsBlank="1"/>
    </cacheField>
    <cacheField name="Assessment 24" numFmtId="0">
      <sharedItems containsNonDate="0" containsString="0" containsBlank="1"/>
    </cacheField>
    <cacheField name="Assessment 25" numFmtId="0">
      <sharedItems containsNonDate="0" containsString="0" containsBlank="1"/>
    </cacheField>
    <cacheField name="Assessment | Insert new columns before here" numFmtId="0">
      <sharedItems containsNonDate="0" containsString="0" containsBlank="1"/>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ExplPivotTable" cacheId="0" applyNumberFormats="0" applyBorderFormats="0" applyFontFormats="0" applyPatternFormats="0" applyAlignmentFormats="0" applyWidthHeightFormats="1" dataCaption="Values" errorCaption="None" showError="1" updatedVersion="5" minRefreshableVersion="3" enableDrill="0" useAutoFormatting="1" itemPrintTitles="1" createdVersion="5" indent="0" outline="1" outlineData="1" multipleFieldFilters="0" chartFormat="2">
  <location ref="A3:B5" firstHeaderRow="1" firstDataRow="1" firstDataCol="1"/>
  <pivotFields count="48">
    <pivotField axis="axisRow" showAll="0">
      <items count="2">
        <item x="0"/>
        <item t="default"/>
      </items>
    </pivotField>
    <pivotField showAll="0"/>
    <pivotField showAll="0"/>
    <pivotField showAll="0"/>
    <pivotField showAll="0"/>
    <pivotField showAll="0"/>
    <pivotField showAll="0"/>
    <pivotField showAll="0" defaultSubtotal="0"/>
    <pivotField showAll="0" defaultSubtotal="0"/>
    <pivotField showAll="0"/>
    <pivotField dataField="1" numFmtId="164" showAll="0" defaultSubtotal="0"/>
    <pivotField showAll="0" defaultSubtotal="0">
      <items count="4">
        <item x="0"/>
        <item x="2"/>
        <item x="1"/>
        <item x="3"/>
      </items>
    </pivotField>
    <pivotField numFmtId="164" showAll="0" defaultSubtotal="0"/>
    <pivotField numFmtId="164" showAll="0" defaultSubtotal="0"/>
    <pivotField numFmtId="164"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0"/>
  </rowFields>
  <rowItems count="2">
    <i>
      <x/>
    </i>
    <i t="grand">
      <x/>
    </i>
  </rowItems>
  <colItems count="1">
    <i/>
  </colItems>
  <dataFields count="1">
    <dataField name="Average of Running Average" fld="10" subtotal="average" baseField="0" baseItem="0"/>
  </dataFields>
  <formats count="1">
    <format dxfId="368">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rackerdata" displayName="Trackerdata" ref="A11:AV21" headerRowDxfId="448" dataDxfId="446" totalsRowDxfId="444" headerRowBorderDxfId="447" tableBorderDxfId="445">
  <autoFilter ref="A11:AV21"/>
  <tableColumns count="48">
    <tableColumn id="1" name="Class" totalsRowLabel="1" dataDxfId="443"/>
    <tableColumn id="2" name="Name" totalsRowLabel="Student 9" dataDxfId="442"/>
    <tableColumn id="3" name="Race" dataDxfId="441"/>
    <tableColumn id="4" name="Gender" dataDxfId="440"/>
    <tableColumn id="5" name="Age" dataDxfId="439"/>
    <tableColumn id="6" name="Repeated Grades" dataDxfId="438"/>
    <tableColumn id="7" name="Financial Status" dataDxfId="437"/>
    <tableColumn id="28" name="Absent" dataDxfId="436">
      <calculatedColumnFormula>IFERROR(VLOOKUP(Trackerdata[[#This Row],[Name]],AbsentTardyTable[[Student]:[Lates]],2,FALSE),"No match")</calculatedColumnFormula>
    </tableColumn>
    <tableColumn id="8" name="Late" dataDxfId="435">
      <calculatedColumnFormula>IFERROR(VLOOKUP(Trackerdata[[#This Row],[Name]],AbsentTardyTable[[Student]:[Lates]],3,FALSE),"No match")</calculatedColumnFormula>
    </tableColumn>
    <tableColumn id="237" name="Make your own categories" dataDxfId="434"/>
    <tableColumn id="236" name="Running Average" totalsRowFunction="average" dataDxfId="433" dataCellStyle="Percent">
      <calculatedColumnFormula>IFERROR(SUMPRODUCT(PercentageBreakdownCells,$M12:$R12)/SUM(PercentageBreakdownCells),"")</calculatedColumnFormula>
    </tableColumn>
    <tableColumn id="19" name="Letter Grade" dataDxfId="432" dataCellStyle="Percent">
      <calculatedColumnFormula>VLOOKUP(Trackerdata[[#This Row],[Running Average]],TableOfLetterGrades[],2,TRUE)</calculatedColumnFormula>
    </tableColumn>
    <tableColumn id="27" name="Homeworks" dataDxfId="431" dataCellStyle="Percent">
      <calculatedColumnFormula>IFERROR(SUMPRODUCT($S12:$AV12,$S$3:$AV$3,--($S12:$AV12&lt;&gt;"Excused"),--($S$1:$AV$1=M$11))/SUMPRODUCT($S$2:$AV$2,$S$3:$AV$3,--($S12:$AV12&lt;&gt;"Excused"),--($S$1:$AV$1=M$11))*100,"")</calculatedColumnFormula>
    </tableColumn>
    <tableColumn id="42" name="Classworks" dataDxfId="430" dataCellStyle="Percent">
      <calculatedColumnFormula>IFERROR(SUMPRODUCT($S12:$AV12,$S$3:$AV$3,--($S12:$AV12&lt;&gt;"Excused"),--($S$1:$AV$1=N$11))/SUMPRODUCT($S$2:$AV$2,$S$3:$AV$3,--($S12:$AV12&lt;&gt;"Excused"),--($S$1:$AV$1=N$11))*100,"")</calculatedColumnFormula>
    </tableColumn>
    <tableColumn id="233" name="Tests" dataDxfId="429" dataCellStyle="Percent">
      <calculatedColumnFormula>IFERROR(SUMPRODUCT($S12:$AV12,$S$3:$AV$3,--($S12:$AV12&lt;&gt;"Excused"),--($S$1:$AV$1=O$11))/SUMPRODUCT($S$2:$AV$2,$S$3:$AV$3,--($S12:$AV12&lt;&gt;"Excused"),--($S$1:$AV$1=O$11))*100,"")</calculatedColumnFormula>
    </tableColumn>
    <tableColumn id="253" name="Projects" dataDxfId="428" dataCellStyle="Percent">
      <calculatedColumnFormula>IFERROR(SUMPRODUCT($S12:$AV12,$S$3:$AV$3,--($S12:$AV12&lt;&gt;"Excused"),--($S$1:$AV$1=P$11))/SUMPRODUCT($S$2:$AV$2,$S$3:$AV$3,--($S12:$AV12&lt;&gt;"Excused"),--($S$1:$AV$1=P$11))*100,"")</calculatedColumnFormula>
    </tableColumn>
    <tableColumn id="252" name="Another Type" dataDxfId="427" dataCellStyle="Percent">
      <calculatedColumnFormula>IFERROR(SUMPRODUCT($S12:$AV12,$S$3:$AV$3,--($S12:$AV12&lt;&gt;"Excused"),--($S$1:$AV$1=Q$11))/SUMPRODUCT($S$2:$AV$2,$S$3:$AV$3,--($S12:$AV12&lt;&gt;"Excused"),--($S$1:$AV$1=Q$11))*100,"")</calculatedColumnFormula>
    </tableColumn>
    <tableColumn id="251" name="Another Type 2" dataDxfId="426" dataCellStyle="Percent">
      <calculatedColumnFormula>IFERROR(SUMPRODUCT($S12:$AV12,$S$3:$AV$3,--($S12:$AV12&lt;&gt;"Excused"),--($S$1:$AV$1=R$11))/SUMPRODUCT($S$2:$AV$2,$S$3:$AV$3,--($S12:$AV12&lt;&gt;"Excused"),--($S$1:$AV$1=R$11))*100,"")</calculatedColumnFormula>
    </tableColumn>
    <tableColumn id="10" name="Homework One" dataDxfId="425" dataCellStyle="Percent"/>
    <tableColumn id="11" name="Classwork  One" dataDxfId="424" dataCellStyle="Percent"/>
    <tableColumn id="244" name="Homework Two" dataDxfId="423"/>
    <tableColumn id="245" name="First Test" dataDxfId="422"/>
    <tableColumn id="12" name="Project" dataDxfId="421" totalsRowDxfId="420" dataCellStyle="Percent"/>
    <tableColumn id="13" name="Assessment 2" dataDxfId="419" totalsRowDxfId="418" dataCellStyle="Percent"/>
    <tableColumn id="246" name="Assessment 3" dataDxfId="417" totalsRowDxfId="416"/>
    <tableColumn id="247" name="Assessment 4" dataDxfId="415" totalsRowDxfId="414"/>
    <tableColumn id="14" name="Assessment 5" dataDxfId="413" totalsRowDxfId="412" dataCellStyle="Percent"/>
    <tableColumn id="15" name="Assessment 6" dataDxfId="411" totalsRowDxfId="410" dataCellStyle="Percent"/>
    <tableColumn id="16" name="Assessment 7" dataDxfId="409" totalsRowDxfId="408" dataCellStyle="Percent"/>
    <tableColumn id="17" name="Assessment 8" dataDxfId="407" totalsRowDxfId="406" dataCellStyle="Percent"/>
    <tableColumn id="18" name="Assessment 9" dataDxfId="405" totalsRowDxfId="404" dataCellStyle="Percent"/>
    <tableColumn id="30" name="Assessment 10" dataDxfId="403" totalsRowDxfId="402" dataCellStyle="Percent"/>
    <tableColumn id="41" name="Assessment 11" dataDxfId="401" totalsRowDxfId="400" dataCellStyle="Percent"/>
    <tableColumn id="43" name="Assessment 12" dataDxfId="399" totalsRowDxfId="398" dataCellStyle="Percent"/>
    <tableColumn id="44" name="Assessment 13" dataDxfId="397" totalsRowDxfId="396" dataCellStyle="Percent"/>
    <tableColumn id="45" name="Assessment 14" dataDxfId="395" totalsRowDxfId="394" dataCellStyle="Percent"/>
    <tableColumn id="46" name="Assessment 15" dataDxfId="393" totalsRowDxfId="392" dataCellStyle="Percent"/>
    <tableColumn id="47" name="Assessment 16" dataDxfId="391" totalsRowDxfId="390" dataCellStyle="Percent"/>
    <tableColumn id="48" name="Assessment 17" dataDxfId="389" totalsRowDxfId="388" dataCellStyle="Percent"/>
    <tableColumn id="49" name="Assessment 18" dataDxfId="387" totalsRowDxfId="386" dataCellStyle="Percent"/>
    <tableColumn id="50" name="Assessment 19" dataDxfId="385" totalsRowDxfId="384" dataCellStyle="Percent"/>
    <tableColumn id="51" name="Assessment 20" dataDxfId="383" totalsRowDxfId="382" dataCellStyle="Percent"/>
    <tableColumn id="52" name="Assessment 21" dataDxfId="381" totalsRowDxfId="380" dataCellStyle="Percent"/>
    <tableColumn id="53" name="Assessment 22" dataDxfId="379" totalsRowDxfId="378" dataCellStyle="Percent"/>
    <tableColumn id="54" name="Assessment 23" dataDxfId="377" totalsRowDxfId="376" dataCellStyle="Percent"/>
    <tableColumn id="55" name="Assessment 24" dataDxfId="375" totalsRowDxfId="374" dataCellStyle="Percent"/>
    <tableColumn id="56" name="Assessment 25" dataDxfId="373" totalsRowDxfId="372" dataCellStyle="Percent"/>
    <tableColumn id="57" name="Assessment | Insert new columns before here" dataDxfId="371" totalsRowDxfId="370" dataCellStyle="Percent"/>
  </tableColumns>
  <tableStyleInfo name="Table Style Custom 2" showFirstColumn="0" showLastColumn="0" showRowStripes="1" showColumnStripes="0"/>
</table>
</file>

<file path=xl/tables/table2.xml><?xml version="1.0" encoding="utf-8"?>
<table xmlns="http://schemas.openxmlformats.org/spreadsheetml/2006/main" id="2" name="TableOfLetterGrades" displayName="TableOfLetterGrades" ref="A19:C32" totalsRowShown="0">
  <autoFilter ref="A19:C32"/>
  <tableColumns count="3">
    <tableColumn id="1" name="Score"/>
    <tableColumn id="2" name="Grade"/>
    <tableColumn id="3" name="Freq" dataDxfId="369">
      <calculatedColumnFormula>COUNTIF(Trackerdata[Letter Grade],TableOfLetterGrades[[#This Row],[Grade]])</calculatedColumnFormula>
    </tableColumn>
  </tableColumns>
  <tableStyleInfo name="TableStyleMedium16" showFirstColumn="0" showLastColumn="0" showRowStripes="1" showColumnStripes="0"/>
</table>
</file>

<file path=xl/tables/table3.xml><?xml version="1.0" encoding="utf-8"?>
<table xmlns="http://schemas.openxmlformats.org/spreadsheetml/2006/main" id="1" name="AbsentTardyTable" displayName="AbsentTardyTable" ref="A1:ND11" totalsRowShown="0">
  <autoFilter ref="A1:ND11"/>
  <tableColumns count="368">
    <tableColumn id="1" name="Student"/>
    <tableColumn id="2" name="Absences" dataDxfId="366">
      <calculatedColumnFormula>COUNTIF($D2:$ND2,"A")</calculatedColumnFormula>
    </tableColumn>
    <tableColumn id="3" name="Lates" dataDxfId="365">
      <calculatedColumnFormula>COUNTIF($D2:$ND2,"L")</calculatedColumnFormula>
    </tableColumn>
    <tableColumn id="4" name="25-Aug" dataDxfId="364"/>
    <tableColumn id="5" name="26-Aug" dataDxfId="363"/>
    <tableColumn id="6" name="27-Aug" dataDxfId="362"/>
    <tableColumn id="7" name="28-Aug" dataDxfId="361"/>
    <tableColumn id="8" name="29-Aug" dataDxfId="360"/>
    <tableColumn id="9" name="30-Aug" dataDxfId="359"/>
    <tableColumn id="10" name="31-Aug" dataDxfId="358"/>
    <tableColumn id="11" name="1-Sep" dataDxfId="357"/>
    <tableColumn id="12" name="2-Sep" dataDxfId="356"/>
    <tableColumn id="13" name="3-Sep" dataDxfId="355"/>
    <tableColumn id="14" name="4-Sep" dataDxfId="354"/>
    <tableColumn id="15" name="5-Sep" dataDxfId="353"/>
    <tableColumn id="16" name="6-Sep" dataDxfId="352"/>
    <tableColumn id="17" name="7-Sep" dataDxfId="351"/>
    <tableColumn id="18" name="8-Sep" dataDxfId="350"/>
    <tableColumn id="19" name="9-Sep" dataDxfId="349"/>
    <tableColumn id="20" name="10-Sep" dataDxfId="348"/>
    <tableColumn id="21" name="11-Sep" dataDxfId="347"/>
    <tableColumn id="22" name="12-Sep" dataDxfId="346"/>
    <tableColumn id="23" name="13-Sep" dataDxfId="345"/>
    <tableColumn id="24" name="14-Sep" dataDxfId="344"/>
    <tableColumn id="25" name="15-Sep" dataDxfId="343"/>
    <tableColumn id="26" name="16-Sep" dataDxfId="342"/>
    <tableColumn id="27" name="17-Sep" dataDxfId="341"/>
    <tableColumn id="28" name="18-Sep" dataDxfId="340"/>
    <tableColumn id="29" name="19-Sep" dataDxfId="339"/>
    <tableColumn id="30" name="20-Sep" dataDxfId="338"/>
    <tableColumn id="31" name="21-Sep" dataDxfId="337"/>
    <tableColumn id="32" name="22-Sep" dataDxfId="336"/>
    <tableColumn id="33" name="23-Sep" dataDxfId="335"/>
    <tableColumn id="34" name="24-Sep" dataDxfId="334"/>
    <tableColumn id="35" name="25-Sep" dataDxfId="333"/>
    <tableColumn id="36" name="26-Sep" dataDxfId="332"/>
    <tableColumn id="37" name="27-Sep" dataDxfId="331"/>
    <tableColumn id="38" name="28-Sep" dataDxfId="330"/>
    <tableColumn id="39" name="29-Sep" dataDxfId="329"/>
    <tableColumn id="40" name="30-Sep" dataDxfId="328"/>
    <tableColumn id="41" name="1-Oct" dataDxfId="327"/>
    <tableColumn id="42" name="2-Oct" dataDxfId="326"/>
    <tableColumn id="43" name="3-Oct" dataDxfId="325"/>
    <tableColumn id="44" name="4-Oct" dataDxfId="324"/>
    <tableColumn id="45" name="5-Oct" dataDxfId="323"/>
    <tableColumn id="46" name="6-Oct" dataDxfId="322"/>
    <tableColumn id="47" name="7-Oct" dataDxfId="321"/>
    <tableColumn id="48" name="8-Oct" dataDxfId="320"/>
    <tableColumn id="49" name="9-Oct" dataDxfId="319"/>
    <tableColumn id="50" name="10-Oct" dataDxfId="318"/>
    <tableColumn id="51" name="11-Oct" dataDxfId="317"/>
    <tableColumn id="52" name="12-Oct" dataDxfId="316"/>
    <tableColumn id="53" name="13-Oct" dataDxfId="315"/>
    <tableColumn id="54" name="14-Oct" dataDxfId="314"/>
    <tableColumn id="55" name="15-Oct" dataDxfId="313"/>
    <tableColumn id="56" name="16-Oct" dataDxfId="312"/>
    <tableColumn id="57" name="17-Oct" dataDxfId="311"/>
    <tableColumn id="58" name="18-Oct" dataDxfId="310"/>
    <tableColumn id="59" name="19-Oct" dataDxfId="309"/>
    <tableColumn id="60" name="20-Oct" dataDxfId="308"/>
    <tableColumn id="61" name="21-Oct" dataDxfId="307"/>
    <tableColumn id="62" name="22-Oct" dataDxfId="306"/>
    <tableColumn id="63" name="23-Oct" dataDxfId="305"/>
    <tableColumn id="64" name="24-Oct" dataDxfId="304"/>
    <tableColumn id="65" name="25-Oct" dataDxfId="303"/>
    <tableColumn id="66" name="26-Oct" dataDxfId="302"/>
    <tableColumn id="67" name="27-Oct" dataDxfId="301"/>
    <tableColumn id="68" name="28-Oct" dataDxfId="300"/>
    <tableColumn id="69" name="29-Oct" dataDxfId="299"/>
    <tableColumn id="70" name="30-Oct" dataDxfId="298"/>
    <tableColumn id="71" name="31-Oct" dataDxfId="297"/>
    <tableColumn id="72" name="1-Nov" dataDxfId="296"/>
    <tableColumn id="73" name="2-Nov" dataDxfId="295"/>
    <tableColumn id="74" name="3-Nov" dataDxfId="294"/>
    <tableColumn id="75" name="4-Nov" dataDxfId="293"/>
    <tableColumn id="76" name="5-Nov" dataDxfId="292"/>
    <tableColumn id="77" name="6-Nov" dataDxfId="291"/>
    <tableColumn id="78" name="7-Nov" dataDxfId="290"/>
    <tableColumn id="79" name="8-Nov" dataDxfId="289"/>
    <tableColumn id="80" name="9-Nov" dataDxfId="288"/>
    <tableColumn id="81" name="10-Nov" dataDxfId="287"/>
    <tableColumn id="82" name="11-Nov" dataDxfId="286"/>
    <tableColumn id="83" name="12-Nov" dataDxfId="285"/>
    <tableColumn id="84" name="13-Nov" dataDxfId="284"/>
    <tableColumn id="85" name="14-Nov" dataDxfId="283"/>
    <tableColumn id="86" name="15-Nov" dataDxfId="282"/>
    <tableColumn id="87" name="16-Nov" dataDxfId="281"/>
    <tableColumn id="88" name="17-Nov" dataDxfId="280"/>
    <tableColumn id="89" name="18-Nov" dataDxfId="279"/>
    <tableColumn id="90" name="19-Nov" dataDxfId="278"/>
    <tableColumn id="91" name="20-Nov" dataDxfId="277"/>
    <tableColumn id="92" name="21-Nov" dataDxfId="276"/>
    <tableColumn id="93" name="22-Nov" dataDxfId="275"/>
    <tableColumn id="94" name="23-Nov" dataDxfId="274"/>
    <tableColumn id="95" name="24-Nov" dataDxfId="273"/>
    <tableColumn id="96" name="25-Nov" dataDxfId="272"/>
    <tableColumn id="97" name="26-Nov" dataDxfId="271"/>
    <tableColumn id="98" name="27-Nov" dataDxfId="270"/>
    <tableColumn id="99" name="28-Nov" dataDxfId="269"/>
    <tableColumn id="100" name="29-Nov" dataDxfId="268"/>
    <tableColumn id="101" name="30-Nov" dataDxfId="267"/>
    <tableColumn id="102" name="1-Dec" dataDxfId="266"/>
    <tableColumn id="103" name="2-Dec" dataDxfId="265"/>
    <tableColumn id="104" name="3-Dec" dataDxfId="264"/>
    <tableColumn id="105" name="4-Dec" dataDxfId="263"/>
    <tableColumn id="106" name="5-Dec" dataDxfId="262"/>
    <tableColumn id="107" name="6-Dec" dataDxfId="261"/>
    <tableColumn id="108" name="7-Dec" dataDxfId="260"/>
    <tableColumn id="109" name="8-Dec" dataDxfId="259"/>
    <tableColumn id="110" name="9-Dec" dataDxfId="258"/>
    <tableColumn id="111" name="10-Dec" dataDxfId="257"/>
    <tableColumn id="112" name="11-Dec" dataDxfId="256"/>
    <tableColumn id="113" name="12-Dec" dataDxfId="255"/>
    <tableColumn id="114" name="13-Dec" dataDxfId="254"/>
    <tableColumn id="115" name="14-Dec" dataDxfId="253"/>
    <tableColumn id="116" name="15-Dec" dataDxfId="252"/>
    <tableColumn id="117" name="16-Dec" dataDxfId="251"/>
    <tableColumn id="118" name="17-Dec" dataDxfId="250"/>
    <tableColumn id="119" name="18-Dec" dataDxfId="249"/>
    <tableColumn id="120" name="19-Dec" dataDxfId="248"/>
    <tableColumn id="121" name="20-Dec" dataDxfId="247"/>
    <tableColumn id="122" name="21-Dec" dataDxfId="246"/>
    <tableColumn id="123" name="22-Dec" dataDxfId="245"/>
    <tableColumn id="124" name="23-Dec" dataDxfId="244"/>
    <tableColumn id="125" name="24-Dec" dataDxfId="243"/>
    <tableColumn id="126" name="25-Dec" dataDxfId="242"/>
    <tableColumn id="127" name="26-Dec" dataDxfId="241"/>
    <tableColumn id="128" name="27-Dec" dataDxfId="240"/>
    <tableColumn id="129" name="28-Dec" dataDxfId="239"/>
    <tableColumn id="130" name="29-Dec" dataDxfId="238"/>
    <tableColumn id="131" name="30-Dec" dataDxfId="237"/>
    <tableColumn id="132" name="31-Dec" dataDxfId="236"/>
    <tableColumn id="133" name="1-Jan" dataDxfId="235"/>
    <tableColumn id="134" name="2-Jan" dataDxfId="234"/>
    <tableColumn id="135" name="3-Jan" dataDxfId="233"/>
    <tableColumn id="136" name="4-Jan" dataDxfId="232"/>
    <tableColumn id="137" name="5-Jan" dataDxfId="231"/>
    <tableColumn id="138" name="6-Jan" dataDxfId="230"/>
    <tableColumn id="139" name="7-Jan" dataDxfId="229"/>
    <tableColumn id="140" name="8-Jan" dataDxfId="228"/>
    <tableColumn id="141" name="9-Jan" dataDxfId="227"/>
    <tableColumn id="142" name="10-Jan" dataDxfId="226"/>
    <tableColumn id="143" name="11-Jan" dataDxfId="225"/>
    <tableColumn id="144" name="12-Jan" dataDxfId="224"/>
    <tableColumn id="145" name="13-Jan" dataDxfId="223"/>
    <tableColumn id="146" name="14-Jan" dataDxfId="222"/>
    <tableColumn id="147" name="15-Jan" dataDxfId="221"/>
    <tableColumn id="148" name="16-Jan" dataDxfId="220"/>
    <tableColumn id="149" name="17-Jan" dataDxfId="219"/>
    <tableColumn id="150" name="18-Jan" dataDxfId="218"/>
    <tableColumn id="151" name="19-Jan" dataDxfId="217"/>
    <tableColumn id="152" name="20-Jan" dataDxfId="216"/>
    <tableColumn id="153" name="21-Jan" dataDxfId="215"/>
    <tableColumn id="154" name="22-Jan" dataDxfId="214"/>
    <tableColumn id="155" name="23-Jan" dataDxfId="213"/>
    <tableColumn id="156" name="24-Jan" dataDxfId="212"/>
    <tableColumn id="157" name="25-Jan" dataDxfId="211"/>
    <tableColumn id="158" name="26-Jan" dataDxfId="210"/>
    <tableColumn id="159" name="27-Jan" dataDxfId="209"/>
    <tableColumn id="160" name="28-Jan" dataDxfId="208"/>
    <tableColumn id="161" name="29-Jan" dataDxfId="207"/>
    <tableColumn id="162" name="30-Jan" dataDxfId="206"/>
    <tableColumn id="163" name="31-Jan" dataDxfId="205"/>
    <tableColumn id="164" name="1-Feb" dataDxfId="204"/>
    <tableColumn id="165" name="2-Feb" dataDxfId="203"/>
    <tableColumn id="166" name="3-Feb" dataDxfId="202"/>
    <tableColumn id="167" name="4-Feb" dataDxfId="201"/>
    <tableColumn id="168" name="5-Feb" dataDxfId="200"/>
    <tableColumn id="169" name="6-Feb" dataDxfId="199"/>
    <tableColumn id="170" name="7-Feb" dataDxfId="198"/>
    <tableColumn id="171" name="8-Feb" dataDxfId="197"/>
    <tableColumn id="172" name="9-Feb" dataDxfId="196"/>
    <tableColumn id="173" name="10-Feb" dataDxfId="195"/>
    <tableColumn id="174" name="11-Feb" dataDxfId="194"/>
    <tableColumn id="175" name="12-Feb" dataDxfId="193"/>
    <tableColumn id="176" name="13-Feb" dataDxfId="192"/>
    <tableColumn id="177" name="14-Feb" dataDxfId="191"/>
    <tableColumn id="178" name="15-Feb" dataDxfId="190"/>
    <tableColumn id="179" name="16-Feb" dataDxfId="189"/>
    <tableColumn id="180" name="17-Feb" dataDxfId="188"/>
    <tableColumn id="181" name="18-Feb" dataDxfId="187"/>
    <tableColumn id="182" name="19-Feb" dataDxfId="186"/>
    <tableColumn id="183" name="20-Feb" dataDxfId="185"/>
    <tableColumn id="184" name="21-Feb" dataDxfId="184"/>
    <tableColumn id="185" name="22-Feb" dataDxfId="183"/>
    <tableColumn id="186" name="23-Feb" dataDxfId="182"/>
    <tableColumn id="187" name="24-Feb" dataDxfId="181"/>
    <tableColumn id="188" name="25-Feb" dataDxfId="180"/>
    <tableColumn id="189" name="26-Feb" dataDxfId="179"/>
    <tableColumn id="190" name="27-Feb" dataDxfId="178"/>
    <tableColumn id="191" name="28-Feb" dataDxfId="177"/>
    <tableColumn id="192" name="1-Mar" dataDxfId="176"/>
    <tableColumn id="193" name="2-Mar" dataDxfId="175"/>
    <tableColumn id="194" name="3-Mar" dataDxfId="174"/>
    <tableColumn id="195" name="4-Mar" dataDxfId="173"/>
    <tableColumn id="196" name="5-Mar" dataDxfId="172"/>
    <tableColumn id="197" name="6-Mar" dataDxfId="171"/>
    <tableColumn id="198" name="7-Mar" dataDxfId="170"/>
    <tableColumn id="199" name="8-Mar" dataDxfId="169"/>
    <tableColumn id="200" name="9-Mar" dataDxfId="168"/>
    <tableColumn id="201" name="10-Mar" dataDxfId="167"/>
    <tableColumn id="202" name="11-Mar" dataDxfId="166"/>
    <tableColumn id="203" name="12-Mar" dataDxfId="165"/>
    <tableColumn id="204" name="13-Mar" dataDxfId="164"/>
    <tableColumn id="205" name="14-Mar" dataDxfId="163"/>
    <tableColumn id="206" name="15-Mar" dataDxfId="162"/>
    <tableColumn id="207" name="16-Mar" dataDxfId="161"/>
    <tableColumn id="208" name="17-Mar" dataDxfId="160"/>
    <tableColumn id="209" name="18-Mar" dataDxfId="159"/>
    <tableColumn id="210" name="19-Mar" dataDxfId="158"/>
    <tableColumn id="211" name="20-Mar" dataDxfId="157"/>
    <tableColumn id="212" name="21-Mar" dataDxfId="156"/>
    <tableColumn id="213" name="22-Mar" dataDxfId="155"/>
    <tableColumn id="214" name="23-Mar" dataDxfId="154"/>
    <tableColumn id="215" name="24-Mar" dataDxfId="153"/>
    <tableColumn id="216" name="25-Mar" dataDxfId="152"/>
    <tableColumn id="217" name="26-Mar" dataDxfId="151"/>
    <tableColumn id="218" name="27-Mar" dataDxfId="150"/>
    <tableColumn id="219" name="28-Mar" dataDxfId="149"/>
    <tableColumn id="220" name="29-Mar" dataDxfId="148"/>
    <tableColumn id="221" name="30-Mar" dataDxfId="147"/>
    <tableColumn id="222" name="31-Mar" dataDxfId="146"/>
    <tableColumn id="223" name="1-Apr" dataDxfId="145"/>
    <tableColumn id="224" name="2-Apr" dataDxfId="144"/>
    <tableColumn id="225" name="3-Apr" dataDxfId="143"/>
    <tableColumn id="226" name="4-Apr" dataDxfId="142"/>
    <tableColumn id="227" name="5-Apr" dataDxfId="141"/>
    <tableColumn id="228" name="6-Apr" dataDxfId="140"/>
    <tableColumn id="229" name="7-Apr" dataDxfId="139"/>
    <tableColumn id="230" name="8-Apr" dataDxfId="138"/>
    <tableColumn id="231" name="9-Apr" dataDxfId="137"/>
    <tableColumn id="232" name="10-Apr" dataDxfId="136"/>
    <tableColumn id="233" name="11-Apr" dataDxfId="135"/>
    <tableColumn id="234" name="12-Apr" dataDxfId="134"/>
    <tableColumn id="235" name="13-Apr" dataDxfId="133"/>
    <tableColumn id="236" name="14-Apr" dataDxfId="132"/>
    <tableColumn id="237" name="15-Apr" dataDxfId="131"/>
    <tableColumn id="238" name="16-Apr" dataDxfId="130"/>
    <tableColumn id="239" name="17-Apr" dataDxfId="129"/>
    <tableColumn id="240" name="18-Apr" dataDxfId="128"/>
    <tableColumn id="241" name="19-Apr" dataDxfId="127"/>
    <tableColumn id="242" name="20-Apr" dataDxfId="126"/>
    <tableColumn id="243" name="21-Apr" dataDxfId="125"/>
    <tableColumn id="244" name="22-Apr" dataDxfId="124"/>
    <tableColumn id="245" name="23-Apr" dataDxfId="123"/>
    <tableColumn id="246" name="24-Apr" dataDxfId="122"/>
    <tableColumn id="247" name="25-Apr" dataDxfId="121"/>
    <tableColumn id="248" name="26-Apr" dataDxfId="120"/>
    <tableColumn id="249" name="27-Apr" dataDxfId="119"/>
    <tableColumn id="250" name="28-Apr" dataDxfId="118"/>
    <tableColumn id="251" name="29-Apr" dataDxfId="117"/>
    <tableColumn id="252" name="30-Apr" dataDxfId="116"/>
    <tableColumn id="253" name="1-May" dataDxfId="115"/>
    <tableColumn id="254" name="2-May" dataDxfId="114"/>
    <tableColumn id="255" name="3-May" dataDxfId="113"/>
    <tableColumn id="256" name="4-May" dataDxfId="112"/>
    <tableColumn id="257" name="5-May" dataDxfId="111"/>
    <tableColumn id="258" name="6-May" dataDxfId="110"/>
    <tableColumn id="259" name="7-May" dataDxfId="109"/>
    <tableColumn id="260" name="8-May" dataDxfId="108"/>
    <tableColumn id="261" name="9-May" dataDxfId="107"/>
    <tableColumn id="262" name="10-May" dataDxfId="106"/>
    <tableColumn id="263" name="11-May" dataDxfId="105"/>
    <tableColumn id="264" name="12-May" dataDxfId="104"/>
    <tableColumn id="265" name="13-May" dataDxfId="103"/>
    <tableColumn id="266" name="14-May" dataDxfId="102"/>
    <tableColumn id="267" name="15-May" dataDxfId="101"/>
    <tableColumn id="268" name="16-May" dataDxfId="100"/>
    <tableColumn id="269" name="17-May" dataDxfId="99"/>
    <tableColumn id="270" name="18-May" dataDxfId="98"/>
    <tableColumn id="271" name="19-May" dataDxfId="97"/>
    <tableColumn id="272" name="20-May" dataDxfId="96"/>
    <tableColumn id="273" name="21-May" dataDxfId="95"/>
    <tableColumn id="274" name="22-May" dataDxfId="94"/>
    <tableColumn id="275" name="23-May" dataDxfId="93"/>
    <tableColumn id="276" name="24-May" dataDxfId="92"/>
    <tableColumn id="277" name="25-May" dataDxfId="91"/>
    <tableColumn id="278" name="26-May" dataDxfId="90"/>
    <tableColumn id="279" name="27-May" dataDxfId="89"/>
    <tableColumn id="280" name="28-May" dataDxfId="88"/>
    <tableColumn id="281" name="29-May" dataDxfId="87"/>
    <tableColumn id="282" name="30-May" dataDxfId="86"/>
    <tableColumn id="283" name="31-May" dataDxfId="85"/>
    <tableColumn id="284" name="1-Jun" dataDxfId="84"/>
    <tableColumn id="285" name="2-Jun" dataDxfId="83"/>
    <tableColumn id="286" name="3-Jun" dataDxfId="82"/>
    <tableColumn id="287" name="4-Jun" dataDxfId="81"/>
    <tableColumn id="288" name="5-Jun" dataDxfId="80"/>
    <tableColumn id="289" name="6-Jun" dataDxfId="79"/>
    <tableColumn id="290" name="7-Jun" dataDxfId="78"/>
    <tableColumn id="291" name="8-Jun" dataDxfId="77"/>
    <tableColumn id="292" name="9-Jun" dataDxfId="76"/>
    <tableColumn id="293" name="10-Jun" dataDxfId="75"/>
    <tableColumn id="294" name="11-Jun" dataDxfId="74"/>
    <tableColumn id="295" name="12-Jun" dataDxfId="73"/>
    <tableColumn id="296" name="13-Jun" dataDxfId="72"/>
    <tableColumn id="297" name="14-Jun" dataDxfId="71"/>
    <tableColumn id="298" name="15-Jun" dataDxfId="70"/>
    <tableColumn id="299" name="16-Jun" dataDxfId="69"/>
    <tableColumn id="300" name="17-Jun" dataDxfId="68"/>
    <tableColumn id="301" name="18-Jun" dataDxfId="67"/>
    <tableColumn id="302" name="19-Jun" dataDxfId="66"/>
    <tableColumn id="303" name="20-Jun" dataDxfId="65"/>
    <tableColumn id="304" name="21-Jun" dataDxfId="64"/>
    <tableColumn id="305" name="22-Jun" dataDxfId="63"/>
    <tableColumn id="306" name="23-Jun" dataDxfId="62"/>
    <tableColumn id="307" name="24-Jun" dataDxfId="61"/>
    <tableColumn id="308" name="25-Jun" dataDxfId="60"/>
    <tableColumn id="309" name="26-Jun" dataDxfId="59"/>
    <tableColumn id="310" name="27-Jun" dataDxfId="58"/>
    <tableColumn id="311" name="28-Jun" dataDxfId="57"/>
    <tableColumn id="312" name="29-Jun" dataDxfId="56"/>
    <tableColumn id="313" name="30-Jun" dataDxfId="55"/>
    <tableColumn id="314" name="1-Jul" dataDxfId="54"/>
    <tableColumn id="315" name="2-Jul" dataDxfId="53"/>
    <tableColumn id="316" name="3-Jul" dataDxfId="52"/>
    <tableColumn id="317" name="4-Jul" dataDxfId="51"/>
    <tableColumn id="318" name="5-Jul" dataDxfId="50"/>
    <tableColumn id="319" name="6-Jul" dataDxfId="49"/>
    <tableColumn id="320" name="7-Jul" dataDxfId="48"/>
    <tableColumn id="321" name="8-Jul" dataDxfId="47"/>
    <tableColumn id="322" name="9-Jul" dataDxfId="46"/>
    <tableColumn id="323" name="10-Jul" dataDxfId="45"/>
    <tableColumn id="324" name="11-Jul" dataDxfId="44"/>
    <tableColumn id="325" name="12-Jul" dataDxfId="43"/>
    <tableColumn id="326" name="13-Jul" dataDxfId="42"/>
    <tableColumn id="327" name="14-Jul" dataDxfId="41"/>
    <tableColumn id="328" name="15-Jul" dataDxfId="40"/>
    <tableColumn id="329" name="16-Jul" dataDxfId="39"/>
    <tableColumn id="330" name="17-Jul" dataDxfId="38"/>
    <tableColumn id="331" name="18-Jul" dataDxfId="37"/>
    <tableColumn id="332" name="19-Jul" dataDxfId="36"/>
    <tableColumn id="333" name="20-Jul" dataDxfId="35"/>
    <tableColumn id="334" name="21-Jul" dataDxfId="34"/>
    <tableColumn id="335" name="22-Jul" dataDxfId="33"/>
    <tableColumn id="336" name="23-Jul" dataDxfId="32"/>
    <tableColumn id="337" name="24-Jul" dataDxfId="31"/>
    <tableColumn id="338" name="25-Jul" dataDxfId="30"/>
    <tableColumn id="339" name="26-Jul" dataDxfId="29"/>
    <tableColumn id="340" name="27-Jul" dataDxfId="28"/>
    <tableColumn id="341" name="28-Jul" dataDxfId="27"/>
    <tableColumn id="342" name="29-Jul" dataDxfId="26"/>
    <tableColumn id="343" name="30-Jul" dataDxfId="25"/>
    <tableColumn id="344" name="31-Jul" dataDxfId="24"/>
    <tableColumn id="345" name="1-Aug" dataDxfId="23"/>
    <tableColumn id="346" name="2-Aug" dataDxfId="22"/>
    <tableColumn id="347" name="3-Aug" dataDxfId="21"/>
    <tableColumn id="348" name="4-Aug" dataDxfId="20"/>
    <tableColumn id="349" name="5-Aug" dataDxfId="19"/>
    <tableColumn id="350" name="6-Aug" dataDxfId="18"/>
    <tableColumn id="351" name="7-Aug" dataDxfId="17"/>
    <tableColumn id="352" name="8-Aug" dataDxfId="16"/>
    <tableColumn id="353" name="9-Aug" dataDxfId="15"/>
    <tableColumn id="354" name="10-Aug" dataDxfId="14"/>
    <tableColumn id="355" name="11-Aug" dataDxfId="13"/>
    <tableColumn id="356" name="12-Aug" dataDxfId="12"/>
    <tableColumn id="357" name="13-Aug" dataDxfId="11"/>
    <tableColumn id="358" name="14-Aug" dataDxfId="10"/>
    <tableColumn id="359" name="15-Aug" dataDxfId="9"/>
    <tableColumn id="360" name="16-Aug" dataDxfId="8"/>
    <tableColumn id="361" name="17-Aug" dataDxfId="7"/>
    <tableColumn id="362" name="18-Aug" dataDxfId="6"/>
    <tableColumn id="363" name="19-Aug" dataDxfId="5"/>
    <tableColumn id="364" name="20-Aug" dataDxfId="4"/>
    <tableColumn id="365" name="21-Aug" dataDxfId="3"/>
    <tableColumn id="366" name="22-Aug" dataDxfId="2"/>
    <tableColumn id="367" name="23-Aug" dataDxfId="1"/>
    <tableColumn id="368" name="24-Aug"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web.mit.edu/jabbott/www/excelgradetracker.html" TargetMode="External"/><Relationship Id="rId2"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pageSetUpPr fitToPage="1"/>
  </sheetPr>
  <dimension ref="A1:AW29"/>
  <sheetViews>
    <sheetView tabSelected="1" workbookViewId="0">
      <pane xSplit="12" ySplit="11" topLeftCell="M12" activePane="bottomRight" state="frozen"/>
      <selection pane="topRight" activeCell="M1" sqref="M1"/>
      <selection pane="bottomLeft" activeCell="A12" sqref="A12"/>
      <selection pane="bottomRight" activeCell="B12" sqref="B12"/>
    </sheetView>
  </sheetViews>
  <sheetFormatPr baseColWidth="10" defaultColWidth="8.83203125" defaultRowHeight="13" outlineLevelCol="1" x14ac:dyDescent="0"/>
  <cols>
    <col min="1" max="1" width="7.1640625" style="8" customWidth="1"/>
    <col min="2" max="2" width="25" style="8" customWidth="1" collapsed="1"/>
    <col min="3" max="10" width="12.1640625" style="8" hidden="1" customWidth="1" outlineLevel="1"/>
    <col min="11" max="11" width="12.1640625" style="8" customWidth="1" collapsed="1"/>
    <col min="12" max="12" width="12.1640625" style="8" customWidth="1"/>
    <col min="13" max="18" width="12.1640625" style="8" customWidth="1" outlineLevel="1"/>
    <col min="19" max="48" width="12.1640625" style="8" customWidth="1"/>
    <col min="49" max="49" width="5.5" style="8" customWidth="1"/>
    <col min="50" max="16384" width="8.83203125" style="8"/>
  </cols>
  <sheetData>
    <row r="1" spans="1:49" s="2" customFormat="1">
      <c r="A1" s="90"/>
      <c r="B1" s="85" t="s">
        <v>0</v>
      </c>
      <c r="C1" s="37"/>
      <c r="D1" s="37"/>
      <c r="E1" s="37"/>
      <c r="F1" s="37"/>
      <c r="G1" s="37"/>
      <c r="H1" s="37"/>
      <c r="I1" s="37"/>
      <c r="J1" s="37"/>
      <c r="K1" s="38"/>
      <c r="L1" s="38"/>
      <c r="M1" s="49"/>
      <c r="N1" s="1"/>
      <c r="O1" s="1"/>
      <c r="P1" s="1"/>
      <c r="Q1" s="1"/>
      <c r="R1" s="1"/>
      <c r="S1" s="82" t="s">
        <v>459</v>
      </c>
      <c r="T1" s="82" t="s">
        <v>460</v>
      </c>
      <c r="U1" s="82" t="s">
        <v>459</v>
      </c>
      <c r="V1" s="82" t="s">
        <v>461</v>
      </c>
      <c r="W1" s="82" t="s">
        <v>12</v>
      </c>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31"/>
    </row>
    <row r="2" spans="1:49" s="2" customFormat="1">
      <c r="A2" s="3"/>
      <c r="B2" s="4" t="s">
        <v>1</v>
      </c>
      <c r="C2" s="5"/>
      <c r="D2" s="5"/>
      <c r="E2" s="5"/>
      <c r="F2" s="5"/>
      <c r="G2" s="5"/>
      <c r="H2" s="5"/>
      <c r="I2" s="5"/>
      <c r="J2" s="5"/>
      <c r="K2" s="30"/>
      <c r="L2" s="30"/>
      <c r="M2" s="50" t="s">
        <v>448</v>
      </c>
      <c r="N2" s="51"/>
      <c r="O2" s="51"/>
      <c r="P2" s="51"/>
      <c r="Q2" s="51"/>
      <c r="R2" s="52"/>
      <c r="S2" s="83">
        <v>10</v>
      </c>
      <c r="T2" s="83">
        <v>15</v>
      </c>
      <c r="U2" s="83">
        <v>5</v>
      </c>
      <c r="V2" s="83">
        <v>50</v>
      </c>
      <c r="W2" s="83">
        <v>10</v>
      </c>
      <c r="X2" s="83"/>
      <c r="Y2" s="83"/>
      <c r="Z2" s="83"/>
      <c r="AA2" s="83"/>
      <c r="AB2" s="83"/>
      <c r="AC2" s="83"/>
      <c r="AD2" s="84"/>
      <c r="AE2" s="84"/>
      <c r="AF2" s="84"/>
      <c r="AG2" s="84"/>
      <c r="AH2" s="84"/>
      <c r="AI2" s="84"/>
      <c r="AJ2" s="84"/>
      <c r="AK2" s="84"/>
      <c r="AL2" s="84"/>
      <c r="AM2" s="84"/>
      <c r="AN2" s="84"/>
      <c r="AO2" s="84"/>
      <c r="AP2" s="84"/>
      <c r="AQ2" s="84"/>
      <c r="AR2" s="84"/>
      <c r="AS2" s="84"/>
      <c r="AT2" s="84"/>
      <c r="AU2" s="84"/>
      <c r="AV2" s="84"/>
      <c r="AW2" s="31"/>
    </row>
    <row r="3" spans="1:49" s="2" customFormat="1">
      <c r="A3" s="7"/>
      <c r="B3" s="4" t="s">
        <v>449</v>
      </c>
      <c r="C3" s="6"/>
      <c r="D3" s="6"/>
      <c r="E3" s="6"/>
      <c r="F3" s="6"/>
      <c r="G3" s="6"/>
      <c r="H3" s="6"/>
      <c r="I3" s="6"/>
      <c r="J3" s="6"/>
      <c r="K3" s="6"/>
      <c r="L3" s="6"/>
      <c r="M3" s="53" t="str">
        <f>IF(SUM(M4:R4)=100%,"",CONCATENATE("Caution! Make this sum to 100%, not ",TEXT(SUM(M4:R4),"00%")))</f>
        <v/>
      </c>
      <c r="N3" s="54"/>
      <c r="O3" s="54"/>
      <c r="P3" s="54"/>
      <c r="Q3" s="54"/>
      <c r="R3" s="55"/>
      <c r="S3" s="56">
        <v>1</v>
      </c>
      <c r="T3" s="56">
        <v>1</v>
      </c>
      <c r="U3" s="56">
        <v>1</v>
      </c>
      <c r="V3" s="56">
        <v>1</v>
      </c>
      <c r="W3" s="56">
        <v>1</v>
      </c>
      <c r="X3" s="56">
        <v>1</v>
      </c>
      <c r="Y3" s="56">
        <v>1</v>
      </c>
      <c r="Z3" s="56">
        <v>1</v>
      </c>
      <c r="AA3" s="56">
        <v>1</v>
      </c>
      <c r="AB3" s="56">
        <v>1</v>
      </c>
      <c r="AC3" s="56">
        <v>1</v>
      </c>
      <c r="AD3" s="56">
        <v>1</v>
      </c>
      <c r="AE3" s="56">
        <v>1</v>
      </c>
      <c r="AF3" s="56">
        <v>1</v>
      </c>
      <c r="AG3" s="56">
        <v>1</v>
      </c>
      <c r="AH3" s="56">
        <v>1</v>
      </c>
      <c r="AI3" s="56">
        <v>1</v>
      </c>
      <c r="AJ3" s="56">
        <v>1</v>
      </c>
      <c r="AK3" s="56">
        <v>1</v>
      </c>
      <c r="AL3" s="56">
        <v>1</v>
      </c>
      <c r="AM3" s="56">
        <v>1</v>
      </c>
      <c r="AN3" s="56">
        <v>1</v>
      </c>
      <c r="AO3" s="56">
        <v>1</v>
      </c>
      <c r="AP3" s="56">
        <v>1</v>
      </c>
      <c r="AQ3" s="56">
        <v>1</v>
      </c>
      <c r="AR3" s="56">
        <v>1</v>
      </c>
      <c r="AS3" s="56">
        <v>1</v>
      </c>
      <c r="AT3" s="56">
        <v>1</v>
      </c>
      <c r="AU3" s="56">
        <v>1</v>
      </c>
      <c r="AV3" s="56">
        <v>1</v>
      </c>
      <c r="AW3" s="31"/>
    </row>
    <row r="4" spans="1:49" s="26" customFormat="1">
      <c r="A4" s="43"/>
      <c r="B4" s="44" t="s">
        <v>436</v>
      </c>
      <c r="C4" s="45"/>
      <c r="D4" s="45"/>
      <c r="E4" s="45"/>
      <c r="F4" s="45"/>
      <c r="G4" s="45"/>
      <c r="H4" s="45"/>
      <c r="I4" s="45"/>
      <c r="J4" s="45"/>
      <c r="K4" s="45"/>
      <c r="L4" s="45"/>
      <c r="M4" s="79">
        <v>0.1</v>
      </c>
      <c r="N4" s="80">
        <v>0.2</v>
      </c>
      <c r="O4" s="80">
        <v>0.4</v>
      </c>
      <c r="P4" s="80">
        <v>0.3</v>
      </c>
      <c r="Q4" s="80">
        <v>0</v>
      </c>
      <c r="R4" s="81">
        <v>0</v>
      </c>
      <c r="S4" s="46">
        <v>42024</v>
      </c>
      <c r="T4" s="46">
        <v>42029</v>
      </c>
      <c r="U4" s="46">
        <v>42031</v>
      </c>
      <c r="V4" s="46">
        <v>42034</v>
      </c>
      <c r="W4" s="46">
        <v>42035</v>
      </c>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32"/>
    </row>
    <row r="5" spans="1:49" s="26" customFormat="1" ht="23.25" customHeight="1">
      <c r="A5" s="144" t="str">
        <f ca="1">IFERROR(IF(_xlfn.NUMBERVALUE(INFO("release"))&lt;13,"You can hide this row that shows sparkline distribution charts in newer versions of Excel. Select this row (click the 5 to the left of this row) and then right click and click hide.",""),"")</f>
        <v/>
      </c>
      <c r="B5" s="34"/>
      <c r="C5" s="35"/>
      <c r="D5" s="35"/>
      <c r="E5" s="35"/>
      <c r="F5" s="35"/>
      <c r="G5" s="35"/>
      <c r="H5" s="35"/>
      <c r="I5" s="35"/>
      <c r="J5" s="35"/>
      <c r="K5" s="35"/>
      <c r="L5" s="35"/>
      <c r="M5" s="39"/>
      <c r="N5" s="35"/>
      <c r="O5" s="35"/>
      <c r="P5" s="35"/>
      <c r="Q5" s="35"/>
      <c r="R5" s="41"/>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2"/>
    </row>
    <row r="6" spans="1:49" s="26" customFormat="1" hidden="1">
      <c r="A6" s="33" t="s">
        <v>481</v>
      </c>
      <c r="B6" s="33">
        <f>INDEX(TableOfLetterGrades[Score],MATCH(A6,TableOfLetterGrades[Grade],0))</f>
        <v>90</v>
      </c>
      <c r="C6" s="29"/>
      <c r="D6" s="29"/>
      <c r="E6" s="29"/>
      <c r="F6" s="29"/>
      <c r="G6" s="29"/>
      <c r="H6" s="29"/>
      <c r="I6" s="29"/>
      <c r="J6" s="29"/>
      <c r="K6" s="29">
        <f>COUNTIF(Trackerdata[Running Average],"&gt;="&amp;$B6)</f>
        <v>1</v>
      </c>
      <c r="L6" s="29"/>
      <c r="M6" s="40">
        <f>COUNTIF(Trackerdata[Homeworks],"&gt;="&amp;$B6)</f>
        <v>3</v>
      </c>
      <c r="N6" s="29">
        <f>COUNTIF(Trackerdata[Classworks],"&gt;="&amp;$B6)</f>
        <v>2</v>
      </c>
      <c r="O6" s="29">
        <f>COUNTIF(Trackerdata[Tests],"&gt;="&amp;$B6)</f>
        <v>2</v>
      </c>
      <c r="P6" s="29">
        <f>COUNTIF(Trackerdata[Projects],"&gt;="&amp;$B6)</f>
        <v>3</v>
      </c>
      <c r="Q6" s="29">
        <f>COUNTIF(Trackerdata[Another Type],"&gt;="&amp;$B6)</f>
        <v>0</v>
      </c>
      <c r="R6" s="42">
        <f>COUNTIF(Trackerdata[Another Type 2],"&gt;="&amp;$B6)</f>
        <v>0</v>
      </c>
      <c r="S6" s="29">
        <f>COUNTIF(Trackerdata[Homework One],"&gt;="&amp;($B6/100)*S$2)</f>
        <v>3</v>
      </c>
      <c r="T6" s="29">
        <f>COUNTIF(Trackerdata[Classwork  One],"&gt;="&amp;($B6/100)*T$2)</f>
        <v>2</v>
      </c>
      <c r="U6" s="29">
        <f>COUNTIF(Trackerdata[Homework Two],"&gt;="&amp;($B6/100)*U$2)</f>
        <v>1</v>
      </c>
      <c r="V6" s="29">
        <f>COUNTIF(Trackerdata[First Test],"&gt;="&amp;($B6/100)*V$2)</f>
        <v>2</v>
      </c>
      <c r="W6" s="29">
        <f>COUNTIF(Trackerdata[Project],"&gt;="&amp;($B6/100)*W$2)</f>
        <v>3</v>
      </c>
      <c r="X6" s="29">
        <f>COUNTIF(Trackerdata[Assessment 2],"&gt;="&amp;($B6/100)*X$2)</f>
        <v>0</v>
      </c>
      <c r="Y6" s="29">
        <f>COUNTIF(Trackerdata[Assessment 3],"&gt;="&amp;($B6/100)*Y$2)</f>
        <v>0</v>
      </c>
      <c r="Z6" s="29">
        <f>COUNTIF(Trackerdata[Assessment 4],"&gt;="&amp;($B6/100)*Z$2)</f>
        <v>0</v>
      </c>
      <c r="AA6" s="29">
        <f>COUNTIF(Trackerdata[Assessment 5],"&gt;="&amp;($B6/100)*AA$2)</f>
        <v>0</v>
      </c>
      <c r="AB6" s="29">
        <f>COUNTIF(Trackerdata[Assessment 6],"&gt;="&amp;($B6/100)*AB$2)</f>
        <v>0</v>
      </c>
      <c r="AC6" s="29">
        <f>COUNTIF(Trackerdata[Assessment 7],"&gt;="&amp;($B6/100)*AC$2)</f>
        <v>0</v>
      </c>
      <c r="AD6" s="29">
        <f>COUNTIF(Trackerdata[Assessment 8],"&gt;="&amp;($B6/100)*AD$2)</f>
        <v>0</v>
      </c>
      <c r="AE6" s="29">
        <f>COUNTIF(Trackerdata[Assessment 9],"&gt;="&amp;($B6/100)*AE$2)</f>
        <v>0</v>
      </c>
      <c r="AF6" s="29">
        <f>COUNTIF(Trackerdata[Assessment 10],"&gt;="&amp;($B6/100)*AF$2)</f>
        <v>0</v>
      </c>
      <c r="AG6" s="29">
        <f>COUNTIF(Trackerdata[Assessment 11],"&gt;="&amp;($B6/100)*AG$2)</f>
        <v>0</v>
      </c>
      <c r="AH6" s="29">
        <f>COUNTIF(Trackerdata[Assessment 12],"&gt;="&amp;($B6/100)*AH$2)</f>
        <v>0</v>
      </c>
      <c r="AI6" s="29">
        <f>COUNTIF(Trackerdata[Assessment 13],"&gt;="&amp;($B6/100)*AI$2)</f>
        <v>0</v>
      </c>
      <c r="AJ6" s="29">
        <f>COUNTIF(Trackerdata[Assessment 14],"&gt;="&amp;($B6/100)*AJ$2)</f>
        <v>0</v>
      </c>
      <c r="AK6" s="29">
        <f>COUNTIF(Trackerdata[Assessment 15],"&gt;="&amp;($B6/100)*AK$2)</f>
        <v>0</v>
      </c>
      <c r="AL6" s="29">
        <f>COUNTIF(Trackerdata[Assessment 16],"&gt;="&amp;($B6/100)*AL$2)</f>
        <v>0</v>
      </c>
      <c r="AM6" s="29">
        <f>COUNTIF(Trackerdata[Assessment 17],"&gt;="&amp;($B6/100)*AM$2)</f>
        <v>0</v>
      </c>
      <c r="AN6" s="29">
        <f>COUNTIF(Trackerdata[Assessment 18],"&gt;="&amp;($B6/100)*AN$2)</f>
        <v>0</v>
      </c>
      <c r="AO6" s="29">
        <f>COUNTIF(Trackerdata[Assessment 19],"&gt;="&amp;($B6/100)*AO$2)</f>
        <v>0</v>
      </c>
      <c r="AP6" s="29">
        <f>COUNTIF(Trackerdata[Assessment 20],"&gt;="&amp;($B6/100)*AP$2)</f>
        <v>0</v>
      </c>
      <c r="AQ6" s="29">
        <f>COUNTIF(Trackerdata[Assessment 21],"&gt;="&amp;($B6/100)*AQ$2)</f>
        <v>0</v>
      </c>
      <c r="AR6" s="29">
        <f>COUNTIF(Trackerdata[Assessment 22],"&gt;="&amp;($B6/100)*AR$2)</f>
        <v>0</v>
      </c>
      <c r="AS6" s="29">
        <f>COUNTIF(Trackerdata[Assessment 23],"&gt;="&amp;($B6/100)*AS$2)</f>
        <v>0</v>
      </c>
      <c r="AT6" s="29">
        <f>COUNTIF(Trackerdata[Assessment 24],"&gt;="&amp;($B6/100)*AT$2)</f>
        <v>0</v>
      </c>
      <c r="AU6" s="29">
        <f>COUNTIF(Trackerdata[Assessment 25],"&gt;="&amp;($B6/100)*AU$2)</f>
        <v>0</v>
      </c>
      <c r="AV6" s="29">
        <f>COUNTIF(Trackerdata[Assessment | Insert new columns before here],"&gt;="&amp;($B6/100)*AV$2)</f>
        <v>0</v>
      </c>
      <c r="AW6" s="32"/>
    </row>
    <row r="7" spans="1:49" s="26" customFormat="1" hidden="1">
      <c r="A7" s="33" t="s">
        <v>485</v>
      </c>
      <c r="B7" s="33">
        <f>INDEX(TableOfLetterGrades[Score],MATCH(A7,TableOfLetterGrades[Grade],0))</f>
        <v>80</v>
      </c>
      <c r="C7" s="29"/>
      <c r="D7" s="29"/>
      <c r="E7" s="29"/>
      <c r="F7" s="29"/>
      <c r="G7" s="29"/>
      <c r="H7" s="29"/>
      <c r="I7" s="29"/>
      <c r="J7" s="29"/>
      <c r="K7" s="29">
        <f>COUNTIFS(Trackerdata[Running Average],"&gt;="&amp;$B7,Trackerdata[Running Average],"&lt;"&amp;$B6)</f>
        <v>3</v>
      </c>
      <c r="L7" s="29"/>
      <c r="M7" s="40">
        <f>COUNTIFS(Trackerdata[Homeworks],"&gt;="&amp;$B7,Trackerdata[Homeworks],"&lt;"&amp;$B6)</f>
        <v>1</v>
      </c>
      <c r="N7" s="29">
        <f>COUNTIFS(Trackerdata[Classworks],"&gt;="&amp;$B7,Trackerdata[Classworks],"&lt;"&amp;$B6)</f>
        <v>1</v>
      </c>
      <c r="O7" s="29">
        <f>COUNTIFS(Trackerdata[Tests],"&gt;="&amp;$B7,Trackerdata[Tests],"&lt;"&amp;$B6)</f>
        <v>2</v>
      </c>
      <c r="P7" s="29">
        <f>COUNTIFS(Trackerdata[Projects],"&gt;="&amp;$B7,Trackerdata[Projects],"&lt;"&amp;$B6)</f>
        <v>1</v>
      </c>
      <c r="Q7" s="29">
        <f>COUNTIFS(Trackerdata[Another Type],"&gt;="&amp;$B7,Trackerdata[Another Type],"&lt;"&amp;$B6)</f>
        <v>0</v>
      </c>
      <c r="R7" s="42">
        <f>COUNTIFS(Trackerdata[Another Type 2],"&gt;="&amp;$B7,Trackerdata[Another Type 2],"&lt;"&amp;$B6)</f>
        <v>0</v>
      </c>
      <c r="S7" s="29">
        <f>COUNTIFS(Trackerdata[Homework One],"&gt;="&amp;($B7/100)*S$2,Trackerdata[Homework One],"&lt;"&amp;($B6/100)*S$2)</f>
        <v>1</v>
      </c>
      <c r="T7" s="29">
        <f>COUNTIFS(Trackerdata[Classwork  One],"&gt;="&amp;($B7/100)*T$2,Trackerdata[Classwork  One],"&lt;"&amp;($B6/100)*T$2)</f>
        <v>1</v>
      </c>
      <c r="U7" s="29">
        <f>COUNTIFS(Trackerdata[Homework Two],"&gt;="&amp;($B7/100)*U$2,Trackerdata[Homework Two],"&lt;"&amp;($B6/100)*U$2)</f>
        <v>2</v>
      </c>
      <c r="V7" s="29">
        <f>COUNTIFS(Trackerdata[First Test],"&gt;="&amp;($B7/100)*V$2,Trackerdata[First Test],"&lt;"&amp;($B6/100)*V$2)</f>
        <v>2</v>
      </c>
      <c r="W7" s="29">
        <f>COUNTIFS(Trackerdata[Project],"&gt;="&amp;($B7/100)*W$2,Trackerdata[Project],"&lt;"&amp;($B6/100)*W$2)</f>
        <v>1</v>
      </c>
      <c r="X7" s="29">
        <f>COUNTIFS(Trackerdata[Assessment 2],"&gt;="&amp;($B7/100)*X$2,Trackerdata[Assessment 2],"&lt;"&amp;($B6/100)*X$2)</f>
        <v>0</v>
      </c>
      <c r="Y7" s="29">
        <f>COUNTIFS(Trackerdata[Assessment 3],"&gt;="&amp;($B7/100)*Y$2,Trackerdata[Assessment 3],"&lt;"&amp;($B6/100)*Y$2)</f>
        <v>0</v>
      </c>
      <c r="Z7" s="29">
        <f>COUNTIFS(Trackerdata[Assessment 4],"&gt;="&amp;($B7/100)*Z$2,Trackerdata[Assessment 4],"&lt;"&amp;($B6/100)*Z$2)</f>
        <v>0</v>
      </c>
      <c r="AA7" s="29">
        <f>COUNTIFS(Trackerdata[Assessment 5],"&gt;="&amp;($B7/100)*AA$2,Trackerdata[Assessment 5],"&lt;"&amp;($B6/100)*AA$2)</f>
        <v>0</v>
      </c>
      <c r="AB7" s="29">
        <f>COUNTIFS(Trackerdata[Assessment 6],"&gt;="&amp;($B7/100)*AB$2,Trackerdata[Assessment 6],"&lt;"&amp;($B6/100)*AB$2)</f>
        <v>0</v>
      </c>
      <c r="AC7" s="29">
        <f>COUNTIFS(Trackerdata[Assessment 7],"&gt;="&amp;($B7/100)*AC$2,Trackerdata[Assessment 7],"&lt;"&amp;($B6/100)*AC$2)</f>
        <v>0</v>
      </c>
      <c r="AD7" s="29">
        <f>COUNTIFS(Trackerdata[Assessment 8],"&gt;="&amp;($B7/100)*AD$2,Trackerdata[Assessment 8],"&lt;"&amp;($B6/100)*AD$2)</f>
        <v>0</v>
      </c>
      <c r="AE7" s="29">
        <f>COUNTIFS(Trackerdata[Assessment 9],"&gt;="&amp;($B7/100)*AE$2,Trackerdata[Assessment 9],"&lt;"&amp;($B6/100)*AE$2)</f>
        <v>0</v>
      </c>
      <c r="AF7" s="29">
        <f>COUNTIFS(Trackerdata[Assessment 10],"&gt;="&amp;($B7/100)*AF$2,Trackerdata[Assessment 10],"&lt;"&amp;($B6/100)*AF$2)</f>
        <v>0</v>
      </c>
      <c r="AG7" s="29">
        <f>COUNTIFS(Trackerdata[Assessment 11],"&gt;="&amp;($B7/100)*AG$2,Trackerdata[Assessment 11],"&lt;"&amp;($B6/100)*AG$2)</f>
        <v>0</v>
      </c>
      <c r="AH7" s="29">
        <f>COUNTIFS(Trackerdata[Assessment 12],"&gt;="&amp;($B7/100)*AH$2,Trackerdata[Assessment 12],"&lt;"&amp;($B6/100)*AH$2)</f>
        <v>0</v>
      </c>
      <c r="AI7" s="29">
        <f>COUNTIFS(Trackerdata[Assessment 13],"&gt;="&amp;($B7/100)*AI$2,Trackerdata[Assessment 13],"&lt;"&amp;($B6/100)*AI$2)</f>
        <v>0</v>
      </c>
      <c r="AJ7" s="29">
        <f>COUNTIFS(Trackerdata[Assessment 14],"&gt;="&amp;($B7/100)*AJ$2,Trackerdata[Assessment 14],"&lt;"&amp;($B6/100)*AJ$2)</f>
        <v>0</v>
      </c>
      <c r="AK7" s="29">
        <f>COUNTIFS(Trackerdata[Assessment 15],"&gt;="&amp;($B7/100)*AK$2,Trackerdata[Assessment 15],"&lt;"&amp;($B6/100)*AK$2)</f>
        <v>0</v>
      </c>
      <c r="AL7" s="29">
        <f>COUNTIFS(Trackerdata[Assessment 16],"&gt;="&amp;($B7/100)*AL$2,Trackerdata[Assessment 16],"&lt;"&amp;($B6/100)*AL$2)</f>
        <v>0</v>
      </c>
      <c r="AM7" s="29">
        <f>COUNTIFS(Trackerdata[Assessment 17],"&gt;="&amp;($B7/100)*AM$2,Trackerdata[Assessment 17],"&lt;"&amp;($B6/100)*AM$2)</f>
        <v>0</v>
      </c>
      <c r="AN7" s="29">
        <f>COUNTIFS(Trackerdata[Assessment 18],"&gt;="&amp;($B7/100)*AN$2,Trackerdata[Assessment 18],"&lt;"&amp;($B6/100)*AN$2)</f>
        <v>0</v>
      </c>
      <c r="AO7" s="29">
        <f>COUNTIFS(Trackerdata[Assessment 19],"&gt;="&amp;($B7/100)*AO$2,Trackerdata[Assessment 19],"&lt;"&amp;($B6/100)*AO$2)</f>
        <v>0</v>
      </c>
      <c r="AP7" s="29">
        <f>COUNTIFS(Trackerdata[Assessment 20],"&gt;="&amp;($B7/100)*AP$2,Trackerdata[Assessment 20],"&lt;"&amp;($B6/100)*AP$2)</f>
        <v>0</v>
      </c>
      <c r="AQ7" s="29">
        <f>COUNTIFS(Trackerdata[Assessment 21],"&gt;="&amp;($B7/100)*AQ$2,Trackerdata[Assessment 21],"&lt;"&amp;($B6/100)*AQ$2)</f>
        <v>0</v>
      </c>
      <c r="AR7" s="29">
        <f>COUNTIFS(Trackerdata[Assessment 22],"&gt;="&amp;($B7/100)*AR$2,Trackerdata[Assessment 22],"&lt;"&amp;($B6/100)*AR$2)</f>
        <v>0</v>
      </c>
      <c r="AS7" s="29">
        <f>COUNTIFS(Trackerdata[Assessment 23],"&gt;="&amp;($B7/100)*AS$2,Trackerdata[Assessment 23],"&lt;"&amp;($B6/100)*AS$2)</f>
        <v>0</v>
      </c>
      <c r="AT7" s="29">
        <f>COUNTIFS(Trackerdata[Assessment 24],"&gt;="&amp;($B7/100)*AT$2,Trackerdata[Assessment 24],"&lt;"&amp;($B6/100)*AT$2)</f>
        <v>0</v>
      </c>
      <c r="AU7" s="29">
        <f>COUNTIFS(Trackerdata[Assessment 25],"&gt;="&amp;($B7/100)*AU$2,Trackerdata[Assessment 25],"&lt;"&amp;($B6/100)*AU$2)</f>
        <v>0</v>
      </c>
      <c r="AV7" s="29">
        <f>COUNTIFS(Trackerdata[Assessment | Insert new columns before here],"&gt;="&amp;($B7/100)*AV$2,Trackerdata[Assessment | Insert new columns before here],"&lt;"&amp;($B6/100)*AV$2)</f>
        <v>0</v>
      </c>
      <c r="AW7" s="32"/>
    </row>
    <row r="8" spans="1:49" s="26" customFormat="1" hidden="1">
      <c r="A8" s="33" t="s">
        <v>488</v>
      </c>
      <c r="B8" s="33">
        <f>INDEX(TableOfLetterGrades[Score],MATCH(A8,TableOfLetterGrades[Grade],0))</f>
        <v>70</v>
      </c>
      <c r="C8" s="29"/>
      <c r="D8" s="29"/>
      <c r="E8" s="29"/>
      <c r="F8" s="29"/>
      <c r="G8" s="29"/>
      <c r="H8" s="29"/>
      <c r="I8" s="29"/>
      <c r="J8" s="29"/>
      <c r="K8" s="29">
        <f>COUNTIFS(Trackerdata[Running Average],"&gt;="&amp;$B8,Trackerdata[Running Average],"&lt;"&amp;$B7)</f>
        <v>0</v>
      </c>
      <c r="L8" s="29"/>
      <c r="M8" s="40">
        <f>COUNTIFS(Trackerdata[Homeworks],"&gt;="&amp;$B8,Trackerdata[Homeworks],"&lt;"&amp;$B7)</f>
        <v>0</v>
      </c>
      <c r="N8" s="29">
        <f>COUNTIFS(Trackerdata[Classworks],"&gt;="&amp;$B8,Trackerdata[Classworks],"&lt;"&amp;$B7)</f>
        <v>0</v>
      </c>
      <c r="O8" s="29">
        <f>COUNTIFS(Trackerdata[Tests],"&gt;="&amp;$B8,Trackerdata[Tests],"&lt;"&amp;$B7)</f>
        <v>0</v>
      </c>
      <c r="P8" s="29">
        <f>COUNTIFS(Trackerdata[Projects],"&gt;="&amp;$B8,Trackerdata[Projects],"&lt;"&amp;$B7)</f>
        <v>0</v>
      </c>
      <c r="Q8" s="29">
        <f>COUNTIFS(Trackerdata[Another Type],"&gt;="&amp;$B8,Trackerdata[Another Type],"&lt;"&amp;$B7)</f>
        <v>0</v>
      </c>
      <c r="R8" s="42">
        <f>COUNTIFS(Trackerdata[Another Type 2],"&gt;="&amp;$B8,Trackerdata[Another Type 2],"&lt;"&amp;$B7)</f>
        <v>0</v>
      </c>
      <c r="S8" s="29">
        <f>COUNTIFS(Trackerdata[Homework One],"&gt;="&amp;($B8/100)*S$2,Trackerdata[Homework One],"&lt;"&amp;($B7/100)*S$2)</f>
        <v>0</v>
      </c>
      <c r="T8" s="29">
        <f>COUNTIFS(Trackerdata[Classwork  One],"&gt;="&amp;($B8/100)*T$2,Trackerdata[Classwork  One],"&lt;"&amp;($B7/100)*T$2)</f>
        <v>0</v>
      </c>
      <c r="U8" s="29">
        <f>COUNTIFS(Trackerdata[Homework Two],"&gt;="&amp;($B8/100)*U$2,Trackerdata[Homework Two],"&lt;"&amp;($B7/100)*U$2)</f>
        <v>0</v>
      </c>
      <c r="V8" s="29">
        <f>COUNTIFS(Trackerdata[First Test],"&gt;="&amp;($B8/100)*V$2,Trackerdata[First Test],"&lt;"&amp;($B7/100)*V$2)</f>
        <v>0</v>
      </c>
      <c r="W8" s="29">
        <f>COUNTIFS(Trackerdata[Project],"&gt;="&amp;($B8/100)*W$2,Trackerdata[Project],"&lt;"&amp;($B7/100)*W$2)</f>
        <v>0</v>
      </c>
      <c r="X8" s="29">
        <f>COUNTIFS(Trackerdata[Assessment 2],"&gt;="&amp;($B8/100)*X$2,Trackerdata[Assessment 2],"&lt;"&amp;($B7/100)*X$2)</f>
        <v>0</v>
      </c>
      <c r="Y8" s="29">
        <f>COUNTIFS(Trackerdata[Assessment 3],"&gt;="&amp;($B8/100)*Y$2,Trackerdata[Assessment 3],"&lt;"&amp;($B7/100)*Y$2)</f>
        <v>0</v>
      </c>
      <c r="Z8" s="29">
        <f>COUNTIFS(Trackerdata[Assessment 4],"&gt;="&amp;($B8/100)*Z$2,Trackerdata[Assessment 4],"&lt;"&amp;($B7/100)*Z$2)</f>
        <v>0</v>
      </c>
      <c r="AA8" s="29">
        <f>COUNTIFS(Trackerdata[Assessment 5],"&gt;="&amp;($B8/100)*AA$2,Trackerdata[Assessment 5],"&lt;"&amp;($B7/100)*AA$2)</f>
        <v>0</v>
      </c>
      <c r="AB8" s="29">
        <f>COUNTIFS(Trackerdata[Assessment 6],"&gt;="&amp;($B8/100)*AB$2,Trackerdata[Assessment 6],"&lt;"&amp;($B7/100)*AB$2)</f>
        <v>0</v>
      </c>
      <c r="AC8" s="29">
        <f>COUNTIFS(Trackerdata[Assessment 7],"&gt;="&amp;($B8/100)*AC$2,Trackerdata[Assessment 7],"&lt;"&amp;($B7/100)*AC$2)</f>
        <v>0</v>
      </c>
      <c r="AD8" s="29">
        <f>COUNTIFS(Trackerdata[Assessment 8],"&gt;="&amp;($B8/100)*AD$2,Trackerdata[Assessment 8],"&lt;"&amp;($B7/100)*AD$2)</f>
        <v>0</v>
      </c>
      <c r="AE8" s="29">
        <f>COUNTIFS(Trackerdata[Assessment 9],"&gt;="&amp;($B8/100)*AE$2,Trackerdata[Assessment 9],"&lt;"&amp;($B7/100)*AE$2)</f>
        <v>0</v>
      </c>
      <c r="AF8" s="29">
        <f>COUNTIFS(Trackerdata[Assessment 10],"&gt;="&amp;($B8/100)*AF$2,Trackerdata[Assessment 10],"&lt;"&amp;($B7/100)*AF$2)</f>
        <v>0</v>
      </c>
      <c r="AG8" s="29">
        <f>COUNTIFS(Trackerdata[Assessment 11],"&gt;="&amp;($B8/100)*AG$2,Trackerdata[Assessment 11],"&lt;"&amp;($B7/100)*AG$2)</f>
        <v>0</v>
      </c>
      <c r="AH8" s="29">
        <f>COUNTIFS(Trackerdata[Assessment 12],"&gt;="&amp;($B8/100)*AH$2,Trackerdata[Assessment 12],"&lt;"&amp;($B7/100)*AH$2)</f>
        <v>0</v>
      </c>
      <c r="AI8" s="29">
        <f>COUNTIFS(Trackerdata[Assessment 13],"&gt;="&amp;($B8/100)*AI$2,Trackerdata[Assessment 13],"&lt;"&amp;($B7/100)*AI$2)</f>
        <v>0</v>
      </c>
      <c r="AJ8" s="29">
        <f>COUNTIFS(Trackerdata[Assessment 14],"&gt;="&amp;($B8/100)*AJ$2,Trackerdata[Assessment 14],"&lt;"&amp;($B7/100)*AJ$2)</f>
        <v>0</v>
      </c>
      <c r="AK8" s="29">
        <f>COUNTIFS(Trackerdata[Assessment 15],"&gt;="&amp;($B8/100)*AK$2,Trackerdata[Assessment 15],"&lt;"&amp;($B7/100)*AK$2)</f>
        <v>0</v>
      </c>
      <c r="AL8" s="29">
        <f>COUNTIFS(Trackerdata[Assessment 16],"&gt;="&amp;($B8/100)*AL$2,Trackerdata[Assessment 16],"&lt;"&amp;($B7/100)*AL$2)</f>
        <v>0</v>
      </c>
      <c r="AM8" s="29">
        <f>COUNTIFS(Trackerdata[Assessment 17],"&gt;="&amp;($B8/100)*AM$2,Trackerdata[Assessment 17],"&lt;"&amp;($B7/100)*AM$2)</f>
        <v>0</v>
      </c>
      <c r="AN8" s="29">
        <f>COUNTIFS(Trackerdata[Assessment 18],"&gt;="&amp;($B8/100)*AN$2,Trackerdata[Assessment 18],"&lt;"&amp;($B7/100)*AN$2)</f>
        <v>0</v>
      </c>
      <c r="AO8" s="29">
        <f>COUNTIFS(Trackerdata[Assessment 19],"&gt;="&amp;($B8/100)*AO$2,Trackerdata[Assessment 19],"&lt;"&amp;($B7/100)*AO$2)</f>
        <v>0</v>
      </c>
      <c r="AP8" s="29">
        <f>COUNTIFS(Trackerdata[Assessment 20],"&gt;="&amp;($B8/100)*AP$2,Trackerdata[Assessment 20],"&lt;"&amp;($B7/100)*AP$2)</f>
        <v>0</v>
      </c>
      <c r="AQ8" s="29">
        <f>COUNTIFS(Trackerdata[Assessment 21],"&gt;="&amp;($B8/100)*AQ$2,Trackerdata[Assessment 21],"&lt;"&amp;($B7/100)*AQ$2)</f>
        <v>0</v>
      </c>
      <c r="AR8" s="29">
        <f>COUNTIFS(Trackerdata[Assessment 22],"&gt;="&amp;($B8/100)*AR$2,Trackerdata[Assessment 22],"&lt;"&amp;($B7/100)*AR$2)</f>
        <v>0</v>
      </c>
      <c r="AS8" s="29">
        <f>COUNTIFS(Trackerdata[Assessment 23],"&gt;="&amp;($B8/100)*AS$2,Trackerdata[Assessment 23],"&lt;"&amp;($B7/100)*AS$2)</f>
        <v>0</v>
      </c>
      <c r="AT8" s="29">
        <f>COUNTIFS(Trackerdata[Assessment 24],"&gt;="&amp;($B8/100)*AT$2,Trackerdata[Assessment 24],"&lt;"&amp;($B7/100)*AT$2)</f>
        <v>0</v>
      </c>
      <c r="AU8" s="29">
        <f>COUNTIFS(Trackerdata[Assessment 25],"&gt;="&amp;($B8/100)*AU$2,Trackerdata[Assessment 25],"&lt;"&amp;($B7/100)*AU$2)</f>
        <v>0</v>
      </c>
      <c r="AV8" s="29">
        <f>COUNTIFS(Trackerdata[Assessment | Insert new columns before here],"&gt;="&amp;($B8/100)*AV$2,Trackerdata[Assessment | Insert new columns before here],"&lt;"&amp;($B7/100)*AV$2)</f>
        <v>0</v>
      </c>
      <c r="AW8" s="32"/>
    </row>
    <row r="9" spans="1:49" s="26" customFormat="1" hidden="1">
      <c r="A9" s="33" t="s">
        <v>491</v>
      </c>
      <c r="B9" s="33">
        <f>INDEX(TableOfLetterGrades[Score],MATCH(A9,TableOfLetterGrades[Grade],0))</f>
        <v>60</v>
      </c>
      <c r="C9" s="29"/>
      <c r="D9" s="29"/>
      <c r="E9" s="29"/>
      <c r="F9" s="29"/>
      <c r="G9" s="29"/>
      <c r="H9" s="29"/>
      <c r="I9" s="29"/>
      <c r="J9" s="29"/>
      <c r="K9" s="29">
        <f>COUNTIFS(Trackerdata[Running Average],"&gt;="&amp;$B9,Trackerdata[Running Average],"&lt;"&amp;$B8)</f>
        <v>0</v>
      </c>
      <c r="L9" s="29"/>
      <c r="M9" s="40">
        <f>COUNTIFS(Trackerdata[Homeworks],"&gt;="&amp;$B9,Trackerdata[Homeworks],"&lt;"&amp;$B8)</f>
        <v>0</v>
      </c>
      <c r="N9" s="29">
        <f>COUNTIFS(Trackerdata[Classworks],"&gt;="&amp;$B9,Trackerdata[Classworks],"&lt;"&amp;$B8)</f>
        <v>1</v>
      </c>
      <c r="O9" s="29">
        <f>COUNTIFS(Trackerdata[Tests],"&gt;="&amp;$B9,Trackerdata[Tests],"&lt;"&amp;$B8)</f>
        <v>0</v>
      </c>
      <c r="P9" s="29">
        <f>COUNTIFS(Trackerdata[Projects],"&gt;="&amp;$B9,Trackerdata[Projects],"&lt;"&amp;$B8)</f>
        <v>0</v>
      </c>
      <c r="Q9" s="29">
        <f>COUNTIFS(Trackerdata[Another Type],"&gt;="&amp;$B9,Trackerdata[Another Type],"&lt;"&amp;$B8)</f>
        <v>0</v>
      </c>
      <c r="R9" s="42">
        <f>COUNTIFS(Trackerdata[Another Type 2],"&gt;="&amp;$B9,Trackerdata[Another Type 2],"&lt;"&amp;$B8)</f>
        <v>0</v>
      </c>
      <c r="S9" s="29">
        <f>COUNTIFS(Trackerdata[Homework One],"&gt;="&amp;($B9/100)*S$2,Trackerdata[Homework One],"&lt;"&amp;($B8/100)*S$2)</f>
        <v>0</v>
      </c>
      <c r="T9" s="29">
        <f>COUNTIFS(Trackerdata[Classwork  One],"&gt;="&amp;($B9/100)*T$2,Trackerdata[Classwork  One],"&lt;"&amp;($B8/100)*T$2)</f>
        <v>1</v>
      </c>
      <c r="U9" s="29">
        <f>COUNTIFS(Trackerdata[Homework Two],"&gt;="&amp;($B9/100)*U$2,Trackerdata[Homework Two],"&lt;"&amp;($B8/100)*U$2)</f>
        <v>0</v>
      </c>
      <c r="V9" s="29">
        <f>COUNTIFS(Trackerdata[First Test],"&gt;="&amp;($B9/100)*V$2,Trackerdata[First Test],"&lt;"&amp;($B8/100)*V$2)</f>
        <v>0</v>
      </c>
      <c r="W9" s="29">
        <f>COUNTIFS(Trackerdata[Project],"&gt;="&amp;($B9/100)*W$2,Trackerdata[Project],"&lt;"&amp;($B8/100)*W$2)</f>
        <v>0</v>
      </c>
      <c r="X9" s="29">
        <f>COUNTIFS(Trackerdata[Assessment 2],"&gt;="&amp;($B9/100)*X$2,Trackerdata[Assessment 2],"&lt;"&amp;($B8/100)*X$2)</f>
        <v>0</v>
      </c>
      <c r="Y9" s="29">
        <f>COUNTIFS(Trackerdata[Assessment 3],"&gt;="&amp;($B9/100)*Y$2,Trackerdata[Assessment 3],"&lt;"&amp;($B8/100)*Y$2)</f>
        <v>0</v>
      </c>
      <c r="Z9" s="29">
        <f>COUNTIFS(Trackerdata[Assessment 4],"&gt;="&amp;($B9/100)*Z$2,Trackerdata[Assessment 4],"&lt;"&amp;($B8/100)*Z$2)</f>
        <v>0</v>
      </c>
      <c r="AA9" s="29">
        <f>COUNTIFS(Trackerdata[Assessment 5],"&gt;="&amp;($B9/100)*AA$2,Trackerdata[Assessment 5],"&lt;"&amp;($B8/100)*AA$2)</f>
        <v>0</v>
      </c>
      <c r="AB9" s="29">
        <f>COUNTIFS(Trackerdata[Assessment 6],"&gt;="&amp;($B9/100)*AB$2,Trackerdata[Assessment 6],"&lt;"&amp;($B8/100)*AB$2)</f>
        <v>0</v>
      </c>
      <c r="AC9" s="29">
        <f>COUNTIFS(Trackerdata[Assessment 7],"&gt;="&amp;($B9/100)*AC$2,Trackerdata[Assessment 7],"&lt;"&amp;($B8/100)*AC$2)</f>
        <v>0</v>
      </c>
      <c r="AD9" s="29">
        <f>COUNTIFS(Trackerdata[Assessment 8],"&gt;="&amp;($B9/100)*AD$2,Trackerdata[Assessment 8],"&lt;"&amp;($B8/100)*AD$2)</f>
        <v>0</v>
      </c>
      <c r="AE9" s="29">
        <f>COUNTIFS(Trackerdata[Assessment 9],"&gt;="&amp;($B9/100)*AE$2,Trackerdata[Assessment 9],"&lt;"&amp;($B8/100)*AE$2)</f>
        <v>0</v>
      </c>
      <c r="AF9" s="29">
        <f>COUNTIFS(Trackerdata[Assessment 10],"&gt;="&amp;($B9/100)*AF$2,Trackerdata[Assessment 10],"&lt;"&amp;($B8/100)*AF$2)</f>
        <v>0</v>
      </c>
      <c r="AG9" s="29">
        <f>COUNTIFS(Trackerdata[Assessment 11],"&gt;="&amp;($B9/100)*AG$2,Trackerdata[Assessment 11],"&lt;"&amp;($B8/100)*AG$2)</f>
        <v>0</v>
      </c>
      <c r="AH9" s="29">
        <f>COUNTIFS(Trackerdata[Assessment 12],"&gt;="&amp;($B9/100)*AH$2,Trackerdata[Assessment 12],"&lt;"&amp;($B8/100)*AH$2)</f>
        <v>0</v>
      </c>
      <c r="AI9" s="29">
        <f>COUNTIFS(Trackerdata[Assessment 13],"&gt;="&amp;($B9/100)*AI$2,Trackerdata[Assessment 13],"&lt;"&amp;($B8/100)*AI$2)</f>
        <v>0</v>
      </c>
      <c r="AJ9" s="29">
        <f>COUNTIFS(Trackerdata[Assessment 14],"&gt;="&amp;($B9/100)*AJ$2,Trackerdata[Assessment 14],"&lt;"&amp;($B8/100)*AJ$2)</f>
        <v>0</v>
      </c>
      <c r="AK9" s="29">
        <f>COUNTIFS(Trackerdata[Assessment 15],"&gt;="&amp;($B9/100)*AK$2,Trackerdata[Assessment 15],"&lt;"&amp;($B8/100)*AK$2)</f>
        <v>0</v>
      </c>
      <c r="AL9" s="29">
        <f>COUNTIFS(Trackerdata[Assessment 16],"&gt;="&amp;($B9/100)*AL$2,Trackerdata[Assessment 16],"&lt;"&amp;($B8/100)*AL$2)</f>
        <v>0</v>
      </c>
      <c r="AM9" s="29">
        <f>COUNTIFS(Trackerdata[Assessment 17],"&gt;="&amp;($B9/100)*AM$2,Trackerdata[Assessment 17],"&lt;"&amp;($B8/100)*AM$2)</f>
        <v>0</v>
      </c>
      <c r="AN9" s="29">
        <f>COUNTIFS(Trackerdata[Assessment 18],"&gt;="&amp;($B9/100)*AN$2,Trackerdata[Assessment 18],"&lt;"&amp;($B8/100)*AN$2)</f>
        <v>0</v>
      </c>
      <c r="AO9" s="29">
        <f>COUNTIFS(Trackerdata[Assessment 19],"&gt;="&amp;($B9/100)*AO$2,Trackerdata[Assessment 19],"&lt;"&amp;($B8/100)*AO$2)</f>
        <v>0</v>
      </c>
      <c r="AP9" s="29">
        <f>COUNTIFS(Trackerdata[Assessment 20],"&gt;="&amp;($B9/100)*AP$2,Trackerdata[Assessment 20],"&lt;"&amp;($B8/100)*AP$2)</f>
        <v>0</v>
      </c>
      <c r="AQ9" s="29">
        <f>COUNTIFS(Trackerdata[Assessment 21],"&gt;="&amp;($B9/100)*AQ$2,Trackerdata[Assessment 21],"&lt;"&amp;($B8/100)*AQ$2)</f>
        <v>0</v>
      </c>
      <c r="AR9" s="29">
        <f>COUNTIFS(Trackerdata[Assessment 22],"&gt;="&amp;($B9/100)*AR$2,Trackerdata[Assessment 22],"&lt;"&amp;($B8/100)*AR$2)</f>
        <v>0</v>
      </c>
      <c r="AS9" s="29">
        <f>COUNTIFS(Trackerdata[Assessment 23],"&gt;="&amp;($B9/100)*AS$2,Trackerdata[Assessment 23],"&lt;"&amp;($B8/100)*AS$2)</f>
        <v>0</v>
      </c>
      <c r="AT9" s="29">
        <f>COUNTIFS(Trackerdata[Assessment 24],"&gt;="&amp;($B9/100)*AT$2,Trackerdata[Assessment 24],"&lt;"&amp;($B8/100)*AT$2)</f>
        <v>0</v>
      </c>
      <c r="AU9" s="29">
        <f>COUNTIFS(Trackerdata[Assessment 25],"&gt;="&amp;($B9/100)*AU$2,Trackerdata[Assessment 25],"&lt;"&amp;($B8/100)*AU$2)</f>
        <v>0</v>
      </c>
      <c r="AV9" s="29">
        <f>COUNTIFS(Trackerdata[Assessment | Insert new columns before here],"&gt;="&amp;($B9/100)*AV$2,Trackerdata[Assessment | Insert new columns before here],"&lt;"&amp;($B8/100)*AV$2)</f>
        <v>0</v>
      </c>
      <c r="AW9" s="32"/>
    </row>
    <row r="10" spans="1:49" s="26" customFormat="1" hidden="1">
      <c r="A10" s="33" t="s">
        <v>440</v>
      </c>
      <c r="B10" s="33">
        <v>0</v>
      </c>
      <c r="C10" s="29"/>
      <c r="D10" s="29"/>
      <c r="E10" s="29"/>
      <c r="F10" s="29"/>
      <c r="G10" s="29"/>
      <c r="H10" s="29"/>
      <c r="I10" s="29"/>
      <c r="J10" s="29"/>
      <c r="K10" s="29">
        <f>COUNTIF(Trackerdata[Running Average],"&lt;"&amp;$B9)</f>
        <v>6</v>
      </c>
      <c r="L10" s="29"/>
      <c r="M10" s="48">
        <f>COUNTIF(Trackerdata[Homeworks],"&lt;"&amp;$B9)</f>
        <v>6</v>
      </c>
      <c r="N10" s="45">
        <f>COUNTIF(Trackerdata[Classworks],"&lt;"&amp;$B9)</f>
        <v>6</v>
      </c>
      <c r="O10" s="45">
        <f>COUNTIF(Trackerdata[Tests],"&lt;"&amp;$B9)</f>
        <v>6</v>
      </c>
      <c r="P10" s="45">
        <f>COUNTIF(Trackerdata[Projects],"&lt;"&amp;$B9)</f>
        <v>6</v>
      </c>
      <c r="Q10" s="45">
        <f>COUNTIF(Trackerdata[Another Type],"&lt;"&amp;$B9)</f>
        <v>0</v>
      </c>
      <c r="R10" s="47">
        <f>COUNTIF(Trackerdata[Another Type 2],"&lt;"&amp;$B9)</f>
        <v>0</v>
      </c>
      <c r="S10" s="29">
        <f>COUNTIF(Trackerdata[Homework One],"&lt;"&amp;($B9/100)*S$2)</f>
        <v>0</v>
      </c>
      <c r="T10" s="29">
        <f>COUNTIF(Trackerdata[Classwork  One],"&lt;"&amp;($B9/100)*T$2)</f>
        <v>0</v>
      </c>
      <c r="U10" s="29">
        <f>COUNTIF(Trackerdata[Homework Two],"&lt;"&amp;($B9/100)*U$2)</f>
        <v>0</v>
      </c>
      <c r="V10" s="29">
        <f>COUNTIF(Trackerdata[First Test],"&lt;"&amp;($B9/100)*V$2)</f>
        <v>0</v>
      </c>
      <c r="W10" s="29">
        <f>COUNTIF(Trackerdata[Project],"&lt;"&amp;($B9/100)*W$2)</f>
        <v>0</v>
      </c>
      <c r="X10" s="29">
        <f>COUNTIF(Trackerdata[Assessment 2],"&lt;"&amp;($B9/100)*X$2)</f>
        <v>0</v>
      </c>
      <c r="Y10" s="29">
        <f>COUNTIF(Trackerdata[Assessment 3],"&lt;"&amp;($B9/100)*Y$2)</f>
        <v>0</v>
      </c>
      <c r="Z10" s="29">
        <f>COUNTIF(Trackerdata[Assessment 4],"&lt;"&amp;($B9/100)*Z$2)</f>
        <v>0</v>
      </c>
      <c r="AA10" s="29">
        <f>COUNTIF(Trackerdata[Assessment 5],"&lt;"&amp;($B9/100)*AA$2)</f>
        <v>0</v>
      </c>
      <c r="AB10" s="29">
        <f>COUNTIF(Trackerdata[Assessment 6],"&lt;"&amp;($B9/100)*AB$2)</f>
        <v>0</v>
      </c>
      <c r="AC10" s="29">
        <f>COUNTIF(Trackerdata[Assessment 7],"&lt;"&amp;($B9/100)*AC$2)</f>
        <v>0</v>
      </c>
      <c r="AD10" s="29">
        <f>COUNTIF(Trackerdata[Assessment 8],"&lt;"&amp;($B9/100)*AD$2)</f>
        <v>0</v>
      </c>
      <c r="AE10" s="29">
        <f>COUNTIF(Trackerdata[Assessment 9],"&lt;"&amp;($B9/100)*AE$2)</f>
        <v>0</v>
      </c>
      <c r="AF10" s="29">
        <f>COUNTIF(Trackerdata[Assessment 10],"&lt;"&amp;($B9/100)*AF$2)</f>
        <v>0</v>
      </c>
      <c r="AG10" s="29">
        <f>COUNTIF(Trackerdata[Assessment 11],"&lt;"&amp;($B9/100)*AG$2)</f>
        <v>0</v>
      </c>
      <c r="AH10" s="29">
        <f>COUNTIF(Trackerdata[Assessment 12],"&lt;"&amp;($B9/100)*AH$2)</f>
        <v>0</v>
      </c>
      <c r="AI10" s="29">
        <f>COUNTIF(Trackerdata[Assessment 13],"&lt;"&amp;($B9/100)*AI$2)</f>
        <v>0</v>
      </c>
      <c r="AJ10" s="29">
        <f>COUNTIF(Trackerdata[Assessment 14],"&lt;"&amp;($B9/100)*AJ$2)</f>
        <v>0</v>
      </c>
      <c r="AK10" s="29">
        <f>COUNTIF(Trackerdata[Assessment 15],"&lt;"&amp;($B9/100)*AK$2)</f>
        <v>0</v>
      </c>
      <c r="AL10" s="29">
        <f>COUNTIF(Trackerdata[Assessment 16],"&lt;"&amp;($B9/100)*AL$2)</f>
        <v>0</v>
      </c>
      <c r="AM10" s="29">
        <f>COUNTIF(Trackerdata[Assessment 17],"&lt;"&amp;($B9/100)*AM$2)</f>
        <v>0</v>
      </c>
      <c r="AN10" s="29">
        <f>COUNTIF(Trackerdata[Assessment 18],"&lt;"&amp;($B9/100)*AN$2)</f>
        <v>0</v>
      </c>
      <c r="AO10" s="29">
        <f>COUNTIF(Trackerdata[Assessment 19],"&lt;"&amp;($B9/100)*AO$2)</f>
        <v>0</v>
      </c>
      <c r="AP10" s="29">
        <f>COUNTIF(Trackerdata[Assessment 20],"&lt;"&amp;($B9/100)*AP$2)</f>
        <v>0</v>
      </c>
      <c r="AQ10" s="29">
        <f>COUNTIF(Trackerdata[Assessment 21],"&lt;"&amp;($B9/100)*AQ$2)</f>
        <v>0</v>
      </c>
      <c r="AR10" s="29">
        <f>COUNTIF(Trackerdata[Assessment 22],"&lt;"&amp;($B9/100)*AR$2)</f>
        <v>0</v>
      </c>
      <c r="AS10" s="29">
        <f>COUNTIF(Trackerdata[Assessment 23],"&lt;"&amp;($B9/100)*AS$2)</f>
        <v>0</v>
      </c>
      <c r="AT10" s="29">
        <f>COUNTIF(Trackerdata[Assessment 24],"&lt;"&amp;($B9/100)*AT$2)</f>
        <v>0</v>
      </c>
      <c r="AU10" s="29">
        <f>COUNTIF(Trackerdata[Assessment 25],"&lt;"&amp;($B9/100)*AU$2)</f>
        <v>0</v>
      </c>
      <c r="AV10" s="29">
        <f>COUNTIF(Trackerdata[Assessment | Insert new columns before here],"&lt;"&amp;($B9/100)*AV$2)</f>
        <v>0</v>
      </c>
      <c r="AW10" s="32"/>
    </row>
    <row r="11" spans="1:49" s="2" customFormat="1" ht="135" customHeight="1">
      <c r="A11" s="60" t="s">
        <v>3</v>
      </c>
      <c r="B11" s="61" t="s">
        <v>4</v>
      </c>
      <c r="C11" s="62" t="s">
        <v>5</v>
      </c>
      <c r="D11" s="62" t="s">
        <v>6</v>
      </c>
      <c r="E11" s="62" t="s">
        <v>7</v>
      </c>
      <c r="F11" s="62" t="s">
        <v>8</v>
      </c>
      <c r="G11" s="62" t="s">
        <v>9</v>
      </c>
      <c r="H11" s="62" t="s">
        <v>441</v>
      </c>
      <c r="I11" s="62" t="s">
        <v>442</v>
      </c>
      <c r="J11" s="62" t="s">
        <v>11</v>
      </c>
      <c r="K11" s="89" t="s">
        <v>443</v>
      </c>
      <c r="L11" s="89" t="s">
        <v>494</v>
      </c>
      <c r="M11" s="88" t="s">
        <v>459</v>
      </c>
      <c r="N11" s="88" t="s">
        <v>460</v>
      </c>
      <c r="O11" s="88" t="s">
        <v>461</v>
      </c>
      <c r="P11" s="88" t="s">
        <v>12</v>
      </c>
      <c r="Q11" s="88" t="s">
        <v>465</v>
      </c>
      <c r="R11" s="88" t="s">
        <v>464</v>
      </c>
      <c r="S11" s="86" t="s">
        <v>454</v>
      </c>
      <c r="T11" s="86" t="s">
        <v>455</v>
      </c>
      <c r="U11" s="86" t="s">
        <v>456</v>
      </c>
      <c r="V11" s="86" t="s">
        <v>457</v>
      </c>
      <c r="W11" s="86" t="s">
        <v>458</v>
      </c>
      <c r="X11" s="86" t="s">
        <v>13</v>
      </c>
      <c r="Y11" s="86" t="s">
        <v>14</v>
      </c>
      <c r="Z11" s="86" t="s">
        <v>15</v>
      </c>
      <c r="AA11" s="86" t="s">
        <v>16</v>
      </c>
      <c r="AB11" s="86" t="s">
        <v>17</v>
      </c>
      <c r="AC11" s="86" t="s">
        <v>18</v>
      </c>
      <c r="AD11" s="86" t="s">
        <v>19</v>
      </c>
      <c r="AE11" s="86" t="s">
        <v>20</v>
      </c>
      <c r="AF11" s="86" t="s">
        <v>21</v>
      </c>
      <c r="AG11" s="86" t="s">
        <v>22</v>
      </c>
      <c r="AH11" s="86" t="s">
        <v>23</v>
      </c>
      <c r="AI11" s="86" t="s">
        <v>24</v>
      </c>
      <c r="AJ11" s="86" t="s">
        <v>25</v>
      </c>
      <c r="AK11" s="86" t="s">
        <v>26</v>
      </c>
      <c r="AL11" s="86" t="s">
        <v>27</v>
      </c>
      <c r="AM11" s="86" t="s">
        <v>28</v>
      </c>
      <c r="AN11" s="86" t="s">
        <v>29</v>
      </c>
      <c r="AO11" s="86" t="s">
        <v>30</v>
      </c>
      <c r="AP11" s="86" t="s">
        <v>31</v>
      </c>
      <c r="AQ11" s="86" t="s">
        <v>32</v>
      </c>
      <c r="AR11" s="86" t="s">
        <v>33</v>
      </c>
      <c r="AS11" s="86" t="s">
        <v>34</v>
      </c>
      <c r="AT11" s="86" t="s">
        <v>35</v>
      </c>
      <c r="AU11" s="86" t="s">
        <v>36</v>
      </c>
      <c r="AV11" s="87" t="s">
        <v>437</v>
      </c>
      <c r="AW11" s="31"/>
    </row>
    <row r="12" spans="1:49" s="2" customFormat="1">
      <c r="A12" s="63">
        <v>1</v>
      </c>
      <c r="B12" s="64" t="s">
        <v>37</v>
      </c>
      <c r="C12" s="65"/>
      <c r="D12" s="65"/>
      <c r="E12" s="65"/>
      <c r="F12" s="65"/>
      <c r="G12" s="65"/>
      <c r="H12" s="65">
        <f>IFERROR(VLOOKUP(Trackerdata[[#This Row],[Name]],AbsentTardyTable[[Student]:[Lates]],2,FALSE),"No match")</f>
        <v>1</v>
      </c>
      <c r="I12" s="65">
        <f>IFERROR(VLOOKUP(Trackerdata[[#This Row],[Name]],AbsentTardyTable[[Student]:[Lates]],3,FALSE),"No match")</f>
        <v>0</v>
      </c>
      <c r="J12" s="65"/>
      <c r="K12" s="57">
        <f t="shared" ref="K12:K21" si="0">IFERROR(SUMPRODUCT(PercentageBreakdownCells,$M12:$R12)/SUM(PercentageBreakdownCells),"")</f>
        <v>100</v>
      </c>
      <c r="L12" s="57" t="str">
        <f>VLOOKUP(Trackerdata[[#This Row],[Running Average]],TableOfLetterGrades[],2,TRUE)</f>
        <v>A+</v>
      </c>
      <c r="M12" s="57">
        <f t="shared" ref="M12:M21" si="1">IFERROR(SUMPRODUCT($S12:$AV12,$S$3:$AV$3,--($S12:$AV12&lt;&gt;"Excused"),--($S$1:$AV$1=M$11))/SUMPRODUCT($S$2:$AV$2,$S$3:$AV$3,--($S12:$AV12&lt;&gt;"Excused"),--($S$1:$AV$1=M$11))*100,"")</f>
        <v>100</v>
      </c>
      <c r="N12" s="57">
        <f t="shared" ref="N12:R21" si="2">IFERROR(SUMPRODUCT($S12:$AV12,$S$3:$AV$3,--($S12:$AV12&lt;&gt;"Excused"),--($S$1:$AV$1=N$11))/SUMPRODUCT($S$2:$AV$2,$S$3:$AV$3,--($S12:$AV12&lt;&gt;"Excused"),--($S$1:$AV$1=N$11))*100,"")</f>
        <v>100</v>
      </c>
      <c r="O12" s="57">
        <f t="shared" si="2"/>
        <v>100</v>
      </c>
      <c r="P12" s="57">
        <f t="shared" si="2"/>
        <v>100</v>
      </c>
      <c r="Q12" s="57" t="str">
        <f t="shared" si="2"/>
        <v/>
      </c>
      <c r="R12" s="57" t="str">
        <f t="shared" si="2"/>
        <v/>
      </c>
      <c r="S12" s="65">
        <v>10</v>
      </c>
      <c r="T12" s="65">
        <v>15</v>
      </c>
      <c r="U12" s="65">
        <v>5</v>
      </c>
      <c r="V12" s="65">
        <v>50</v>
      </c>
      <c r="W12" s="65">
        <v>10</v>
      </c>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6"/>
    </row>
    <row r="13" spans="1:49" s="2" customFormat="1">
      <c r="A13" s="63">
        <v>1</v>
      </c>
      <c r="B13" s="64" t="s">
        <v>38</v>
      </c>
      <c r="C13" s="65"/>
      <c r="D13" s="65"/>
      <c r="E13" s="65"/>
      <c r="F13" s="65"/>
      <c r="G13" s="65"/>
      <c r="H13" s="65">
        <f>IFERROR(VLOOKUP(Trackerdata[[#This Row],[Name]],AbsentTardyTable[[Student]:[Lates]],2,FALSE),"No match")</f>
        <v>0</v>
      </c>
      <c r="I13" s="65">
        <f>IFERROR(VLOOKUP(Trackerdata[[#This Row],[Name]],AbsentTardyTable[[Student]:[Lates]],3,FALSE),"No match")</f>
        <v>1</v>
      </c>
      <c r="J13" s="65"/>
      <c r="K13" s="57">
        <f t="shared" si="0"/>
        <v>89.733333333333334</v>
      </c>
      <c r="L13" s="57" t="str">
        <f>VLOOKUP(Trackerdata[[#This Row],[Running Average]],TableOfLetterGrades[],2,TRUE)</f>
        <v>B+</v>
      </c>
      <c r="M13" s="57">
        <f t="shared" si="1"/>
        <v>80</v>
      </c>
      <c r="N13" s="57">
        <f t="shared" si="2"/>
        <v>66.666666666666657</v>
      </c>
      <c r="O13" s="57">
        <f t="shared" si="2"/>
        <v>96</v>
      </c>
      <c r="P13" s="57">
        <f t="shared" si="2"/>
        <v>100</v>
      </c>
      <c r="Q13" s="57" t="str">
        <f t="shared" si="2"/>
        <v/>
      </c>
      <c r="R13" s="57" t="str">
        <f t="shared" si="2"/>
        <v/>
      </c>
      <c r="S13" s="65">
        <v>8</v>
      </c>
      <c r="T13" s="65">
        <v>10</v>
      </c>
      <c r="U13" s="65">
        <v>4</v>
      </c>
      <c r="V13" s="65">
        <v>48</v>
      </c>
      <c r="W13" s="65">
        <v>10</v>
      </c>
      <c r="X13" s="65"/>
      <c r="Y13" s="65"/>
      <c r="Z13" s="65"/>
      <c r="AA13" s="65"/>
      <c r="AB13" s="65"/>
      <c r="AC13" s="65"/>
      <c r="AD13" s="65"/>
      <c r="AE13" s="65"/>
      <c r="AF13" s="65"/>
      <c r="AG13" s="65"/>
      <c r="AH13" s="65"/>
      <c r="AI13" s="65"/>
      <c r="AJ13" s="65"/>
      <c r="AK13" s="65"/>
      <c r="AL13" s="65"/>
      <c r="AM13" s="65"/>
      <c r="AN13" s="65"/>
      <c r="AO13" s="65"/>
      <c r="AP13" s="65"/>
      <c r="AQ13" s="65"/>
      <c r="AR13" s="65"/>
      <c r="AS13" s="65"/>
      <c r="AT13" s="65"/>
      <c r="AU13" s="65"/>
      <c r="AV13" s="66"/>
    </row>
    <row r="14" spans="1:49" s="2" customFormat="1">
      <c r="A14" s="63">
        <v>1</v>
      </c>
      <c r="B14" s="64" t="s">
        <v>39</v>
      </c>
      <c r="C14" s="65"/>
      <c r="D14" s="65"/>
      <c r="E14" s="65"/>
      <c r="F14" s="65"/>
      <c r="G14" s="65"/>
      <c r="H14" s="65">
        <f>IFERROR(VLOOKUP(Trackerdata[[#This Row],[Name]],AbsentTardyTable[[Student]:[Lates]],2,FALSE),"No match")</f>
        <v>2</v>
      </c>
      <c r="I14" s="65">
        <f>IFERROR(VLOOKUP(Trackerdata[[#This Row],[Name]],AbsentTardyTable[[Student]:[Lates]],3,FALSE),"No match")</f>
        <v>0</v>
      </c>
      <c r="J14" s="65"/>
      <c r="K14" s="57">
        <f t="shared" si="0"/>
        <v>82</v>
      </c>
      <c r="L14" s="57" t="str">
        <f>VLOOKUP(Trackerdata[[#This Row],[Running Average]],TableOfLetterGrades[],2,TRUE)</f>
        <v>B-</v>
      </c>
      <c r="M14" s="57">
        <f t="shared" si="1"/>
        <v>100</v>
      </c>
      <c r="N14" s="57">
        <f t="shared" si="2"/>
        <v>80</v>
      </c>
      <c r="O14" s="57">
        <f t="shared" si="2"/>
        <v>80</v>
      </c>
      <c r="P14" s="57">
        <f t="shared" si="2"/>
        <v>80</v>
      </c>
      <c r="Q14" s="57" t="str">
        <f t="shared" si="2"/>
        <v/>
      </c>
      <c r="R14" s="57" t="str">
        <f t="shared" si="2"/>
        <v/>
      </c>
      <c r="S14" s="65">
        <v>10</v>
      </c>
      <c r="T14" s="65">
        <v>12</v>
      </c>
      <c r="U14" s="65" t="s">
        <v>40</v>
      </c>
      <c r="V14" s="65">
        <v>40</v>
      </c>
      <c r="W14" s="65">
        <v>8</v>
      </c>
      <c r="X14" s="65"/>
      <c r="Y14" s="65"/>
      <c r="Z14" s="65"/>
      <c r="AA14" s="65"/>
      <c r="AB14" s="65"/>
      <c r="AC14" s="65"/>
      <c r="AD14" s="65"/>
      <c r="AE14" s="65"/>
      <c r="AF14" s="65"/>
      <c r="AG14" s="65"/>
      <c r="AH14" s="65"/>
      <c r="AI14" s="65"/>
      <c r="AJ14" s="65"/>
      <c r="AK14" s="65"/>
      <c r="AL14" s="65"/>
      <c r="AM14" s="65"/>
      <c r="AN14" s="65"/>
      <c r="AO14" s="65"/>
      <c r="AP14" s="65"/>
      <c r="AQ14" s="65"/>
      <c r="AR14" s="65"/>
      <c r="AS14" s="65"/>
      <c r="AT14" s="65"/>
      <c r="AU14" s="65"/>
      <c r="AV14" s="66"/>
    </row>
    <row r="15" spans="1:49" s="2" customFormat="1">
      <c r="A15" s="63">
        <v>1</v>
      </c>
      <c r="B15" s="64" t="s">
        <v>41</v>
      </c>
      <c r="C15" s="65"/>
      <c r="D15" s="65"/>
      <c r="E15" s="65"/>
      <c r="F15" s="65"/>
      <c r="G15" s="65"/>
      <c r="H15" s="65">
        <f>IFERROR(VLOOKUP(Trackerdata[[#This Row],[Name]],AbsentTardyTable[[Student]:[Lates]],2,FALSE),"No match")</f>
        <v>0</v>
      </c>
      <c r="I15" s="65">
        <f>IFERROR(VLOOKUP(Trackerdata[[#This Row],[Name]],AbsentTardyTable[[Student]:[Lates]],3,FALSE),"No match")</f>
        <v>0</v>
      </c>
      <c r="J15" s="65"/>
      <c r="K15" s="57">
        <f t="shared" si="0"/>
        <v>88.333333333333343</v>
      </c>
      <c r="L15" s="57" t="str">
        <f>VLOOKUP(Trackerdata[[#This Row],[Running Average]],TableOfLetterGrades[],2,TRUE)</f>
        <v>B+</v>
      </c>
      <c r="M15" s="57">
        <f t="shared" si="1"/>
        <v>93.333333333333329</v>
      </c>
      <c r="N15" s="57">
        <f t="shared" si="2"/>
        <v>100</v>
      </c>
      <c r="O15" s="57">
        <f t="shared" si="2"/>
        <v>80</v>
      </c>
      <c r="P15" s="57">
        <f t="shared" si="2"/>
        <v>90</v>
      </c>
      <c r="Q15" s="57" t="str">
        <f t="shared" si="2"/>
        <v/>
      </c>
      <c r="R15" s="57" t="str">
        <f t="shared" si="2"/>
        <v/>
      </c>
      <c r="S15" s="65">
        <v>10</v>
      </c>
      <c r="T15" s="65">
        <v>15</v>
      </c>
      <c r="U15" s="65">
        <v>4</v>
      </c>
      <c r="V15" s="65">
        <v>40</v>
      </c>
      <c r="W15" s="65">
        <v>9</v>
      </c>
      <c r="X15" s="65"/>
      <c r="Y15" s="65"/>
      <c r="Z15" s="65"/>
      <c r="AA15" s="65"/>
      <c r="AB15" s="65"/>
      <c r="AC15" s="65"/>
      <c r="AD15" s="65"/>
      <c r="AE15" s="65"/>
      <c r="AF15" s="65"/>
      <c r="AG15" s="65"/>
      <c r="AH15" s="65"/>
      <c r="AI15" s="65"/>
      <c r="AJ15" s="65"/>
      <c r="AK15" s="65"/>
      <c r="AL15" s="65"/>
      <c r="AM15" s="65"/>
      <c r="AN15" s="65"/>
      <c r="AO15" s="67"/>
      <c r="AP15" s="67"/>
      <c r="AQ15" s="67"/>
      <c r="AR15" s="67"/>
      <c r="AS15" s="67"/>
      <c r="AT15" s="67"/>
      <c r="AU15" s="67"/>
      <c r="AV15" s="68"/>
    </row>
    <row r="16" spans="1:49" s="2" customFormat="1">
      <c r="A16" s="63">
        <v>1</v>
      </c>
      <c r="B16" s="64" t="s">
        <v>42</v>
      </c>
      <c r="C16" s="65"/>
      <c r="D16" s="65"/>
      <c r="E16" s="65"/>
      <c r="F16" s="65"/>
      <c r="G16" s="65"/>
      <c r="H16" s="65">
        <f>IFERROR(VLOOKUP(Trackerdata[[#This Row],[Name]],AbsentTardyTable[[Student]:[Lates]],2,FALSE),"No match")</f>
        <v>0</v>
      </c>
      <c r="I16" s="65">
        <f>IFERROR(VLOOKUP(Trackerdata[[#This Row],[Name]],AbsentTardyTable[[Student]:[Lates]],3,FALSE),"No match")</f>
        <v>0</v>
      </c>
      <c r="J16" s="65"/>
      <c r="K16" s="57">
        <f t="shared" si="0"/>
        <v>0</v>
      </c>
      <c r="L16" s="57" t="str">
        <f>VLOOKUP(Trackerdata[[#This Row],[Running Average]],TableOfLetterGrades[],2,TRUE)</f>
        <v>F</v>
      </c>
      <c r="M16" s="57">
        <f t="shared" si="1"/>
        <v>0</v>
      </c>
      <c r="N16" s="57">
        <f t="shared" si="2"/>
        <v>0</v>
      </c>
      <c r="O16" s="57">
        <f t="shared" si="2"/>
        <v>0</v>
      </c>
      <c r="P16" s="57">
        <f t="shared" si="2"/>
        <v>0</v>
      </c>
      <c r="Q16" s="57" t="str">
        <f t="shared" si="2"/>
        <v/>
      </c>
      <c r="R16" s="57" t="str">
        <f t="shared" si="2"/>
        <v/>
      </c>
      <c r="S16" s="65"/>
      <c r="T16" s="65"/>
      <c r="U16" s="65"/>
      <c r="V16" s="65"/>
      <c r="W16" s="65"/>
      <c r="X16" s="65"/>
      <c r="Y16" s="65"/>
      <c r="Z16" s="65"/>
      <c r="AA16" s="65"/>
      <c r="AB16" s="65"/>
      <c r="AC16" s="65"/>
      <c r="AD16" s="65"/>
      <c r="AE16" s="65"/>
      <c r="AF16" s="65"/>
      <c r="AG16" s="65"/>
      <c r="AH16" s="65"/>
      <c r="AI16" s="65"/>
      <c r="AJ16" s="65"/>
      <c r="AK16" s="65"/>
      <c r="AL16" s="65"/>
      <c r="AM16" s="65"/>
      <c r="AN16" s="65"/>
      <c r="AO16" s="65"/>
      <c r="AP16" s="65"/>
      <c r="AQ16" s="65"/>
      <c r="AR16" s="65"/>
      <c r="AS16" s="65"/>
      <c r="AT16" s="65"/>
      <c r="AU16" s="65"/>
      <c r="AV16" s="66"/>
    </row>
    <row r="17" spans="1:48" s="2" customFormat="1">
      <c r="A17" s="63">
        <v>1</v>
      </c>
      <c r="B17" s="64" t="s">
        <v>43</v>
      </c>
      <c r="C17" s="65"/>
      <c r="D17" s="65"/>
      <c r="E17" s="65"/>
      <c r="F17" s="65"/>
      <c r="G17" s="65"/>
      <c r="H17" s="65">
        <f>IFERROR(VLOOKUP(Trackerdata[[#This Row],[Name]],AbsentTardyTable[[Student]:[Lates]],2,FALSE),"No match")</f>
        <v>0</v>
      </c>
      <c r="I17" s="65">
        <f>IFERROR(VLOOKUP(Trackerdata[[#This Row],[Name]],AbsentTardyTable[[Student]:[Lates]],3,FALSE),"No match")</f>
        <v>0</v>
      </c>
      <c r="J17" s="65"/>
      <c r="K17" s="57">
        <f t="shared" si="0"/>
        <v>0</v>
      </c>
      <c r="L17" s="57" t="str">
        <f>VLOOKUP(Trackerdata[[#This Row],[Running Average]],TableOfLetterGrades[],2,TRUE)</f>
        <v>F</v>
      </c>
      <c r="M17" s="57">
        <f t="shared" si="1"/>
        <v>0</v>
      </c>
      <c r="N17" s="57">
        <f t="shared" si="2"/>
        <v>0</v>
      </c>
      <c r="O17" s="57">
        <f t="shared" si="2"/>
        <v>0</v>
      </c>
      <c r="P17" s="57">
        <f t="shared" si="2"/>
        <v>0</v>
      </c>
      <c r="Q17" s="57" t="str">
        <f t="shared" si="2"/>
        <v/>
      </c>
      <c r="R17" s="57" t="str">
        <f t="shared" si="2"/>
        <v/>
      </c>
      <c r="S17" s="65"/>
      <c r="T17" s="65"/>
      <c r="U17" s="65"/>
      <c r="V17" s="65"/>
      <c r="W17" s="65"/>
      <c r="X17" s="65"/>
      <c r="Y17" s="65"/>
      <c r="Z17" s="65"/>
      <c r="AA17" s="65"/>
      <c r="AB17" s="65"/>
      <c r="AC17" s="65"/>
      <c r="AD17" s="65"/>
      <c r="AE17" s="65"/>
      <c r="AF17" s="65"/>
      <c r="AG17" s="65"/>
      <c r="AH17" s="65"/>
      <c r="AI17" s="65"/>
      <c r="AJ17" s="65"/>
      <c r="AK17" s="65"/>
      <c r="AL17" s="65"/>
      <c r="AM17" s="65"/>
      <c r="AN17" s="65"/>
      <c r="AO17" s="65"/>
      <c r="AP17" s="65"/>
      <c r="AQ17" s="65"/>
      <c r="AR17" s="65"/>
      <c r="AS17" s="65"/>
      <c r="AT17" s="65"/>
      <c r="AU17" s="65"/>
      <c r="AV17" s="66"/>
    </row>
    <row r="18" spans="1:48" s="2" customFormat="1">
      <c r="A18" s="63">
        <v>1</v>
      </c>
      <c r="B18" s="64" t="s">
        <v>44</v>
      </c>
      <c r="C18" s="65"/>
      <c r="D18" s="65"/>
      <c r="E18" s="65"/>
      <c r="F18" s="65"/>
      <c r="G18" s="65"/>
      <c r="H18" s="65">
        <f>IFERROR(VLOOKUP(Trackerdata[[#This Row],[Name]],AbsentTardyTable[[Student]:[Lates]],2,FALSE),"No match")</f>
        <v>0</v>
      </c>
      <c r="I18" s="65">
        <f>IFERROR(VLOOKUP(Trackerdata[[#This Row],[Name]],AbsentTardyTable[[Student]:[Lates]],3,FALSE),"No match")</f>
        <v>0</v>
      </c>
      <c r="J18" s="65"/>
      <c r="K18" s="57">
        <f t="shared" si="0"/>
        <v>0</v>
      </c>
      <c r="L18" s="57" t="str">
        <f>VLOOKUP(Trackerdata[[#This Row],[Running Average]],TableOfLetterGrades[],2,TRUE)</f>
        <v>F</v>
      </c>
      <c r="M18" s="57">
        <f t="shared" si="1"/>
        <v>0</v>
      </c>
      <c r="N18" s="57">
        <f t="shared" si="2"/>
        <v>0</v>
      </c>
      <c r="O18" s="57">
        <f t="shared" si="2"/>
        <v>0</v>
      </c>
      <c r="P18" s="57">
        <f t="shared" si="2"/>
        <v>0</v>
      </c>
      <c r="Q18" s="57" t="str">
        <f t="shared" si="2"/>
        <v/>
      </c>
      <c r="R18" s="57" t="str">
        <f t="shared" si="2"/>
        <v/>
      </c>
      <c r="S18" s="65"/>
      <c r="T18" s="65"/>
      <c r="U18" s="65"/>
      <c r="V18" s="65"/>
      <c r="W18" s="65"/>
      <c r="X18" s="65"/>
      <c r="Y18" s="65"/>
      <c r="Z18" s="65"/>
      <c r="AA18" s="65"/>
      <c r="AB18" s="65"/>
      <c r="AC18" s="65"/>
      <c r="AD18" s="65"/>
      <c r="AE18" s="65"/>
      <c r="AF18" s="65"/>
      <c r="AG18" s="65"/>
      <c r="AH18" s="65"/>
      <c r="AI18" s="65"/>
      <c r="AJ18" s="65"/>
      <c r="AK18" s="65"/>
      <c r="AL18" s="65"/>
      <c r="AM18" s="65"/>
      <c r="AN18" s="65"/>
      <c r="AO18" s="65"/>
      <c r="AP18" s="65"/>
      <c r="AQ18" s="65"/>
      <c r="AR18" s="65"/>
      <c r="AS18" s="65"/>
      <c r="AT18" s="65"/>
      <c r="AU18" s="65"/>
      <c r="AV18" s="66"/>
    </row>
    <row r="19" spans="1:48" s="2" customFormat="1">
      <c r="A19" s="63">
        <v>1</v>
      </c>
      <c r="B19" s="64" t="s">
        <v>45</v>
      </c>
      <c r="C19" s="65"/>
      <c r="D19" s="65"/>
      <c r="E19" s="65"/>
      <c r="F19" s="65"/>
      <c r="G19" s="65"/>
      <c r="H19" s="65">
        <f>IFERROR(VLOOKUP(Trackerdata[[#This Row],[Name]],AbsentTardyTable[[Student]:[Lates]],2,FALSE),"No match")</f>
        <v>0</v>
      </c>
      <c r="I19" s="65">
        <f>IFERROR(VLOOKUP(Trackerdata[[#This Row],[Name]],AbsentTardyTable[[Student]:[Lates]],3,FALSE),"No match")</f>
        <v>0</v>
      </c>
      <c r="J19" s="65"/>
      <c r="K19" s="57">
        <f t="shared" si="0"/>
        <v>0</v>
      </c>
      <c r="L19" s="57" t="str">
        <f>VLOOKUP(Trackerdata[[#This Row],[Running Average]],TableOfLetterGrades[],2,TRUE)</f>
        <v>F</v>
      </c>
      <c r="M19" s="57">
        <f t="shared" si="1"/>
        <v>0</v>
      </c>
      <c r="N19" s="57">
        <f t="shared" si="2"/>
        <v>0</v>
      </c>
      <c r="O19" s="57">
        <f t="shared" si="2"/>
        <v>0</v>
      </c>
      <c r="P19" s="57">
        <f t="shared" si="2"/>
        <v>0</v>
      </c>
      <c r="Q19" s="57" t="str">
        <f t="shared" si="2"/>
        <v/>
      </c>
      <c r="R19" s="57" t="str">
        <f t="shared" si="2"/>
        <v/>
      </c>
      <c r="S19" s="65"/>
      <c r="T19" s="65"/>
      <c r="U19" s="65"/>
      <c r="V19" s="65"/>
      <c r="W19" s="65"/>
      <c r="X19" s="65"/>
      <c r="Y19" s="65"/>
      <c r="Z19" s="65"/>
      <c r="AA19" s="65"/>
      <c r="AB19" s="65"/>
      <c r="AC19" s="65"/>
      <c r="AD19" s="65"/>
      <c r="AE19" s="65"/>
      <c r="AF19" s="65"/>
      <c r="AG19" s="65"/>
      <c r="AH19" s="65"/>
      <c r="AI19" s="65"/>
      <c r="AJ19" s="65"/>
      <c r="AK19" s="65"/>
      <c r="AL19" s="65"/>
      <c r="AM19" s="65"/>
      <c r="AN19" s="65"/>
      <c r="AO19" s="65"/>
      <c r="AP19" s="65"/>
      <c r="AQ19" s="65"/>
      <c r="AR19" s="65"/>
      <c r="AS19" s="65"/>
      <c r="AT19" s="65"/>
      <c r="AU19" s="65"/>
      <c r="AV19" s="66"/>
    </row>
    <row r="20" spans="1:48">
      <c r="A20" s="69">
        <v>1</v>
      </c>
      <c r="B20" s="70" t="s">
        <v>46</v>
      </c>
      <c r="C20" s="71"/>
      <c r="D20" s="71"/>
      <c r="E20" s="71"/>
      <c r="F20" s="71"/>
      <c r="G20" s="71"/>
      <c r="H20" s="71">
        <f>IFERROR(VLOOKUP(Trackerdata[[#This Row],[Name]],AbsentTardyTable[[Student]:[Lates]],2,FALSE),"No match")</f>
        <v>0</v>
      </c>
      <c r="I20" s="71">
        <f>IFERROR(VLOOKUP(Trackerdata[[#This Row],[Name]],AbsentTardyTable[[Student]:[Lates]],3,FALSE),"No match")</f>
        <v>0</v>
      </c>
      <c r="J20" s="71"/>
      <c r="K20" s="58">
        <f t="shared" si="0"/>
        <v>0</v>
      </c>
      <c r="L20" s="58" t="str">
        <f>VLOOKUP(Trackerdata[[#This Row],[Running Average]],TableOfLetterGrades[],2,TRUE)</f>
        <v>F</v>
      </c>
      <c r="M20" s="58">
        <f t="shared" si="1"/>
        <v>0</v>
      </c>
      <c r="N20" s="58">
        <f t="shared" si="2"/>
        <v>0</v>
      </c>
      <c r="O20" s="58">
        <f t="shared" si="2"/>
        <v>0</v>
      </c>
      <c r="P20" s="58">
        <f t="shared" si="2"/>
        <v>0</v>
      </c>
      <c r="Q20" s="58" t="str">
        <f t="shared" si="2"/>
        <v/>
      </c>
      <c r="R20" s="58" t="str">
        <f t="shared" si="2"/>
        <v/>
      </c>
      <c r="S20" s="72"/>
      <c r="T20" s="72"/>
      <c r="U20" s="71"/>
      <c r="V20" s="71"/>
      <c r="W20" s="72"/>
      <c r="X20" s="72"/>
      <c r="Y20" s="71"/>
      <c r="Z20" s="71"/>
      <c r="AA20" s="72"/>
      <c r="AB20" s="72"/>
      <c r="AC20" s="72"/>
      <c r="AD20" s="72"/>
      <c r="AE20" s="72"/>
      <c r="AF20" s="72"/>
      <c r="AG20" s="72"/>
      <c r="AH20" s="72"/>
      <c r="AI20" s="72"/>
      <c r="AJ20" s="72"/>
      <c r="AK20" s="72"/>
      <c r="AL20" s="72"/>
      <c r="AM20" s="72"/>
      <c r="AN20" s="72"/>
      <c r="AO20" s="72"/>
      <c r="AP20" s="72"/>
      <c r="AQ20" s="72"/>
      <c r="AR20" s="72"/>
      <c r="AS20" s="72"/>
      <c r="AT20" s="72"/>
      <c r="AU20" s="72"/>
      <c r="AV20" s="73"/>
    </row>
    <row r="21" spans="1:48">
      <c r="A21" s="74">
        <v>1</v>
      </c>
      <c r="B21" s="75" t="s">
        <v>47</v>
      </c>
      <c r="C21" s="76"/>
      <c r="D21" s="76"/>
      <c r="E21" s="76"/>
      <c r="F21" s="76"/>
      <c r="G21" s="76"/>
      <c r="H21" s="76">
        <f>IFERROR(VLOOKUP(Trackerdata[[#This Row],[Name]],AbsentTardyTable[[Student]:[Lates]],2,FALSE),"No match")</f>
        <v>0</v>
      </c>
      <c r="I21" s="76">
        <f>IFERROR(VLOOKUP(Trackerdata[[#This Row],[Name]],AbsentTardyTable[[Student]:[Lates]],3,FALSE),"No match")</f>
        <v>0</v>
      </c>
      <c r="J21" s="76"/>
      <c r="K21" s="59">
        <f t="shared" si="0"/>
        <v>0</v>
      </c>
      <c r="L21" s="59" t="str">
        <f>VLOOKUP(Trackerdata[[#This Row],[Running Average]],TableOfLetterGrades[],2,TRUE)</f>
        <v>F</v>
      </c>
      <c r="M21" s="59">
        <f t="shared" si="1"/>
        <v>0</v>
      </c>
      <c r="N21" s="59">
        <f t="shared" si="2"/>
        <v>0</v>
      </c>
      <c r="O21" s="59">
        <f t="shared" si="2"/>
        <v>0</v>
      </c>
      <c r="P21" s="59">
        <f t="shared" si="2"/>
        <v>0</v>
      </c>
      <c r="Q21" s="59" t="str">
        <f t="shared" si="2"/>
        <v/>
      </c>
      <c r="R21" s="59" t="str">
        <f t="shared" si="2"/>
        <v/>
      </c>
      <c r="S21" s="77"/>
      <c r="T21" s="77"/>
      <c r="U21" s="76"/>
      <c r="V21" s="76"/>
      <c r="W21" s="77"/>
      <c r="X21" s="77"/>
      <c r="Y21" s="76"/>
      <c r="Z21" s="76"/>
      <c r="AA21" s="77"/>
      <c r="AB21" s="77"/>
      <c r="AC21" s="77"/>
      <c r="AD21" s="77"/>
      <c r="AE21" s="77"/>
      <c r="AF21" s="77"/>
      <c r="AG21" s="77"/>
      <c r="AH21" s="77"/>
      <c r="AI21" s="77"/>
      <c r="AJ21" s="77"/>
      <c r="AK21" s="77"/>
      <c r="AL21" s="77"/>
      <c r="AM21" s="77"/>
      <c r="AN21" s="77"/>
      <c r="AO21" s="77"/>
      <c r="AP21" s="77"/>
      <c r="AQ21" s="77"/>
      <c r="AR21" s="77"/>
      <c r="AS21" s="77"/>
      <c r="AT21" s="77"/>
      <c r="AU21" s="77"/>
      <c r="AV21" s="78"/>
    </row>
    <row r="29" spans="1:48">
      <c r="B29" s="8" t="s">
        <v>495</v>
      </c>
    </row>
  </sheetData>
  <conditionalFormatting sqref="S3:AV3">
    <cfRule type="expression" dxfId="463" priority="14">
      <formula>AND(S$1="",S$2="")</formula>
    </cfRule>
    <cfRule type="expression" dxfId="462" priority="15">
      <formula>IF(AND(S$2&lt;&gt;"",S3=""),1,0)</formula>
    </cfRule>
  </conditionalFormatting>
  <conditionalFormatting sqref="S12:AV21">
    <cfRule type="expression" dxfId="461" priority="16">
      <formula>IFERROR(AND(IF(S12/S$2*100&lt;Greenthreshold,1,""),IF(S12/S$2*100&gt;=Yellowthreshold,1,""),(ColorTable="yes"),S12&lt;&gt;""),"")</formula>
    </cfRule>
    <cfRule type="expression" dxfId="460" priority="17">
      <formula>IFERROR(AND(IF(S12/S$2*100&gt;=Greenthreshold,1,""),(ColorTable="yes")),"")</formula>
    </cfRule>
    <cfRule type="expression" dxfId="459" priority="1">
      <formula>IFERROR(AND(IF(S12/S$2*100&lt;Yellowthreshold,1,""),(ColorTable="yes"),IF(S12&lt;&gt;"",1,0)),"")</formula>
    </cfRule>
  </conditionalFormatting>
  <conditionalFormatting sqref="K12:L21">
    <cfRule type="expression" dxfId="458" priority="12">
      <formula>IFERROR(AND(IF($K12&gt;=Greenthreshold,1,""),(ColorTable="yes"),$K12&lt;&gt;""),"")</formula>
    </cfRule>
    <cfRule type="expression" dxfId="457" priority="13">
      <formula>IFERROR(AND(IF($K12&lt;Greenthreshold,1,""),IF($K12&gt;=Yellowthreshold,1,""),(ColorTable="yes"),$K12&lt;&gt;""),"")</formula>
    </cfRule>
    <cfRule type="expression" dxfId="456" priority="3">
      <formula>IFERROR(AND(IF($K12&lt;Yellowthreshold,1,""),(ColorTable="yes"),$K12&lt;&gt;""),"")</formula>
    </cfRule>
  </conditionalFormatting>
  <conditionalFormatting sqref="M12:R21">
    <cfRule type="expression" dxfId="455" priority="10">
      <formula>IFERROR(AND(IF(M12&gt;=Greenthreshold,1,""),(ColorTable="yes"),M12&lt;&gt;""),"")</formula>
    </cfRule>
    <cfRule type="expression" dxfId="454" priority="11">
      <formula>IFERROR(AND(IF(M12&lt;Greenthreshold,1,""),IF(M12&gt;=Yellowthreshold,1,""),(ColorTable="yes"),M12&lt;&gt;""),"")</formula>
    </cfRule>
    <cfRule type="expression" dxfId="453" priority="2">
      <formula>IFERROR(AND(IF(M12&lt;Yellowthreshold,1,""),(ColorTable="yes"),M12&lt;&gt;""),"")</formula>
    </cfRule>
  </conditionalFormatting>
  <conditionalFormatting sqref="S2:AV2">
    <cfRule type="expression" dxfId="452" priority="9">
      <formula>IF(OR(AND(S$2="",SUM(S$6:S$10)&lt;&gt;0),AND(S$2="",S1&lt;&gt;"")),1,0)</formula>
    </cfRule>
  </conditionalFormatting>
  <conditionalFormatting sqref="S11:AV11">
    <cfRule type="expression" dxfId="451" priority="8">
      <formula>IF(AND(OR(S$1="",S$2="",S$3=""),SUM(S$6:S$10)&lt;&gt;0),1,0)</formula>
    </cfRule>
  </conditionalFormatting>
  <conditionalFormatting sqref="M3">
    <cfRule type="expression" dxfId="450" priority="6">
      <formula>IF(LEFT(M3,7)="Caution",1,0)</formula>
    </cfRule>
  </conditionalFormatting>
  <conditionalFormatting sqref="S1:AV1">
    <cfRule type="expression" dxfId="449" priority="5">
      <formula>IF(AND(S1="",OR(S2&lt;&gt;"",SUM(S12:S21)&lt;&gt;0)),1,0)</formula>
    </cfRule>
  </conditionalFormatting>
  <dataValidations xWindow="459" yWindow="679" count="9">
    <dataValidation type="list" errorStyle="information" allowBlank="1" showInputMessage="1" showErrorMessage="1" errorTitle="Use Consistent Names Here" error="You want the assessment type names to be *perfectly* consistent._x000a__x000a_Tip: Use the in-cell dropdown_x000a__x000a_Did you want to customize the assessment types names? _x000a_Then edit the assessment type names starting in cell M11" sqref="S1:AV1">
      <formula1>$M$11:$R$11</formula1>
    </dataValidation>
    <dataValidation errorStyle="information" allowBlank="1" showInputMessage="1" showErrorMessage="1" errorTitle="Invalid Category" error="Please enter &quot;Grade&quot;, &quot;Mastery&quot;, or &quot;Helper&quot;._x000a__x000a_These categories help to calculate summary information." sqref="S2:AV2"/>
    <dataValidation allowBlank="1" sqref="A12:A21"/>
    <dataValidation allowBlank="1" showErrorMessage="1" promptTitle="Assessment Type Percent" prompt="Enter the percent of the running average you want to be from this assessment type (Ex: Homework could be 10%)" sqref="M4:R4"/>
    <dataValidation allowBlank="1" showErrorMessage="1" sqref="M3"/>
    <dataValidation allowBlank="1" showInputMessage="1" showErrorMessage="1" promptTitle="Averages By Assessment Type" prompt="These cells are not for typing in scores. Instead these are averages calculated from the assignments to the right." sqref="M12:R21"/>
    <dataValidation type="custom" errorStyle="information" allowBlank="1" showErrorMessage="1" errorTitle="Hmm" error="These cells were not made to be reference to anything. You can add stuff if you'd like; else just hit cancel. =)" promptTitle="Data Hesre?" prompt="Go ahead and add numbe" sqref="C1:L4">
      <formula1>""</formula1>
    </dataValidation>
    <dataValidation allowBlank="1" showInputMessage="1" promptTitle="Editing the letter grade ranges" prompt="You can find this on the Options and Things to Try sheet._x000a_Note: the ranges for the sparklines charts are separate and are hidden in rows 6-10." sqref="L11:L21"/>
    <dataValidation allowBlank="1" showInputMessage="1" showErrorMessage="1" promptTitle="Point Multiplier" prompt="Generally leave at 100%, but you can make an assignment effectively worth more points._x000a_For instance, if a student earned 8 out of 10 points, a point multipler of 200% would make it this count as 16 out of 20 points." sqref="S3:AV3"/>
  </dataValidations>
  <pageMargins left="0.7" right="0.7" top="0.75" bottom="0.75" header="0.3" footer="0.3"/>
  <pageSetup scale="86" fitToHeight="10" orientation="landscape"/>
  <ignoredErrors>
    <ignoredError sqref="M3" formulaRange="1"/>
  </ignoredErrors>
  <drawing r:id="rId1"/>
  <tableParts count="1">
    <tablePart r:id="rId2"/>
  </tableParts>
  <extLst>
    <ext xmlns:x14="http://schemas.microsoft.com/office/spreadsheetml/2009/9/main" uri="{05C60535-1F16-4fd2-B633-F4F36F0B64E0}">
      <x14:sparklineGroups xmlns:xm="http://schemas.microsoft.com/office/excel/2006/main">
        <x14:sparklineGroup manualMin="0" type="column" displayEmptyCellsAs="gap" displayXAxis="1" displayHidden="1" minAxisType="custom" rightToLeft="1">
          <x14:colorSeries theme="3" tint="0.39997558519241921"/>
          <x14:colorNegative rgb="FFD00000"/>
          <x14:colorAxis rgb="FF000000"/>
          <x14:colorMarkers rgb="FFD00000"/>
          <x14:colorFirst rgb="FFD00000"/>
          <x14:colorLast rgb="FFD00000"/>
          <x14:colorHigh rgb="FFD00000"/>
          <x14:colorLow rgb="FFD00000"/>
          <x14:sparklines>
            <x14:sparkline>
              <xm:f>'Data Entry'!K6:K10</xm:f>
              <xm:sqref>K5</xm:sqref>
            </x14:sparkline>
          </x14:sparklines>
        </x14:sparklineGroup>
        <x14:sparklineGroup manualMin="0" type="column" displayEmptyCellsAs="gap" displayXAxis="1" displayHidden="1" minAxisType="custom" rightToLeft="1">
          <x14:colorSeries theme="9" tint="-0.249977111117893"/>
          <x14:colorNegative rgb="FFD00000"/>
          <x14:colorAxis rgb="FF000000"/>
          <x14:colorMarkers rgb="FFD00000"/>
          <x14:colorFirst rgb="FFD00000"/>
          <x14:colorLast rgb="FFD00000"/>
          <x14:colorHigh rgb="FFD00000"/>
          <x14:colorLow rgb="FFD00000"/>
          <x14:sparklines>
            <x14:sparkline>
              <xm:f>'Data Entry'!S6:S10</xm:f>
              <xm:sqref>S5</xm:sqref>
            </x14:sparkline>
            <x14:sparkline>
              <xm:f>'Data Entry'!T6:T10</xm:f>
              <xm:sqref>T5</xm:sqref>
            </x14:sparkline>
            <x14:sparkline>
              <xm:f>'Data Entry'!U6:U10</xm:f>
              <xm:sqref>U5</xm:sqref>
            </x14:sparkline>
            <x14:sparkline>
              <xm:f>'Data Entry'!V6:V10</xm:f>
              <xm:sqref>V5</xm:sqref>
            </x14:sparkline>
            <x14:sparkline>
              <xm:f>'Data Entry'!W6:W10</xm:f>
              <xm:sqref>W5</xm:sqref>
            </x14:sparkline>
            <x14:sparkline>
              <xm:f>'Data Entry'!X6:X10</xm:f>
              <xm:sqref>X5</xm:sqref>
            </x14:sparkline>
            <x14:sparkline>
              <xm:f>'Data Entry'!Y6:Y10</xm:f>
              <xm:sqref>Y5</xm:sqref>
            </x14:sparkline>
            <x14:sparkline>
              <xm:f>'Data Entry'!Z6:Z10</xm:f>
              <xm:sqref>Z5</xm:sqref>
            </x14:sparkline>
            <x14:sparkline>
              <xm:f>'Data Entry'!AA6:AA10</xm:f>
              <xm:sqref>AA5</xm:sqref>
            </x14:sparkline>
            <x14:sparkline>
              <xm:f>'Data Entry'!AB6:AB10</xm:f>
              <xm:sqref>AB5</xm:sqref>
            </x14:sparkline>
            <x14:sparkline>
              <xm:f>'Data Entry'!AC6:AC10</xm:f>
              <xm:sqref>AC5</xm:sqref>
            </x14:sparkline>
            <x14:sparkline>
              <xm:f>'Data Entry'!AD6:AD10</xm:f>
              <xm:sqref>AD5</xm:sqref>
            </x14:sparkline>
            <x14:sparkline>
              <xm:f>'Data Entry'!AE6:AE10</xm:f>
              <xm:sqref>AE5</xm:sqref>
            </x14:sparkline>
            <x14:sparkline>
              <xm:f>'Data Entry'!AF6:AF10</xm:f>
              <xm:sqref>AF5</xm:sqref>
            </x14:sparkline>
            <x14:sparkline>
              <xm:f>'Data Entry'!AG6:AG10</xm:f>
              <xm:sqref>AG5</xm:sqref>
            </x14:sparkline>
            <x14:sparkline>
              <xm:f>'Data Entry'!AH6:AH10</xm:f>
              <xm:sqref>AH5</xm:sqref>
            </x14:sparkline>
            <x14:sparkline>
              <xm:f>'Data Entry'!AI6:AI10</xm:f>
              <xm:sqref>AI5</xm:sqref>
            </x14:sparkline>
            <x14:sparkline>
              <xm:f>'Data Entry'!AJ6:AJ10</xm:f>
              <xm:sqref>AJ5</xm:sqref>
            </x14:sparkline>
            <x14:sparkline>
              <xm:f>'Data Entry'!AK6:AK10</xm:f>
              <xm:sqref>AK5</xm:sqref>
            </x14:sparkline>
            <x14:sparkline>
              <xm:f>'Data Entry'!AL6:AL10</xm:f>
              <xm:sqref>AL5</xm:sqref>
            </x14:sparkline>
            <x14:sparkline>
              <xm:f>'Data Entry'!AM6:AM10</xm:f>
              <xm:sqref>AM5</xm:sqref>
            </x14:sparkline>
            <x14:sparkline>
              <xm:f>'Data Entry'!AN6:AN10</xm:f>
              <xm:sqref>AN5</xm:sqref>
            </x14:sparkline>
            <x14:sparkline>
              <xm:f>'Data Entry'!AO6:AO10</xm:f>
              <xm:sqref>AO5</xm:sqref>
            </x14:sparkline>
            <x14:sparkline>
              <xm:f>'Data Entry'!AP6:AP10</xm:f>
              <xm:sqref>AP5</xm:sqref>
            </x14:sparkline>
            <x14:sparkline>
              <xm:f>'Data Entry'!AQ6:AQ10</xm:f>
              <xm:sqref>AQ5</xm:sqref>
            </x14:sparkline>
            <x14:sparkline>
              <xm:f>'Data Entry'!AR6:AR10</xm:f>
              <xm:sqref>AR5</xm:sqref>
            </x14:sparkline>
            <x14:sparkline>
              <xm:f>'Data Entry'!AS6:AS10</xm:f>
              <xm:sqref>AS5</xm:sqref>
            </x14:sparkline>
            <x14:sparkline>
              <xm:f>'Data Entry'!AT6:AT10</xm:f>
              <xm:sqref>AT5</xm:sqref>
            </x14:sparkline>
            <x14:sparkline>
              <xm:f>'Data Entry'!AU6:AU10</xm:f>
              <xm:sqref>AU5</xm:sqref>
            </x14:sparkline>
            <x14:sparkline>
              <xm:f>'Data Entry'!AV6:AV10</xm:f>
              <xm:sqref>AV5</xm:sqref>
            </x14:sparkline>
          </x14:sparklines>
        </x14:sparklineGroup>
        <x14:sparklineGroup manualMin="0" type="column" displayEmptyCellsAs="gap" displayXAxis="1" displayHidden="1" minAxisType="custom" rightToLeft="1">
          <x14:colorSeries theme="2" tint="-0.499984740745262"/>
          <x14:colorNegative rgb="FFD00000"/>
          <x14:colorAxis rgb="FF000000"/>
          <x14:colorMarkers rgb="FFD00000"/>
          <x14:colorFirst rgb="FFD00000"/>
          <x14:colorLast rgb="FFD00000"/>
          <x14:colorHigh rgb="FFD00000"/>
          <x14:colorLow rgb="FFD00000"/>
          <x14:sparklines>
            <x14:sparkline>
              <xm:f>'Data Entry'!M6:M10</xm:f>
              <xm:sqref>M5</xm:sqref>
            </x14:sparkline>
            <x14:sparkline>
              <xm:f>'Data Entry'!N6:N10</xm:f>
              <xm:sqref>N5</xm:sqref>
            </x14:sparkline>
            <x14:sparkline>
              <xm:f>'Data Entry'!O6:O10</xm:f>
              <xm:sqref>O5</xm:sqref>
            </x14:sparkline>
            <x14:sparkline>
              <xm:f>'Data Entry'!P6:P10</xm:f>
              <xm:sqref>P5</xm:sqref>
            </x14:sparkline>
            <x14:sparkline>
              <xm:f>'Data Entry'!Q6:Q10</xm:f>
              <xm:sqref>Q5</xm:sqref>
            </x14:sparkline>
            <x14:sparkline>
              <xm:f>'Data Entry'!R6:R10</xm:f>
              <xm:sqref>R5</xm:sqref>
            </x14:sparkline>
          </x14:sparklines>
        </x14:sparklineGroup>
      </x14:sparklineGroup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499984740745262"/>
  </sheetPr>
  <dimension ref="A1:D61"/>
  <sheetViews>
    <sheetView workbookViewId="0"/>
  </sheetViews>
  <sheetFormatPr baseColWidth="10" defaultColWidth="8.83203125" defaultRowHeight="14" x14ac:dyDescent="0"/>
  <cols>
    <col min="1" max="1" width="20" bestFit="1" customWidth="1"/>
    <col min="2" max="2" width="9.5" customWidth="1"/>
    <col min="3" max="3" width="8.6640625" customWidth="1"/>
    <col min="4" max="4" width="70.33203125" customWidth="1"/>
  </cols>
  <sheetData>
    <row r="1" spans="1:4" ht="23">
      <c r="A1" s="9" t="s">
        <v>48</v>
      </c>
      <c r="B1" s="9"/>
      <c r="C1" s="9"/>
      <c r="D1" s="9"/>
    </row>
    <row r="3" spans="1:4">
      <c r="A3" s="17" t="s">
        <v>450</v>
      </c>
      <c r="B3" s="11"/>
      <c r="C3" s="11"/>
      <c r="D3" s="11"/>
    </row>
    <row r="4" spans="1:4">
      <c r="A4" s="146" t="s">
        <v>498</v>
      </c>
      <c r="B4" s="146"/>
      <c r="C4" s="146"/>
      <c r="D4" s="11"/>
    </row>
    <row r="5" spans="1:4">
      <c r="A5" s="146"/>
      <c r="B5" s="146"/>
      <c r="C5" s="146"/>
      <c r="D5" s="11"/>
    </row>
    <row r="6" spans="1:4">
      <c r="A6" s="146"/>
      <c r="B6" s="146"/>
      <c r="C6" s="146"/>
      <c r="D6" s="11"/>
    </row>
    <row r="7" spans="1:4">
      <c r="A7" s="146"/>
      <c r="B7" s="146"/>
      <c r="C7" s="146"/>
      <c r="D7" s="11"/>
    </row>
    <row r="8" spans="1:4">
      <c r="A8" s="146"/>
      <c r="B8" s="146"/>
      <c r="C8" s="146"/>
      <c r="D8" s="11"/>
    </row>
    <row r="9" spans="1:4">
      <c r="A9" s="146"/>
      <c r="B9" s="146"/>
      <c r="C9" s="146"/>
      <c r="D9" s="11"/>
    </row>
    <row r="10" spans="1:4">
      <c r="A10" s="146"/>
      <c r="B10" s="146"/>
      <c r="C10" s="146"/>
      <c r="D10" s="11"/>
    </row>
    <row r="11" spans="1:4">
      <c r="A11" s="146"/>
      <c r="B11" s="146"/>
      <c r="C11" s="146"/>
      <c r="D11" s="11"/>
    </row>
    <row r="12" spans="1:4">
      <c r="A12" s="146"/>
      <c r="B12" s="146"/>
      <c r="C12" s="146"/>
      <c r="D12" s="11"/>
    </row>
    <row r="13" spans="1:4">
      <c r="A13" s="146"/>
      <c r="B13" s="146"/>
      <c r="C13" s="146"/>
      <c r="D13" s="11"/>
    </row>
    <row r="14" spans="1:4">
      <c r="A14" s="146"/>
      <c r="B14" s="146"/>
      <c r="C14" s="146"/>
      <c r="D14" s="11"/>
    </row>
    <row r="15" spans="1:4">
      <c r="A15" s="146"/>
      <c r="B15" s="146"/>
      <c r="C15" s="146"/>
      <c r="D15" s="11"/>
    </row>
    <row r="16" spans="1:4">
      <c r="A16" s="94"/>
      <c r="B16" s="94"/>
      <c r="C16" s="94"/>
      <c r="D16" s="11"/>
    </row>
    <row r="18" spans="1:4">
      <c r="A18" s="17" t="s">
        <v>493</v>
      </c>
      <c r="B18" s="11"/>
      <c r="C18" s="11"/>
      <c r="D18" s="11"/>
    </row>
    <row r="19" spans="1:4">
      <c r="A19" t="s">
        <v>68</v>
      </c>
      <c r="B19" t="s">
        <v>479</v>
      </c>
      <c r="C19" t="s">
        <v>496</v>
      </c>
      <c r="D19" s="147" t="s">
        <v>497</v>
      </c>
    </row>
    <row r="20" spans="1:4">
      <c r="A20">
        <v>0</v>
      </c>
      <c r="B20" t="s">
        <v>489</v>
      </c>
      <c r="C20">
        <f>COUNTIF(Trackerdata[Letter Grade],TableOfLetterGrades[[#This Row],[Grade]])</f>
        <v>6</v>
      </c>
      <c r="D20" s="148"/>
    </row>
    <row r="21" spans="1:4">
      <c r="A21">
        <v>60</v>
      </c>
      <c r="B21" t="s">
        <v>491</v>
      </c>
      <c r="C21">
        <f>COUNTIF(Trackerdata[Letter Grade],TableOfLetterGrades[[#This Row],[Grade]])</f>
        <v>0</v>
      </c>
      <c r="D21" s="148"/>
    </row>
    <row r="22" spans="1:4">
      <c r="A22">
        <v>64</v>
      </c>
      <c r="B22" t="s">
        <v>492</v>
      </c>
      <c r="C22">
        <f>COUNTIF(Trackerdata[Letter Grade],TableOfLetterGrades[[#This Row],[Grade]])</f>
        <v>0</v>
      </c>
      <c r="D22" s="148"/>
    </row>
    <row r="23" spans="1:4">
      <c r="A23">
        <v>67</v>
      </c>
      <c r="B23" t="s">
        <v>490</v>
      </c>
      <c r="C23">
        <f>COUNTIF(Trackerdata[Letter Grade],TableOfLetterGrades[[#This Row],[Grade]])</f>
        <v>0</v>
      </c>
      <c r="D23" s="148"/>
    </row>
    <row r="24" spans="1:4" ht="14.25" customHeight="1">
      <c r="A24">
        <v>70</v>
      </c>
      <c r="B24" t="s">
        <v>488</v>
      </c>
      <c r="C24">
        <f>COUNTIF(Trackerdata[Letter Grade],TableOfLetterGrades[[#This Row],[Grade]])</f>
        <v>0</v>
      </c>
      <c r="D24" s="148"/>
    </row>
    <row r="25" spans="1:4">
      <c r="A25">
        <v>73</v>
      </c>
      <c r="B25" t="s">
        <v>486</v>
      </c>
      <c r="C25">
        <f>COUNTIF(Trackerdata[Letter Grade],TableOfLetterGrades[[#This Row],[Grade]])</f>
        <v>0</v>
      </c>
      <c r="D25" s="148"/>
    </row>
    <row r="26" spans="1:4">
      <c r="A26">
        <v>76</v>
      </c>
      <c r="B26" t="s">
        <v>487</v>
      </c>
      <c r="C26">
        <f>COUNTIF(Trackerdata[Letter Grade],TableOfLetterGrades[[#This Row],[Grade]])</f>
        <v>0</v>
      </c>
      <c r="D26" s="148"/>
    </row>
    <row r="27" spans="1:4">
      <c r="A27">
        <v>80</v>
      </c>
      <c r="B27" t="s">
        <v>485</v>
      </c>
      <c r="C27">
        <f>COUNTIF(Trackerdata[Letter Grade],TableOfLetterGrades[[#This Row],[Grade]])</f>
        <v>1</v>
      </c>
      <c r="D27" s="148"/>
    </row>
    <row r="28" spans="1:4">
      <c r="A28">
        <v>83</v>
      </c>
      <c r="B28" t="s">
        <v>483</v>
      </c>
      <c r="C28">
        <f>COUNTIF(Trackerdata[Letter Grade],TableOfLetterGrades[[#This Row],[Grade]])</f>
        <v>0</v>
      </c>
      <c r="D28" s="148"/>
    </row>
    <row r="29" spans="1:4">
      <c r="A29">
        <v>86</v>
      </c>
      <c r="B29" t="s">
        <v>484</v>
      </c>
      <c r="C29">
        <f>COUNTIF(Trackerdata[Letter Grade],TableOfLetterGrades[[#This Row],[Grade]])</f>
        <v>2</v>
      </c>
      <c r="D29" s="148"/>
    </row>
    <row r="30" spans="1:4">
      <c r="A30">
        <v>90</v>
      </c>
      <c r="B30" t="s">
        <v>481</v>
      </c>
      <c r="C30">
        <f>COUNTIF(Trackerdata[Letter Grade],TableOfLetterGrades[[#This Row],[Grade]])</f>
        <v>0</v>
      </c>
      <c r="D30" s="148"/>
    </row>
    <row r="31" spans="1:4">
      <c r="A31">
        <v>94</v>
      </c>
      <c r="B31" t="s">
        <v>482</v>
      </c>
      <c r="C31">
        <f>COUNTIF(Trackerdata[Letter Grade],TableOfLetterGrades[[#This Row],[Grade]])</f>
        <v>0</v>
      </c>
      <c r="D31" s="148"/>
    </row>
    <row r="32" spans="1:4">
      <c r="A32">
        <v>96</v>
      </c>
      <c r="B32" t="s">
        <v>480</v>
      </c>
      <c r="C32">
        <f>COUNTIF(Trackerdata[Letter Grade],TableOfLetterGrades[[#This Row],[Grade]])</f>
        <v>1</v>
      </c>
      <c r="D32" s="148"/>
    </row>
    <row r="33" spans="1:4">
      <c r="A33" s="11"/>
      <c r="B33" s="11"/>
      <c r="C33" s="11"/>
      <c r="D33" s="11"/>
    </row>
    <row r="35" spans="1:4">
      <c r="A35" s="10" t="s">
        <v>49</v>
      </c>
      <c r="B35" s="11"/>
      <c r="C35" s="11"/>
      <c r="D35" s="11"/>
    </row>
    <row r="36" spans="1:4">
      <c r="A36" s="11" t="s">
        <v>462</v>
      </c>
      <c r="B36" s="12" t="s">
        <v>50</v>
      </c>
      <c r="C36" s="13">
        <f t="shared" ref="C36" si="0">IF(B36="Yes",1,0)</f>
        <v>1</v>
      </c>
      <c r="D36" s="14" t="str">
        <f>IF(ColorTable="Yes","Use colors inside the table using the following color thresholds","Do not use colors inside the table")</f>
        <v>Use colors inside the table using the following color thresholds</v>
      </c>
    </row>
    <row r="37" spans="1:4">
      <c r="A37" s="11" t="s">
        <v>504</v>
      </c>
      <c r="B37" s="12">
        <v>85</v>
      </c>
      <c r="C37" s="11"/>
      <c r="D37" s="14" t="str">
        <f>CONCATENATE("Color grades ",Greenthreshold,"% or higher green")</f>
        <v>Color grades 85% or higher green</v>
      </c>
    </row>
    <row r="38" spans="1:4">
      <c r="A38" s="11" t="s">
        <v>503</v>
      </c>
      <c r="B38" s="12">
        <v>0</v>
      </c>
      <c r="C38" s="11"/>
      <c r="D38" s="14" t="str">
        <f>CONCATENATE("Color grades ",Yellowthreshold,"%  to ",Greenthreshold,"% yellow, and below ",Yellowthreshold,"% red")</f>
        <v>Color grades 0%  to 85% yellow, and below 0% red</v>
      </c>
    </row>
    <row r="39" spans="1:4">
      <c r="D39" s="15"/>
    </row>
    <row r="40" spans="1:4">
      <c r="D40" s="15"/>
    </row>
    <row r="41" spans="1:4">
      <c r="D41" s="15"/>
    </row>
    <row r="42" spans="1:4">
      <c r="A42" s="10" t="s">
        <v>51</v>
      </c>
      <c r="B42" s="11"/>
      <c r="C42" s="11"/>
      <c r="D42" s="11"/>
    </row>
    <row r="43" spans="1:4">
      <c r="A43" s="11" t="s">
        <v>52</v>
      </c>
      <c r="B43" s="16" t="s">
        <v>463</v>
      </c>
      <c r="C43" s="13">
        <f>IF(B43="Tried It",1,0)</f>
        <v>0</v>
      </c>
      <c r="D43" s="14" t="str">
        <f>IF(B43="Not Yet","Change Excel's main settings to autosave every 3-5 minutes","Perfect! Also remember to backup")</f>
        <v>Change Excel's main settings to autosave every 3-5 minutes</v>
      </c>
    </row>
    <row r="44" spans="1:4">
      <c r="A44" s="11" t="s">
        <v>53</v>
      </c>
      <c r="B44" s="16" t="s">
        <v>463</v>
      </c>
      <c r="C44" s="13">
        <f t="shared" ref="C44:C54" si="1">IF(B44="Tried It",1,0)</f>
        <v>0</v>
      </c>
      <c r="D44" s="14" t="str">
        <f>IF(B44="Not Yet","Click in the table, and under table options in the ribbon, click total row","Perfect! You can add additional 'total rows' using formulas.")</f>
        <v>Click in the table, and under table options in the ribbon, click total row</v>
      </c>
    </row>
    <row r="45" spans="1:4">
      <c r="A45" s="11" t="s">
        <v>54</v>
      </c>
      <c r="B45" s="16" t="s">
        <v>463</v>
      </c>
      <c r="C45" s="13">
        <f t="shared" si="1"/>
        <v>0</v>
      </c>
      <c r="D45" s="14" t="str">
        <f>IF(B45="Not Yet","Click on the plus box above column K","Perfect! Now you can graph data based on subgroups of students")</f>
        <v>Click on the plus box above column K</v>
      </c>
    </row>
    <row r="46" spans="1:4">
      <c r="A46" s="11" t="s">
        <v>55</v>
      </c>
      <c r="B46" s="16" t="s">
        <v>463</v>
      </c>
      <c r="C46" s="13">
        <f t="shared" si="1"/>
        <v>0</v>
      </c>
      <c r="D46" s="14" t="str">
        <f>IF(B46="Not Yet","Click on the dropdown boxes in the header row of the main table","Perfect! Consider sorting by score or filtering by class.")</f>
        <v>Click on the dropdown boxes in the header row of the main table</v>
      </c>
    </row>
    <row r="47" spans="1:4">
      <c r="A47" s="11" t="s">
        <v>466</v>
      </c>
      <c r="B47" s="16" t="s">
        <v>463</v>
      </c>
      <c r="C47" s="13">
        <f t="shared" si="1"/>
        <v>0</v>
      </c>
      <c r="D47" s="14" t="str">
        <f>IF(B47="Not Yet","Helper columns are useful for retakes, notes, and curving grades","Simply weight a column by 0%. To curve: use a formula in an adjacent column")</f>
        <v>Helper columns are useful for retakes, notes, and curving grades</v>
      </c>
    </row>
    <row r="48" spans="1:4">
      <c r="A48" s="11" t="s">
        <v>467</v>
      </c>
      <c r="B48" s="16" t="s">
        <v>463</v>
      </c>
      <c r="C48" s="13">
        <f t="shared" si="1"/>
        <v>0</v>
      </c>
      <c r="D48" s="14" t="str">
        <f>IF(B48="Not Yet","Use zero points and say 100% weight","Perfect! They'll appreciate it")</f>
        <v>Use zero points and say 100% weight</v>
      </c>
    </row>
    <row r="49" spans="1:4">
      <c r="A49" s="11" t="s">
        <v>468</v>
      </c>
      <c r="B49" s="16" t="s">
        <v>463</v>
      </c>
      <c r="C49" s="13">
        <f t="shared" si="1"/>
        <v>0</v>
      </c>
      <c r="D49" s="14" t="str">
        <f>IF(B49="Tried it","*Unhide* the Absences sheet by right clicking on the sheet tabs","This is completely optional, but a hidden sheet is built in")</f>
        <v>This is completely optional, but a hidden sheet is built in</v>
      </c>
    </row>
    <row r="50" spans="1:4">
      <c r="A50" s="11" t="s">
        <v>56</v>
      </c>
      <c r="B50" s="16" t="s">
        <v>463</v>
      </c>
      <c r="C50" s="13">
        <f t="shared" si="1"/>
        <v>0</v>
      </c>
      <c r="D50" s="14" t="str">
        <f>IF(B50="Not Yet","Under Page Layout in the ribbon, change the color scheme","Cool! Hope you like the new colors")</f>
        <v>Under Page Layout in the ribbon, change the color scheme</v>
      </c>
    </row>
    <row r="51" spans="1:4">
      <c r="A51" s="11" t="s">
        <v>438</v>
      </c>
      <c r="B51" s="16" t="s">
        <v>463</v>
      </c>
      <c r="C51" s="13">
        <f t="shared" si="1"/>
        <v>0</v>
      </c>
      <c r="D51" s="14" t="str">
        <f ca="1">IFERROR(IF(INFO("release")&lt;13,"Note: the sparkline graphs only show in Excel 2010 or above",IF(B51="Not Yet","Change the 'sparkline' histogram ranges","Set the grade cutoffs in the table above, then see B6:B10 on the Data Entry sheet")),IF(B51="Not Yet","Change the 'sparkline' histogram ranges","Set the grade cutoffs in the table above, then see B6:B10 on the Data Entry sheet"))</f>
        <v>Change the 'sparkline' histogram ranges</v>
      </c>
    </row>
    <row r="52" spans="1:4">
      <c r="A52" s="11" t="s">
        <v>469</v>
      </c>
      <c r="B52" s="16" t="s">
        <v>463</v>
      </c>
      <c r="C52" s="13">
        <f t="shared" si="1"/>
        <v>0</v>
      </c>
      <c r="D52" s="14" t="str">
        <f>IF(B52="Not Yet","Type Excused in one of the assignment scores","This will excuse this assignment within the assignment type for the student")</f>
        <v>Type Excused in one of the assignment scores</v>
      </c>
    </row>
    <row r="53" spans="1:4">
      <c r="A53" s="11" t="s">
        <v>439</v>
      </c>
      <c r="B53" s="16" t="s">
        <v>463</v>
      </c>
      <c r="C53" s="13">
        <f t="shared" si="1"/>
        <v>0</v>
      </c>
      <c r="D53" s="14" t="str">
        <f>IF(B53="Not Yet","Double click on the ribbon tab title like 'HOME' for the ribbon to hide","Double clicking again brings it back")</f>
        <v>Double click on the ribbon tab title like 'HOME' for the ribbon to hide</v>
      </c>
    </row>
    <row r="54" spans="1:4">
      <c r="A54" s="11" t="s">
        <v>470</v>
      </c>
      <c r="B54" s="16" t="s">
        <v>463</v>
      </c>
      <c r="C54" s="13">
        <f t="shared" si="1"/>
        <v>0</v>
      </c>
      <c r="D54" s="14" t="str">
        <f>IF(B54="Not Yet","If you have another marking period, save a new copy of this gradebook","And remember to back up your gradebooks")</f>
        <v>If you have another marking period, save a new copy of this gradebook</v>
      </c>
    </row>
    <row r="56" spans="1:4">
      <c r="A56" s="17" t="s">
        <v>57</v>
      </c>
      <c r="B56" s="11"/>
      <c r="C56" s="11"/>
      <c r="D56" s="11"/>
    </row>
    <row r="57" spans="1:4">
      <c r="A57" s="11" t="s">
        <v>501</v>
      </c>
      <c r="B57" s="145">
        <v>42200</v>
      </c>
      <c r="C57" s="11"/>
      <c r="D57" s="14" t="s">
        <v>502</v>
      </c>
    </row>
    <row r="58" spans="1:4">
      <c r="A58" s="11" t="s">
        <v>58</v>
      </c>
      <c r="B58" s="18" t="s">
        <v>500</v>
      </c>
      <c r="C58" s="11"/>
      <c r="D58" s="14" t="s">
        <v>499</v>
      </c>
    </row>
    <row r="59" spans="1:4">
      <c r="A59" s="11" t="s">
        <v>451</v>
      </c>
      <c r="B59" s="11"/>
      <c r="C59" s="11"/>
      <c r="D59" s="19" t="s">
        <v>59</v>
      </c>
    </row>
    <row r="60" spans="1:4">
      <c r="A60" s="11" t="s">
        <v>60</v>
      </c>
      <c r="B60" s="20" t="s">
        <v>61</v>
      </c>
      <c r="C60" s="21"/>
      <c r="D60" s="22" t="s">
        <v>447</v>
      </c>
    </row>
    <row r="61" spans="1:4">
      <c r="A61" s="11" t="s">
        <v>452</v>
      </c>
      <c r="B61" s="11"/>
      <c r="C61" s="11"/>
      <c r="D61" s="14" t="s">
        <v>453</v>
      </c>
    </row>
  </sheetData>
  <mergeCells count="2">
    <mergeCell ref="A4:C15"/>
    <mergeCell ref="D19:D32"/>
  </mergeCells>
  <conditionalFormatting sqref="C36">
    <cfRule type="iconSet" priority="7">
      <iconSet iconSet="4TrafficLights" showValue="0">
        <cfvo type="percent" val="0"/>
        <cfvo type="num" val="0.2" gte="0"/>
        <cfvo type="num" val="0.3"/>
        <cfvo type="num" val="1"/>
      </iconSet>
    </cfRule>
  </conditionalFormatting>
  <conditionalFormatting sqref="C43:C54">
    <cfRule type="iconSet" priority="2">
      <iconSet iconSet="3Symbols2" showValue="0">
        <cfvo type="percent" val="0"/>
        <cfvo type="num" val="0.3"/>
        <cfvo type="num" val="0.5"/>
      </iconSet>
    </cfRule>
    <cfRule type="iconSet" priority="3">
      <iconSet iconSet="4TrafficLights" showValue="0">
        <cfvo type="percent" val="0"/>
        <cfvo type="num" val="0.2" gte="0"/>
        <cfvo type="num" val="0.3"/>
        <cfvo type="num" val="1"/>
      </iconSet>
    </cfRule>
  </conditionalFormatting>
  <dataValidations count="2">
    <dataValidation type="list" allowBlank="1" sqref="B36">
      <formula1>"Yes,No"</formula1>
    </dataValidation>
    <dataValidation type="list" allowBlank="1" sqref="B43:B54">
      <formula1>"Tried It,Not Yet"</formula1>
    </dataValidation>
  </dataValidations>
  <hyperlinks>
    <hyperlink ref="D59" r:id="rId1"/>
  </hyperlinks>
  <pageMargins left="0.7" right="0.7" top="0.75" bottom="0.75" header="0.3" footer="0.3"/>
  <drawing r:id="rId2"/>
  <tableParts count="1">
    <tablePart r:id="rId3"/>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3:B5"/>
  <sheetViews>
    <sheetView workbookViewId="0">
      <selection activeCell="B4" sqref="B4"/>
    </sheetView>
  </sheetViews>
  <sheetFormatPr baseColWidth="10" defaultColWidth="8.83203125" defaultRowHeight="14" x14ac:dyDescent="0"/>
  <cols>
    <col min="1" max="1" width="13.1640625" bestFit="1" customWidth="1"/>
    <col min="2" max="2" width="26.5" bestFit="1" customWidth="1"/>
  </cols>
  <sheetData>
    <row r="3" spans="1:2">
      <c r="A3" s="23" t="s">
        <v>62</v>
      </c>
      <c r="B3" t="s">
        <v>444</v>
      </c>
    </row>
    <row r="4" spans="1:2">
      <c r="A4" s="24">
        <v>1</v>
      </c>
      <c r="B4" s="25">
        <v>36.006666666666675</v>
      </c>
    </row>
    <row r="5" spans="1:2">
      <c r="A5" s="24" t="s">
        <v>63</v>
      </c>
      <c r="B5" s="25">
        <v>36.006666666666675</v>
      </c>
    </row>
  </sheetData>
  <pageMargins left="0.7" right="0.7" top="0.75" bottom="0.75" header="0.3" footer="0.3"/>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Q38"/>
  <sheetViews>
    <sheetView workbookViewId="0">
      <selection activeCell="C3" sqref="C3"/>
    </sheetView>
  </sheetViews>
  <sheetFormatPr baseColWidth="10" defaultColWidth="8.83203125" defaultRowHeight="14" outlineLevelRow="1" x14ac:dyDescent="0"/>
  <cols>
    <col min="1" max="2" width="3" customWidth="1"/>
    <col min="3" max="3" width="11.5" bestFit="1" customWidth="1"/>
    <col min="6" max="6" width="9.6640625" bestFit="1" customWidth="1"/>
    <col min="7" max="7" width="22.6640625" customWidth="1"/>
    <col min="8" max="46" width="22.83203125" customWidth="1"/>
  </cols>
  <sheetData>
    <row r="1" spans="1:17">
      <c r="A1" s="92"/>
      <c r="B1" s="92"/>
      <c r="C1" s="92"/>
      <c r="D1" s="92"/>
      <c r="E1" s="92"/>
      <c r="F1" s="92"/>
      <c r="G1" s="92"/>
      <c r="H1" s="92"/>
      <c r="I1" s="92"/>
      <c r="J1" s="92"/>
      <c r="K1" s="92"/>
      <c r="L1" s="92"/>
      <c r="M1" s="92"/>
      <c r="N1" s="92"/>
      <c r="O1" s="92"/>
      <c r="P1" s="92"/>
      <c r="Q1" s="92"/>
    </row>
    <row r="2" spans="1:17" ht="19">
      <c r="A2" s="92"/>
      <c r="B2" s="92"/>
      <c r="C2" s="91" t="s">
        <v>64</v>
      </c>
      <c r="D2" s="93"/>
      <c r="E2" s="93"/>
      <c r="F2" s="93"/>
      <c r="G2" s="93"/>
      <c r="H2" s="93"/>
      <c r="I2" s="93"/>
      <c r="J2" s="93"/>
      <c r="K2" s="93"/>
      <c r="L2" s="93"/>
      <c r="M2" s="93"/>
      <c r="N2" s="93"/>
      <c r="O2" s="93"/>
      <c r="P2" s="93"/>
      <c r="Q2" s="93"/>
    </row>
    <row r="3" spans="1:17" ht="18">
      <c r="A3" s="92"/>
      <c r="B3" s="92"/>
      <c r="C3" s="117" t="s">
        <v>65</v>
      </c>
      <c r="D3" s="92"/>
      <c r="E3" s="92"/>
      <c r="F3" s="92"/>
      <c r="G3" s="92"/>
      <c r="H3" s="92"/>
      <c r="I3" s="92"/>
      <c r="J3" s="92"/>
      <c r="K3" s="92"/>
      <c r="L3" s="92"/>
      <c r="M3" s="92"/>
      <c r="N3" s="92"/>
      <c r="O3" s="92"/>
      <c r="P3" s="92"/>
      <c r="Q3" s="92"/>
    </row>
    <row r="4" spans="1:17">
      <c r="A4" s="92"/>
      <c r="B4" s="92"/>
      <c r="C4" s="118" t="s">
        <v>66</v>
      </c>
      <c r="D4" s="92"/>
      <c r="E4" s="92"/>
      <c r="F4" s="92"/>
      <c r="G4" s="92"/>
      <c r="H4" s="92"/>
      <c r="I4" s="92"/>
      <c r="J4" s="92"/>
      <c r="K4" s="92"/>
      <c r="L4" s="92"/>
      <c r="M4" s="92"/>
      <c r="N4" s="92"/>
      <c r="O4" s="92"/>
      <c r="P4" s="92"/>
      <c r="Q4" s="92"/>
    </row>
    <row r="5" spans="1:17">
      <c r="A5" s="92"/>
      <c r="B5" s="92"/>
      <c r="C5" s="119" t="s">
        <v>67</v>
      </c>
      <c r="D5" s="92"/>
      <c r="E5" s="92"/>
      <c r="F5" s="92"/>
      <c r="G5" s="92"/>
      <c r="H5" s="92"/>
      <c r="I5" s="92"/>
      <c r="J5" s="92"/>
      <c r="K5" s="92"/>
      <c r="L5" s="92"/>
      <c r="M5" s="92"/>
      <c r="N5" s="92"/>
      <c r="O5" s="92"/>
      <c r="P5" s="92"/>
      <c r="Q5" s="92"/>
    </row>
    <row r="6" spans="1:17">
      <c r="A6" s="92"/>
      <c r="B6" s="92"/>
      <c r="C6" s="119" t="str">
        <f ca="1">CONCATENATE("Date: ",TEXT(TODAY(),"dd-mmm-yyyy"))</f>
        <v>Date: 19-Sep-2018</v>
      </c>
      <c r="D6" s="92"/>
      <c r="E6" s="92"/>
      <c r="F6" s="92"/>
      <c r="G6" s="92"/>
      <c r="H6" s="92"/>
      <c r="I6" s="92"/>
      <c r="J6" s="92"/>
      <c r="K6" s="92"/>
      <c r="L6" s="92"/>
      <c r="M6" s="92"/>
      <c r="N6" s="92"/>
      <c r="O6" s="92"/>
      <c r="P6" s="92"/>
      <c r="Q6" s="92"/>
    </row>
    <row r="7" spans="1:17">
      <c r="A7" s="92"/>
      <c r="B7" s="92"/>
      <c r="C7" s="92"/>
      <c r="D7" s="92"/>
      <c r="E7" s="92"/>
      <c r="F7" s="92"/>
      <c r="G7" s="92"/>
      <c r="H7" s="92"/>
      <c r="I7" s="92"/>
      <c r="J7" s="92"/>
      <c r="K7" s="92"/>
      <c r="L7" s="92"/>
      <c r="M7" s="92"/>
      <c r="N7" s="92"/>
      <c r="O7" s="92"/>
      <c r="P7" s="92"/>
      <c r="Q7" s="92"/>
    </row>
    <row r="8" spans="1:17">
      <c r="A8" s="92"/>
      <c r="B8" s="92"/>
      <c r="C8" s="120" t="s">
        <v>472</v>
      </c>
      <c r="D8" s="92"/>
      <c r="E8" s="92"/>
      <c r="F8" s="92"/>
      <c r="G8" s="92"/>
      <c r="H8" s="92"/>
      <c r="I8" s="92"/>
      <c r="J8" s="92"/>
      <c r="K8" s="92"/>
      <c r="L8" s="92"/>
      <c r="M8" s="92"/>
      <c r="N8" s="92"/>
      <c r="O8" s="92"/>
      <c r="P8" s="92"/>
      <c r="Q8" s="92"/>
    </row>
    <row r="9" spans="1:17" ht="30" customHeight="1">
      <c r="A9" s="92"/>
      <c r="B9" s="92"/>
      <c r="C9" s="157"/>
      <c r="D9" s="157"/>
      <c r="E9" s="157"/>
      <c r="F9" s="157"/>
      <c r="G9" s="157"/>
      <c r="H9" s="92"/>
      <c r="I9" s="92"/>
      <c r="J9" s="92"/>
      <c r="K9" s="92"/>
      <c r="L9" s="92"/>
      <c r="M9" s="92"/>
      <c r="N9" s="92"/>
      <c r="O9" s="92"/>
      <c r="P9" s="92"/>
      <c r="Q9" s="92"/>
    </row>
    <row r="10" spans="1:17">
      <c r="A10" s="92"/>
      <c r="B10" s="92"/>
      <c r="C10" s="92"/>
      <c r="D10" s="92"/>
      <c r="E10" s="92"/>
      <c r="F10" s="92"/>
      <c r="G10" s="92"/>
      <c r="H10" s="92"/>
      <c r="I10" s="92"/>
      <c r="J10" s="92"/>
      <c r="K10" s="92"/>
      <c r="L10" s="92"/>
      <c r="M10" s="92"/>
      <c r="N10" s="92"/>
      <c r="O10" s="92"/>
      <c r="P10" s="92"/>
      <c r="Q10" s="92"/>
    </row>
    <row r="11" spans="1:17">
      <c r="A11" s="92"/>
      <c r="B11" s="92"/>
      <c r="C11" s="120" t="s">
        <v>475</v>
      </c>
      <c r="D11" s="92"/>
      <c r="E11" s="92"/>
      <c r="F11" s="92"/>
      <c r="G11" s="92"/>
      <c r="H11" s="92"/>
      <c r="I11" s="92"/>
      <c r="J11" s="92"/>
      <c r="K11" s="92"/>
      <c r="L11" s="92"/>
      <c r="M11" s="92"/>
      <c r="N11" s="92"/>
      <c r="O11" s="92"/>
      <c r="P11" s="92"/>
      <c r="Q11" s="92"/>
    </row>
    <row r="12" spans="1:17" ht="30" customHeight="1">
      <c r="A12" s="92"/>
      <c r="B12" s="92"/>
      <c r="C12" s="157"/>
      <c r="D12" s="157"/>
      <c r="E12" s="157"/>
      <c r="F12" s="157"/>
      <c r="G12" s="157"/>
      <c r="H12" s="92"/>
      <c r="I12" s="92"/>
      <c r="J12" s="92"/>
      <c r="K12" s="92"/>
      <c r="L12" s="92"/>
      <c r="M12" s="92"/>
      <c r="N12" s="92"/>
      <c r="O12" s="92"/>
      <c r="P12" s="92"/>
      <c r="Q12" s="92"/>
    </row>
    <row r="13" spans="1:17">
      <c r="A13" s="92"/>
      <c r="B13" s="92"/>
      <c r="C13" s="92"/>
      <c r="D13" s="92"/>
      <c r="E13" s="92"/>
      <c r="F13" s="92"/>
      <c r="G13" s="92"/>
      <c r="H13" s="92"/>
      <c r="I13" s="92"/>
      <c r="J13" s="92"/>
      <c r="K13" s="92"/>
      <c r="L13" s="92"/>
      <c r="M13" s="92"/>
      <c r="N13" s="92"/>
      <c r="O13" s="92"/>
      <c r="P13" s="92"/>
      <c r="Q13" s="92"/>
    </row>
    <row r="14" spans="1:17">
      <c r="A14" s="92"/>
      <c r="B14" s="92"/>
      <c r="C14" s="92"/>
      <c r="D14" s="92"/>
      <c r="E14" s="92"/>
      <c r="F14" s="92"/>
      <c r="G14" s="92"/>
      <c r="H14" s="92"/>
      <c r="I14" s="92"/>
      <c r="J14" s="92"/>
      <c r="K14" s="92"/>
      <c r="L14" s="92"/>
      <c r="M14" s="92"/>
      <c r="N14" s="92"/>
      <c r="O14" s="92"/>
      <c r="P14" s="92"/>
      <c r="Q14" s="92"/>
    </row>
    <row r="15" spans="1:17" ht="15" outlineLevel="1" thickBot="1">
      <c r="A15" s="92"/>
      <c r="B15" s="92"/>
      <c r="C15" s="110">
        <v>0</v>
      </c>
      <c r="D15" s="110">
        <v>1</v>
      </c>
      <c r="E15" s="110">
        <v>2</v>
      </c>
      <c r="F15" s="110">
        <v>3</v>
      </c>
      <c r="G15" s="110">
        <v>10</v>
      </c>
      <c r="H15" s="110">
        <v>11</v>
      </c>
      <c r="I15" s="110">
        <f>H15+1</f>
        <v>12</v>
      </c>
      <c r="J15" s="110">
        <f t="shared" ref="J15:Q15" si="0">I15+1</f>
        <v>13</v>
      </c>
      <c r="K15" s="110">
        <f t="shared" si="0"/>
        <v>14</v>
      </c>
      <c r="L15" s="110">
        <f t="shared" si="0"/>
        <v>15</v>
      </c>
      <c r="M15" s="110">
        <f t="shared" si="0"/>
        <v>16</v>
      </c>
      <c r="N15" s="110">
        <f t="shared" si="0"/>
        <v>17</v>
      </c>
      <c r="O15" s="110">
        <f t="shared" si="0"/>
        <v>18</v>
      </c>
      <c r="P15" s="110">
        <f t="shared" si="0"/>
        <v>19</v>
      </c>
      <c r="Q15" s="110">
        <f t="shared" si="0"/>
        <v>20</v>
      </c>
    </row>
    <row r="16" spans="1:17">
      <c r="B16">
        <v>1</v>
      </c>
      <c r="C16" s="153" t="s">
        <v>435</v>
      </c>
      <c r="D16" s="154"/>
      <c r="E16" s="154"/>
      <c r="F16" s="154"/>
      <c r="G16" s="154"/>
      <c r="H16" s="138" t="str">
        <f ca="1">OFFSET('Data Entry'!$A$1,Printouts!H$15,Printouts!$B16)</f>
        <v>Student 1</v>
      </c>
      <c r="I16" s="138" t="str">
        <f ca="1">OFFSET('Data Entry'!$A$1,Printouts!I$15,Printouts!$B16)</f>
        <v>Student 2</v>
      </c>
      <c r="J16" s="138" t="str">
        <f ca="1">OFFSET('Data Entry'!$A$1,Printouts!J$15,Printouts!$B16)</f>
        <v>Student 3</v>
      </c>
      <c r="K16" s="138" t="str">
        <f ca="1">OFFSET('Data Entry'!$A$1,Printouts!K$15,Printouts!$B16)</f>
        <v>Student 4</v>
      </c>
      <c r="L16" s="138" t="str">
        <f ca="1">OFFSET('Data Entry'!$A$1,Printouts!L$15,Printouts!$B16)</f>
        <v>Student 5</v>
      </c>
      <c r="M16" s="138" t="str">
        <f ca="1">OFFSET('Data Entry'!$A$1,Printouts!M$15,Printouts!$B16)</f>
        <v>Student 6</v>
      </c>
      <c r="N16" s="138" t="str">
        <f ca="1">OFFSET('Data Entry'!$A$1,Printouts!N$15,Printouts!$B16)</f>
        <v>Student 7</v>
      </c>
      <c r="O16" s="138" t="str">
        <f ca="1">OFFSET('Data Entry'!$A$1,Printouts!O$15,Printouts!$B16)</f>
        <v>Student 8</v>
      </c>
      <c r="P16" s="138" t="str">
        <f ca="1">OFFSET('Data Entry'!$A$1,Printouts!P$15,Printouts!$B16)</f>
        <v>Student 9</v>
      </c>
      <c r="Q16" s="138" t="str">
        <f ca="1">OFFSET('Data Entry'!$A$1,Printouts!Q$15,Printouts!$B16)</f>
        <v>Student 10</v>
      </c>
    </row>
    <row r="17" spans="2:17" hidden="1">
      <c r="B17">
        <v>7</v>
      </c>
      <c r="C17" s="113" t="str">
        <f ca="1">OFFSET('Data Entry'!$A$1,Printouts!G$15,Printouts!$B17)</f>
        <v>Absent</v>
      </c>
      <c r="D17" s="114"/>
      <c r="E17" s="114"/>
      <c r="F17" s="121"/>
      <c r="G17" s="121"/>
      <c r="H17" s="131">
        <f ca="1">OFFSET('Data Entry'!$A$1,Printouts!H$15,Printouts!$B17)</f>
        <v>1</v>
      </c>
      <c r="I17" s="131">
        <f ca="1">OFFSET('Data Entry'!$A$1,Printouts!I$15,Printouts!$B17)</f>
        <v>0</v>
      </c>
      <c r="J17" s="131">
        <f ca="1">OFFSET('Data Entry'!$A$1,Printouts!J$15,Printouts!$B17)</f>
        <v>2</v>
      </c>
      <c r="K17" s="131">
        <f ca="1">OFFSET('Data Entry'!$A$1,Printouts!K$15,Printouts!$B17)</f>
        <v>0</v>
      </c>
      <c r="L17" s="131">
        <f ca="1">OFFSET('Data Entry'!$A$1,Printouts!L$15,Printouts!$B17)</f>
        <v>0</v>
      </c>
      <c r="M17" s="131">
        <f ca="1">OFFSET('Data Entry'!$A$1,Printouts!M$15,Printouts!$B17)</f>
        <v>0</v>
      </c>
      <c r="N17" s="131">
        <f ca="1">OFFSET('Data Entry'!$A$1,Printouts!N$15,Printouts!$B17)</f>
        <v>0</v>
      </c>
      <c r="O17" s="131">
        <f ca="1">OFFSET('Data Entry'!$A$1,Printouts!O$15,Printouts!$B17)</f>
        <v>0</v>
      </c>
      <c r="P17" s="131">
        <f ca="1">OFFSET('Data Entry'!$A$1,Printouts!P$15,Printouts!$B17)</f>
        <v>0</v>
      </c>
      <c r="Q17" s="111">
        <f ca="1">OFFSET('Data Entry'!$A$1,Printouts!Q$15,Printouts!$B17)</f>
        <v>0</v>
      </c>
    </row>
    <row r="18" spans="2:17" hidden="1">
      <c r="B18">
        <v>8</v>
      </c>
      <c r="C18" s="115" t="str">
        <f ca="1">OFFSET('Data Entry'!$A$1,Printouts!G$15,Printouts!$B18)</f>
        <v>Late</v>
      </c>
      <c r="D18" s="116"/>
      <c r="E18" s="116"/>
      <c r="F18" s="121"/>
      <c r="G18" s="121"/>
      <c r="H18" s="132">
        <f ca="1">OFFSET('Data Entry'!$A$1,Printouts!H$15,Printouts!$B18)</f>
        <v>0</v>
      </c>
      <c r="I18" s="132">
        <f ca="1">OFFSET('Data Entry'!$A$1,Printouts!I$15,Printouts!$B18)</f>
        <v>1</v>
      </c>
      <c r="J18" s="132">
        <f ca="1">OFFSET('Data Entry'!$A$1,Printouts!J$15,Printouts!$B18)</f>
        <v>0</v>
      </c>
      <c r="K18" s="132">
        <f ca="1">OFFSET('Data Entry'!$A$1,Printouts!K$15,Printouts!$B18)</f>
        <v>0</v>
      </c>
      <c r="L18" s="132">
        <f ca="1">OFFSET('Data Entry'!$A$1,Printouts!L$15,Printouts!$B18)</f>
        <v>0</v>
      </c>
      <c r="M18" s="132">
        <f ca="1">OFFSET('Data Entry'!$A$1,Printouts!M$15,Printouts!$B18)</f>
        <v>0</v>
      </c>
      <c r="N18" s="132">
        <f ca="1">OFFSET('Data Entry'!$A$1,Printouts!N$15,Printouts!$B18)</f>
        <v>0</v>
      </c>
      <c r="O18" s="132">
        <f ca="1">OFFSET('Data Entry'!$A$1,Printouts!O$15,Printouts!$B18)</f>
        <v>0</v>
      </c>
      <c r="P18" s="132">
        <f ca="1">OFFSET('Data Entry'!$A$1,Printouts!P$15,Printouts!$B18)</f>
        <v>0</v>
      </c>
      <c r="Q18" s="112">
        <f ca="1">OFFSET('Data Entry'!$A$1,Printouts!Q$15,Printouts!$B18)</f>
        <v>0</v>
      </c>
    </row>
    <row r="19" spans="2:17">
      <c r="B19">
        <v>10</v>
      </c>
      <c r="C19" s="155" t="str">
        <f ca="1">OFFSET('Data Entry'!$A$1,Printouts!G$15,Printouts!$B19)</f>
        <v>Running Average</v>
      </c>
      <c r="D19" s="156"/>
      <c r="E19" s="156"/>
      <c r="F19" s="156"/>
      <c r="G19" s="156"/>
      <c r="H19" s="136">
        <f ca="1">OFFSET('Data Entry'!$A$1,Printouts!H$15,Printouts!$B19)</f>
        <v>100</v>
      </c>
      <c r="I19" s="136">
        <f ca="1">OFFSET('Data Entry'!$A$1,Printouts!I$15,Printouts!$B19)</f>
        <v>89.733333333333334</v>
      </c>
      <c r="J19" s="136">
        <f ca="1">OFFSET('Data Entry'!$A$1,Printouts!J$15,Printouts!$B19)</f>
        <v>82</v>
      </c>
      <c r="K19" s="136">
        <f ca="1">OFFSET('Data Entry'!$A$1,Printouts!K$15,Printouts!$B19)</f>
        <v>88.333333333333343</v>
      </c>
      <c r="L19" s="136">
        <f ca="1">OFFSET('Data Entry'!$A$1,Printouts!L$15,Printouts!$B19)</f>
        <v>0</v>
      </c>
      <c r="M19" s="136">
        <f ca="1">OFFSET('Data Entry'!$A$1,Printouts!M$15,Printouts!$B19)</f>
        <v>0</v>
      </c>
      <c r="N19" s="136">
        <f ca="1">OFFSET('Data Entry'!$A$1,Printouts!N$15,Printouts!$B19)</f>
        <v>0</v>
      </c>
      <c r="O19" s="136">
        <f ca="1">OFFSET('Data Entry'!$A$1,Printouts!O$15,Printouts!$B19)</f>
        <v>0</v>
      </c>
      <c r="P19" s="136">
        <f ca="1">OFFSET('Data Entry'!$A$1,Printouts!P$15,Printouts!$B19)</f>
        <v>0</v>
      </c>
      <c r="Q19" s="136">
        <f ca="1">OFFSET('Data Entry'!$A$1,Printouts!Q$15,Printouts!$B19)</f>
        <v>0</v>
      </c>
    </row>
    <row r="20" spans="2:17" ht="15" thickBot="1">
      <c r="B20">
        <v>11</v>
      </c>
      <c r="C20" s="135" t="s">
        <v>494</v>
      </c>
      <c r="D20" s="134"/>
      <c r="E20" s="134"/>
      <c r="F20" s="134"/>
      <c r="G20" s="133"/>
      <c r="H20" s="137" t="str">
        <f ca="1">OFFSET('Data Entry'!$A$1,Printouts!H$15,Printouts!$B20)</f>
        <v>A+</v>
      </c>
      <c r="I20" s="137" t="str">
        <f ca="1">OFFSET('Data Entry'!$A$1,Printouts!I$15,Printouts!$B20)</f>
        <v>B+</v>
      </c>
      <c r="J20" s="137" t="str">
        <f ca="1">OFFSET('Data Entry'!$A$1,Printouts!J$15,Printouts!$B20)</f>
        <v>B-</v>
      </c>
      <c r="K20" s="137" t="str">
        <f ca="1">OFFSET('Data Entry'!$A$1,Printouts!K$15,Printouts!$B20)</f>
        <v>B+</v>
      </c>
      <c r="L20" s="137" t="str">
        <f ca="1">OFFSET('Data Entry'!$A$1,Printouts!L$15,Printouts!$B20)</f>
        <v>F</v>
      </c>
      <c r="M20" s="137" t="str">
        <f ca="1">OFFSET('Data Entry'!$A$1,Printouts!M$15,Printouts!$B20)</f>
        <v>F</v>
      </c>
      <c r="N20" s="137" t="str">
        <f ca="1">OFFSET('Data Entry'!$A$1,Printouts!N$15,Printouts!$B20)</f>
        <v>F</v>
      </c>
      <c r="O20" s="137" t="str">
        <f ca="1">OFFSET('Data Entry'!$A$1,Printouts!O$15,Printouts!$B20)</f>
        <v>F</v>
      </c>
      <c r="P20" s="137" t="str">
        <f ca="1">OFFSET('Data Entry'!$A$1,Printouts!P$15,Printouts!$B20)</f>
        <v>F</v>
      </c>
      <c r="Q20" s="137" t="str">
        <f ca="1">OFFSET('Data Entry'!$A$1,Printouts!Q$15,Printouts!$B20)</f>
        <v>F</v>
      </c>
    </row>
    <row r="21" spans="2:17">
      <c r="C21" s="158" t="s">
        <v>0</v>
      </c>
      <c r="D21" s="159"/>
      <c r="E21" s="159"/>
      <c r="F21" s="159"/>
      <c r="G21" s="122" t="s">
        <v>477</v>
      </c>
      <c r="H21" s="125" t="s">
        <v>476</v>
      </c>
      <c r="I21" s="125" t="s">
        <v>476</v>
      </c>
      <c r="J21" s="125" t="s">
        <v>476</v>
      </c>
      <c r="K21" s="125" t="s">
        <v>476</v>
      </c>
      <c r="L21" s="125" t="s">
        <v>476</v>
      </c>
      <c r="M21" s="125" t="s">
        <v>476</v>
      </c>
      <c r="N21" s="125" t="s">
        <v>476</v>
      </c>
      <c r="O21" s="125" t="s">
        <v>476</v>
      </c>
      <c r="P21" s="125" t="s">
        <v>476</v>
      </c>
      <c r="Q21" s="125" t="s">
        <v>476</v>
      </c>
    </row>
    <row r="22" spans="2:17">
      <c r="B22">
        <v>12</v>
      </c>
      <c r="C22" s="149" t="str">
        <f ca="1">OFFSET('Data Entry'!$A$1,Printouts!G$15,Printouts!$B22)</f>
        <v>Homeworks</v>
      </c>
      <c r="D22" s="150"/>
      <c r="E22" s="150"/>
      <c r="F22" s="150"/>
      <c r="G22" s="123">
        <f ca="1">OFFSET('Data Entry'!$A$1,Printouts!F$15,Printouts!$B22)</f>
        <v>0.1</v>
      </c>
      <c r="H22" s="126">
        <f ca="1">OFFSET('Data Entry'!$A$1,Printouts!H$15,Printouts!$B22)</f>
        <v>100</v>
      </c>
      <c r="I22" s="126">
        <f ca="1">OFFSET('Data Entry'!$A$1,Printouts!I$15,Printouts!$B22)</f>
        <v>80</v>
      </c>
      <c r="J22" s="126">
        <f ca="1">OFFSET('Data Entry'!$A$1,Printouts!J$15,Printouts!$B22)</f>
        <v>100</v>
      </c>
      <c r="K22" s="126">
        <f ca="1">OFFSET('Data Entry'!$A$1,Printouts!K$15,Printouts!$B22)</f>
        <v>93.333333333333329</v>
      </c>
      <c r="L22" s="126">
        <f ca="1">OFFSET('Data Entry'!$A$1,Printouts!L$15,Printouts!$B22)</f>
        <v>0</v>
      </c>
      <c r="M22" s="126">
        <f ca="1">OFFSET('Data Entry'!$A$1,Printouts!M$15,Printouts!$B22)</f>
        <v>0</v>
      </c>
      <c r="N22" s="126">
        <f ca="1">OFFSET('Data Entry'!$A$1,Printouts!N$15,Printouts!$B22)</f>
        <v>0</v>
      </c>
      <c r="O22" s="126">
        <f ca="1">OFFSET('Data Entry'!$A$1,Printouts!O$15,Printouts!$B22)</f>
        <v>0</v>
      </c>
      <c r="P22" s="126">
        <f ca="1">OFFSET('Data Entry'!$A$1,Printouts!P$15,Printouts!$B22)</f>
        <v>0</v>
      </c>
      <c r="Q22" s="126">
        <f ca="1">OFFSET('Data Entry'!$A$1,Printouts!Q$15,Printouts!$B22)</f>
        <v>0</v>
      </c>
    </row>
    <row r="23" spans="2:17">
      <c r="B23">
        <f>B22+1</f>
        <v>13</v>
      </c>
      <c r="C23" s="149" t="str">
        <f ca="1">OFFSET('Data Entry'!$A$1,Printouts!G$15,Printouts!$B23)</f>
        <v>Classworks</v>
      </c>
      <c r="D23" s="150"/>
      <c r="E23" s="150"/>
      <c r="F23" s="150"/>
      <c r="G23" s="123">
        <f ca="1">OFFSET('Data Entry'!$A$1,Printouts!F$15,Printouts!$B23)</f>
        <v>0.2</v>
      </c>
      <c r="H23" s="127">
        <f ca="1">OFFSET('Data Entry'!$A$1,Printouts!H$15,Printouts!$B23)</f>
        <v>100</v>
      </c>
      <c r="I23" s="127">
        <f ca="1">OFFSET('Data Entry'!$A$1,Printouts!I$15,Printouts!$B23)</f>
        <v>66.666666666666657</v>
      </c>
      <c r="J23" s="127">
        <f ca="1">OFFSET('Data Entry'!$A$1,Printouts!J$15,Printouts!$B23)</f>
        <v>80</v>
      </c>
      <c r="K23" s="127">
        <f ca="1">OFFSET('Data Entry'!$A$1,Printouts!K$15,Printouts!$B23)</f>
        <v>100</v>
      </c>
      <c r="L23" s="127">
        <f ca="1">OFFSET('Data Entry'!$A$1,Printouts!L$15,Printouts!$B23)</f>
        <v>0</v>
      </c>
      <c r="M23" s="127">
        <f ca="1">OFFSET('Data Entry'!$A$1,Printouts!M$15,Printouts!$B23)</f>
        <v>0</v>
      </c>
      <c r="N23" s="127">
        <f ca="1">OFFSET('Data Entry'!$A$1,Printouts!N$15,Printouts!$B23)</f>
        <v>0</v>
      </c>
      <c r="O23" s="127">
        <f ca="1">OFFSET('Data Entry'!$A$1,Printouts!O$15,Printouts!$B23)</f>
        <v>0</v>
      </c>
      <c r="P23" s="127">
        <f ca="1">OFFSET('Data Entry'!$A$1,Printouts!P$15,Printouts!$B23)</f>
        <v>0</v>
      </c>
      <c r="Q23" s="127">
        <f ca="1">OFFSET('Data Entry'!$A$1,Printouts!Q$15,Printouts!$B23)</f>
        <v>0</v>
      </c>
    </row>
    <row r="24" spans="2:17">
      <c r="B24">
        <f t="shared" ref="B24:B27" si="1">B23+1</f>
        <v>14</v>
      </c>
      <c r="C24" s="149" t="str">
        <f ca="1">OFFSET('Data Entry'!$A$1,Printouts!G$15,Printouts!$B24)</f>
        <v>Tests</v>
      </c>
      <c r="D24" s="150"/>
      <c r="E24" s="150"/>
      <c r="F24" s="150"/>
      <c r="G24" s="123">
        <f ca="1">OFFSET('Data Entry'!$A$1,Printouts!F$15,Printouts!$B24)</f>
        <v>0.4</v>
      </c>
      <c r="H24" s="127">
        <f ca="1">OFFSET('Data Entry'!$A$1,Printouts!H$15,Printouts!$B24)</f>
        <v>100</v>
      </c>
      <c r="I24" s="127">
        <f ca="1">OFFSET('Data Entry'!$A$1,Printouts!I$15,Printouts!$B24)</f>
        <v>96</v>
      </c>
      <c r="J24" s="127">
        <f ca="1">OFFSET('Data Entry'!$A$1,Printouts!J$15,Printouts!$B24)</f>
        <v>80</v>
      </c>
      <c r="K24" s="127">
        <f ca="1">OFFSET('Data Entry'!$A$1,Printouts!K$15,Printouts!$B24)</f>
        <v>80</v>
      </c>
      <c r="L24" s="127">
        <f ca="1">OFFSET('Data Entry'!$A$1,Printouts!L$15,Printouts!$B24)</f>
        <v>0</v>
      </c>
      <c r="M24" s="127">
        <f ca="1">OFFSET('Data Entry'!$A$1,Printouts!M$15,Printouts!$B24)</f>
        <v>0</v>
      </c>
      <c r="N24" s="127">
        <f ca="1">OFFSET('Data Entry'!$A$1,Printouts!N$15,Printouts!$B24)</f>
        <v>0</v>
      </c>
      <c r="O24" s="127">
        <f ca="1">OFFSET('Data Entry'!$A$1,Printouts!O$15,Printouts!$B24)</f>
        <v>0</v>
      </c>
      <c r="P24" s="127">
        <f ca="1">OFFSET('Data Entry'!$A$1,Printouts!P$15,Printouts!$B24)</f>
        <v>0</v>
      </c>
      <c r="Q24" s="127">
        <f ca="1">OFFSET('Data Entry'!$A$1,Printouts!Q$15,Printouts!$B24)</f>
        <v>0</v>
      </c>
    </row>
    <row r="25" spans="2:17">
      <c r="B25">
        <f t="shared" si="1"/>
        <v>15</v>
      </c>
      <c r="C25" s="149" t="str">
        <f ca="1">OFFSET('Data Entry'!$A$1,Printouts!G$15,Printouts!$B25)</f>
        <v>Projects</v>
      </c>
      <c r="D25" s="150"/>
      <c r="E25" s="150"/>
      <c r="F25" s="150"/>
      <c r="G25" s="123">
        <f ca="1">OFFSET('Data Entry'!$A$1,Printouts!F$15,Printouts!$B25)</f>
        <v>0.3</v>
      </c>
      <c r="H25" s="127">
        <f ca="1">OFFSET('Data Entry'!$A$1,Printouts!H$15,Printouts!$B25)</f>
        <v>100</v>
      </c>
      <c r="I25" s="127">
        <f ca="1">OFFSET('Data Entry'!$A$1,Printouts!I$15,Printouts!$B25)</f>
        <v>100</v>
      </c>
      <c r="J25" s="127">
        <f ca="1">OFFSET('Data Entry'!$A$1,Printouts!J$15,Printouts!$B25)</f>
        <v>80</v>
      </c>
      <c r="K25" s="127">
        <f ca="1">OFFSET('Data Entry'!$A$1,Printouts!K$15,Printouts!$B25)</f>
        <v>90</v>
      </c>
      <c r="L25" s="127">
        <f ca="1">OFFSET('Data Entry'!$A$1,Printouts!L$15,Printouts!$B25)</f>
        <v>0</v>
      </c>
      <c r="M25" s="127">
        <f ca="1">OFFSET('Data Entry'!$A$1,Printouts!M$15,Printouts!$B25)</f>
        <v>0</v>
      </c>
      <c r="N25" s="127">
        <f ca="1">OFFSET('Data Entry'!$A$1,Printouts!N$15,Printouts!$B25)</f>
        <v>0</v>
      </c>
      <c r="O25" s="127">
        <f ca="1">OFFSET('Data Entry'!$A$1,Printouts!O$15,Printouts!$B25)</f>
        <v>0</v>
      </c>
      <c r="P25" s="127">
        <f ca="1">OFFSET('Data Entry'!$A$1,Printouts!P$15,Printouts!$B25)</f>
        <v>0</v>
      </c>
      <c r="Q25" s="127">
        <f ca="1">OFFSET('Data Entry'!$A$1,Printouts!Q$15,Printouts!$B25)</f>
        <v>0</v>
      </c>
    </row>
    <row r="26" spans="2:17">
      <c r="B26">
        <f t="shared" si="1"/>
        <v>16</v>
      </c>
      <c r="C26" s="149" t="str">
        <f ca="1">OFFSET('Data Entry'!$A$1,Printouts!G$15,Printouts!$B26)</f>
        <v>Another Type</v>
      </c>
      <c r="D26" s="150"/>
      <c r="E26" s="150"/>
      <c r="F26" s="150"/>
      <c r="G26" s="123">
        <f ca="1">OFFSET('Data Entry'!$A$1,Printouts!F$15,Printouts!$B26)</f>
        <v>0</v>
      </c>
      <c r="H26" s="127" t="str">
        <f ca="1">OFFSET('Data Entry'!$A$1,Printouts!H$15,Printouts!$B26)</f>
        <v/>
      </c>
      <c r="I26" s="127" t="str">
        <f ca="1">OFFSET('Data Entry'!$A$1,Printouts!I$15,Printouts!$B26)</f>
        <v/>
      </c>
      <c r="J26" s="127" t="str">
        <f ca="1">OFFSET('Data Entry'!$A$1,Printouts!J$15,Printouts!$B26)</f>
        <v/>
      </c>
      <c r="K26" s="127" t="str">
        <f ca="1">OFFSET('Data Entry'!$A$1,Printouts!K$15,Printouts!$B26)</f>
        <v/>
      </c>
      <c r="L26" s="127" t="str">
        <f ca="1">OFFSET('Data Entry'!$A$1,Printouts!L$15,Printouts!$B26)</f>
        <v/>
      </c>
      <c r="M26" s="127" t="str">
        <f ca="1">OFFSET('Data Entry'!$A$1,Printouts!M$15,Printouts!$B26)</f>
        <v/>
      </c>
      <c r="N26" s="127" t="str">
        <f ca="1">OFFSET('Data Entry'!$A$1,Printouts!N$15,Printouts!$B26)</f>
        <v/>
      </c>
      <c r="O26" s="127" t="str">
        <f ca="1">OFFSET('Data Entry'!$A$1,Printouts!O$15,Printouts!$B26)</f>
        <v/>
      </c>
      <c r="P26" s="127" t="str">
        <f ca="1">OFFSET('Data Entry'!$A$1,Printouts!P$15,Printouts!$B26)</f>
        <v/>
      </c>
      <c r="Q26" s="127" t="str">
        <f ca="1">OFFSET('Data Entry'!$A$1,Printouts!Q$15,Printouts!$B26)</f>
        <v/>
      </c>
    </row>
    <row r="27" spans="2:17" ht="15" thickBot="1">
      <c r="B27">
        <f t="shared" si="1"/>
        <v>17</v>
      </c>
      <c r="C27" s="151" t="str">
        <f ca="1">OFFSET('Data Entry'!$A$1,Printouts!G$15,Printouts!$B27)</f>
        <v>Another Type 2</v>
      </c>
      <c r="D27" s="152"/>
      <c r="E27" s="152"/>
      <c r="F27" s="152"/>
      <c r="G27" s="124">
        <f ca="1">OFFSET('Data Entry'!$A$1,Printouts!F$15,Printouts!$B27)</f>
        <v>0</v>
      </c>
      <c r="H27" s="128" t="str">
        <f ca="1">OFFSET('Data Entry'!$A$1,Printouts!H$15,Printouts!$B27)</f>
        <v/>
      </c>
      <c r="I27" s="128" t="str">
        <f ca="1">OFFSET('Data Entry'!$A$1,Printouts!I$15,Printouts!$B27)</f>
        <v/>
      </c>
      <c r="J27" s="128" t="str">
        <f ca="1">OFFSET('Data Entry'!$A$1,Printouts!J$15,Printouts!$B27)</f>
        <v/>
      </c>
      <c r="K27" s="128" t="str">
        <f ca="1">OFFSET('Data Entry'!$A$1,Printouts!K$15,Printouts!$B27)</f>
        <v/>
      </c>
      <c r="L27" s="128" t="str">
        <f ca="1">OFFSET('Data Entry'!$A$1,Printouts!L$15,Printouts!$B27)</f>
        <v/>
      </c>
      <c r="M27" s="128" t="str">
        <f ca="1">OFFSET('Data Entry'!$A$1,Printouts!M$15,Printouts!$B27)</f>
        <v/>
      </c>
      <c r="N27" s="128" t="str">
        <f ca="1">OFFSET('Data Entry'!$A$1,Printouts!N$15,Printouts!$B27)</f>
        <v/>
      </c>
      <c r="O27" s="128" t="str">
        <f ca="1">OFFSET('Data Entry'!$A$1,Printouts!O$15,Printouts!$B27)</f>
        <v/>
      </c>
      <c r="P27" s="128" t="str">
        <f ca="1">OFFSET('Data Entry'!$A$1,Printouts!P$15,Printouts!$B27)</f>
        <v/>
      </c>
      <c r="Q27" s="128" t="str">
        <f ca="1">OFFSET('Data Entry'!$A$1,Printouts!Q$15,Printouts!$B27)</f>
        <v/>
      </c>
    </row>
    <row r="28" spans="2:17">
      <c r="C28" s="109" t="s">
        <v>471</v>
      </c>
      <c r="D28" s="104" t="s">
        <v>1</v>
      </c>
      <c r="E28" s="104" t="s">
        <v>2</v>
      </c>
      <c r="F28" s="105" t="s">
        <v>436</v>
      </c>
      <c r="G28" s="107" t="s">
        <v>473</v>
      </c>
      <c r="H28" s="129" t="s">
        <v>474</v>
      </c>
      <c r="I28" s="129" t="s">
        <v>478</v>
      </c>
      <c r="J28" s="129" t="s">
        <v>478</v>
      </c>
      <c r="K28" s="129" t="s">
        <v>478</v>
      </c>
      <c r="L28" s="129" t="s">
        <v>478</v>
      </c>
      <c r="M28" s="129" t="s">
        <v>478</v>
      </c>
      <c r="N28" s="129" t="s">
        <v>478</v>
      </c>
      <c r="O28" s="129" t="s">
        <v>478</v>
      </c>
      <c r="P28" s="129" t="s">
        <v>478</v>
      </c>
      <c r="Q28" s="129" t="s">
        <v>478</v>
      </c>
    </row>
    <row r="29" spans="2:17">
      <c r="B29">
        <v>18</v>
      </c>
      <c r="C29" s="100" t="str">
        <f ca="1">OFFSET('Data Entry'!$A$1,Printouts!C$15,Printouts!$B29)</f>
        <v>Homeworks</v>
      </c>
      <c r="D29" s="98">
        <f ca="1">OFFSET('Data Entry'!$A$1,Printouts!D$15,Printouts!$B29)</f>
        <v>10</v>
      </c>
      <c r="E29" s="99">
        <f ca="1">OFFSET('Data Entry'!$A$1,Printouts!E$15,Printouts!$B29)</f>
        <v>1</v>
      </c>
      <c r="F29" s="102">
        <f ca="1">OFFSET('Data Entry'!$A$1,Printouts!F$15,Printouts!$B29)</f>
        <v>42024</v>
      </c>
      <c r="G29" s="108" t="str">
        <f ca="1">OFFSET('Data Entry'!$A$1,Printouts!G$15,Printouts!$B29)</f>
        <v>Homework One</v>
      </c>
      <c r="H29" s="130">
        <f ca="1">OFFSET('Data Entry'!$A$1,Printouts!H$15,Printouts!$B29)</f>
        <v>10</v>
      </c>
      <c r="I29" s="130">
        <f ca="1">OFFSET('Data Entry'!$A$1,Printouts!I$15,Printouts!$B29)</f>
        <v>8</v>
      </c>
      <c r="J29" s="130">
        <f ca="1">OFFSET('Data Entry'!$A$1,Printouts!J$15,Printouts!$B29)</f>
        <v>10</v>
      </c>
      <c r="K29" s="130">
        <f ca="1">OFFSET('Data Entry'!$A$1,Printouts!K$15,Printouts!$B29)</f>
        <v>10</v>
      </c>
      <c r="L29" s="130">
        <f ca="1">OFFSET('Data Entry'!$A$1,Printouts!L$15,Printouts!$B29)</f>
        <v>0</v>
      </c>
      <c r="M29" s="130">
        <f ca="1">OFFSET('Data Entry'!$A$1,Printouts!M$15,Printouts!$B29)</f>
        <v>0</v>
      </c>
      <c r="N29" s="130">
        <f ca="1">OFFSET('Data Entry'!$A$1,Printouts!N$15,Printouts!$B29)</f>
        <v>0</v>
      </c>
      <c r="O29" s="130">
        <f ca="1">OFFSET('Data Entry'!$A$1,Printouts!O$15,Printouts!$B29)</f>
        <v>0</v>
      </c>
      <c r="P29" s="130">
        <f ca="1">OFFSET('Data Entry'!$A$1,Printouts!P$15,Printouts!$B29)</f>
        <v>0</v>
      </c>
      <c r="Q29" s="130">
        <f ca="1">OFFSET('Data Entry'!$A$1,Printouts!Q$15,Printouts!$B29)</f>
        <v>0</v>
      </c>
    </row>
    <row r="30" spans="2:17">
      <c r="B30">
        <f>B29+1</f>
        <v>19</v>
      </c>
      <c r="C30" s="101" t="str">
        <f ca="1">OFFSET('Data Entry'!$A$1,Printouts!C$15,Printouts!$B30)</f>
        <v>Classworks</v>
      </c>
      <c r="D30" s="96">
        <f ca="1">OFFSET('Data Entry'!$A$1,Printouts!D$15,Printouts!$B30)</f>
        <v>15</v>
      </c>
      <c r="E30" s="97">
        <f ca="1">OFFSET('Data Entry'!$A$1,Printouts!E$15,Printouts!$B30)</f>
        <v>1</v>
      </c>
      <c r="F30" s="103">
        <f ca="1">OFFSET('Data Entry'!$A$1,Printouts!F$15,Printouts!$B30)</f>
        <v>42029</v>
      </c>
      <c r="G30" s="106" t="str">
        <f ca="1">OFFSET('Data Entry'!$A$1,Printouts!G$15,Printouts!$B30)</f>
        <v>Classwork  One</v>
      </c>
      <c r="H30" s="127">
        <f ca="1">OFFSET('Data Entry'!$A$1,Printouts!H$15,Printouts!$B30)</f>
        <v>15</v>
      </c>
      <c r="I30" s="127">
        <f ca="1">OFFSET('Data Entry'!$A$1,Printouts!I$15,Printouts!$B30)</f>
        <v>10</v>
      </c>
      <c r="J30" s="127">
        <f ca="1">OFFSET('Data Entry'!$A$1,Printouts!J$15,Printouts!$B30)</f>
        <v>12</v>
      </c>
      <c r="K30" s="127">
        <f ca="1">OFFSET('Data Entry'!$A$1,Printouts!K$15,Printouts!$B30)</f>
        <v>15</v>
      </c>
      <c r="L30" s="127">
        <f ca="1">OFFSET('Data Entry'!$A$1,Printouts!L$15,Printouts!$B30)</f>
        <v>0</v>
      </c>
      <c r="M30" s="127">
        <f ca="1">OFFSET('Data Entry'!$A$1,Printouts!M$15,Printouts!$B30)</f>
        <v>0</v>
      </c>
      <c r="N30" s="127">
        <f ca="1">OFFSET('Data Entry'!$A$1,Printouts!N$15,Printouts!$B30)</f>
        <v>0</v>
      </c>
      <c r="O30" s="127">
        <f ca="1">OFFSET('Data Entry'!$A$1,Printouts!O$15,Printouts!$B30)</f>
        <v>0</v>
      </c>
      <c r="P30" s="127">
        <f ca="1">OFFSET('Data Entry'!$A$1,Printouts!P$15,Printouts!$B30)</f>
        <v>0</v>
      </c>
      <c r="Q30" s="127">
        <f ca="1">OFFSET('Data Entry'!$A$1,Printouts!Q$15,Printouts!$B30)</f>
        <v>0</v>
      </c>
    </row>
    <row r="31" spans="2:17">
      <c r="B31">
        <f t="shared" ref="B31:B38" si="2">B30+1</f>
        <v>20</v>
      </c>
      <c r="C31" s="101" t="str">
        <f ca="1">OFFSET('Data Entry'!$A$1,Printouts!C$15,Printouts!$B31)</f>
        <v>Homeworks</v>
      </c>
      <c r="D31" s="96">
        <f ca="1">OFFSET('Data Entry'!$A$1,Printouts!D$15,Printouts!$B31)</f>
        <v>5</v>
      </c>
      <c r="E31" s="97">
        <f ca="1">OFFSET('Data Entry'!$A$1,Printouts!E$15,Printouts!$B31)</f>
        <v>1</v>
      </c>
      <c r="F31" s="103">
        <f ca="1">OFFSET('Data Entry'!$A$1,Printouts!F$15,Printouts!$B31)</f>
        <v>42031</v>
      </c>
      <c r="G31" s="106" t="str">
        <f ca="1">OFFSET('Data Entry'!$A$1,Printouts!G$15,Printouts!$B31)</f>
        <v>Homework Two</v>
      </c>
      <c r="H31" s="127">
        <f ca="1">OFFSET('Data Entry'!$A$1,Printouts!H$15,Printouts!$B31)</f>
        <v>5</v>
      </c>
      <c r="I31" s="127">
        <f ca="1">OFFSET('Data Entry'!$A$1,Printouts!I$15,Printouts!$B31)</f>
        <v>4</v>
      </c>
      <c r="J31" s="127" t="str">
        <f ca="1">OFFSET('Data Entry'!$A$1,Printouts!J$15,Printouts!$B31)</f>
        <v>Excused</v>
      </c>
      <c r="K31" s="127">
        <f ca="1">OFFSET('Data Entry'!$A$1,Printouts!K$15,Printouts!$B31)</f>
        <v>4</v>
      </c>
      <c r="L31" s="127">
        <f ca="1">OFFSET('Data Entry'!$A$1,Printouts!L$15,Printouts!$B31)</f>
        <v>0</v>
      </c>
      <c r="M31" s="127">
        <f ca="1">OFFSET('Data Entry'!$A$1,Printouts!M$15,Printouts!$B31)</f>
        <v>0</v>
      </c>
      <c r="N31" s="127">
        <f ca="1">OFFSET('Data Entry'!$A$1,Printouts!N$15,Printouts!$B31)</f>
        <v>0</v>
      </c>
      <c r="O31" s="127">
        <f ca="1">OFFSET('Data Entry'!$A$1,Printouts!O$15,Printouts!$B31)</f>
        <v>0</v>
      </c>
      <c r="P31" s="127">
        <f ca="1">OFFSET('Data Entry'!$A$1,Printouts!P$15,Printouts!$B31)</f>
        <v>0</v>
      </c>
      <c r="Q31" s="127">
        <f ca="1">OFFSET('Data Entry'!$A$1,Printouts!Q$15,Printouts!$B31)</f>
        <v>0</v>
      </c>
    </row>
    <row r="32" spans="2:17">
      <c r="B32">
        <f t="shared" si="2"/>
        <v>21</v>
      </c>
      <c r="C32" s="101" t="str">
        <f ca="1">OFFSET('Data Entry'!$A$1,Printouts!C$15,Printouts!$B32)</f>
        <v>Tests</v>
      </c>
      <c r="D32" s="96">
        <f ca="1">OFFSET('Data Entry'!$A$1,Printouts!D$15,Printouts!$B32)</f>
        <v>50</v>
      </c>
      <c r="E32" s="97">
        <f ca="1">OFFSET('Data Entry'!$A$1,Printouts!E$15,Printouts!$B32)</f>
        <v>1</v>
      </c>
      <c r="F32" s="103">
        <f ca="1">OFFSET('Data Entry'!$A$1,Printouts!F$15,Printouts!$B32)</f>
        <v>42034</v>
      </c>
      <c r="G32" s="106" t="str">
        <f ca="1">OFFSET('Data Entry'!$A$1,Printouts!G$15,Printouts!$B32)</f>
        <v>First Test</v>
      </c>
      <c r="H32" s="127">
        <f ca="1">OFFSET('Data Entry'!$A$1,Printouts!H$15,Printouts!$B32)</f>
        <v>50</v>
      </c>
      <c r="I32" s="127">
        <f ca="1">OFFSET('Data Entry'!$A$1,Printouts!I$15,Printouts!$B32)</f>
        <v>48</v>
      </c>
      <c r="J32" s="127">
        <f ca="1">OFFSET('Data Entry'!$A$1,Printouts!J$15,Printouts!$B32)</f>
        <v>40</v>
      </c>
      <c r="K32" s="127">
        <f ca="1">OFFSET('Data Entry'!$A$1,Printouts!K$15,Printouts!$B32)</f>
        <v>40</v>
      </c>
      <c r="L32" s="127">
        <f ca="1">OFFSET('Data Entry'!$A$1,Printouts!L$15,Printouts!$B32)</f>
        <v>0</v>
      </c>
      <c r="M32" s="127">
        <f ca="1">OFFSET('Data Entry'!$A$1,Printouts!M$15,Printouts!$B32)</f>
        <v>0</v>
      </c>
      <c r="N32" s="127">
        <f ca="1">OFFSET('Data Entry'!$A$1,Printouts!N$15,Printouts!$B32)</f>
        <v>0</v>
      </c>
      <c r="O32" s="127">
        <f ca="1">OFFSET('Data Entry'!$A$1,Printouts!O$15,Printouts!$B32)</f>
        <v>0</v>
      </c>
      <c r="P32" s="127">
        <f ca="1">OFFSET('Data Entry'!$A$1,Printouts!P$15,Printouts!$B32)</f>
        <v>0</v>
      </c>
      <c r="Q32" s="127">
        <f ca="1">OFFSET('Data Entry'!$A$1,Printouts!Q$15,Printouts!$B32)</f>
        <v>0</v>
      </c>
    </row>
    <row r="33" spans="2:17">
      <c r="B33">
        <f t="shared" si="2"/>
        <v>22</v>
      </c>
      <c r="C33" s="101" t="str">
        <f ca="1">OFFSET('Data Entry'!$A$1,Printouts!C$15,Printouts!$B33)</f>
        <v>Projects</v>
      </c>
      <c r="D33" s="96">
        <f ca="1">OFFSET('Data Entry'!$A$1,Printouts!D$15,Printouts!$B33)</f>
        <v>10</v>
      </c>
      <c r="E33" s="97">
        <f ca="1">OFFSET('Data Entry'!$A$1,Printouts!E$15,Printouts!$B33)</f>
        <v>1</v>
      </c>
      <c r="F33" s="103">
        <f ca="1">OFFSET('Data Entry'!$A$1,Printouts!F$15,Printouts!$B33)</f>
        <v>42035</v>
      </c>
      <c r="G33" s="106" t="str">
        <f ca="1">OFFSET('Data Entry'!$A$1,Printouts!G$15,Printouts!$B33)</f>
        <v>Project</v>
      </c>
      <c r="H33" s="127">
        <f ca="1">OFFSET('Data Entry'!$A$1,Printouts!H$15,Printouts!$B33)</f>
        <v>10</v>
      </c>
      <c r="I33" s="127">
        <f ca="1">OFFSET('Data Entry'!$A$1,Printouts!I$15,Printouts!$B33)</f>
        <v>10</v>
      </c>
      <c r="J33" s="127">
        <f ca="1">OFFSET('Data Entry'!$A$1,Printouts!J$15,Printouts!$B33)</f>
        <v>8</v>
      </c>
      <c r="K33" s="127">
        <f ca="1">OFFSET('Data Entry'!$A$1,Printouts!K$15,Printouts!$B33)</f>
        <v>9</v>
      </c>
      <c r="L33" s="127">
        <f ca="1">OFFSET('Data Entry'!$A$1,Printouts!L$15,Printouts!$B33)</f>
        <v>0</v>
      </c>
      <c r="M33" s="127">
        <f ca="1">OFFSET('Data Entry'!$A$1,Printouts!M$15,Printouts!$B33)</f>
        <v>0</v>
      </c>
      <c r="N33" s="127">
        <f ca="1">OFFSET('Data Entry'!$A$1,Printouts!N$15,Printouts!$B33)</f>
        <v>0</v>
      </c>
      <c r="O33" s="127">
        <f ca="1">OFFSET('Data Entry'!$A$1,Printouts!O$15,Printouts!$B33)</f>
        <v>0</v>
      </c>
      <c r="P33" s="127">
        <f ca="1">OFFSET('Data Entry'!$A$1,Printouts!P$15,Printouts!$B33)</f>
        <v>0</v>
      </c>
      <c r="Q33" s="127">
        <f ca="1">OFFSET('Data Entry'!$A$1,Printouts!Q$15,Printouts!$B33)</f>
        <v>0</v>
      </c>
    </row>
    <row r="34" spans="2:17">
      <c r="B34">
        <f t="shared" si="2"/>
        <v>23</v>
      </c>
      <c r="C34" s="101">
        <f ca="1">OFFSET('Data Entry'!$A$1,Printouts!C$15,Printouts!$B34)</f>
        <v>0</v>
      </c>
      <c r="D34" s="96">
        <f ca="1">OFFSET('Data Entry'!$A$1,Printouts!D$15,Printouts!$B34)</f>
        <v>0</v>
      </c>
      <c r="E34" s="97">
        <f ca="1">OFFSET('Data Entry'!$A$1,Printouts!E$15,Printouts!$B34)</f>
        <v>1</v>
      </c>
      <c r="F34" s="103">
        <f ca="1">OFFSET('Data Entry'!$A$1,Printouts!F$15,Printouts!$B34)</f>
        <v>0</v>
      </c>
      <c r="G34" s="106" t="str">
        <f ca="1">OFFSET('Data Entry'!$A$1,Printouts!G$15,Printouts!$B34)</f>
        <v>Assessment 2</v>
      </c>
      <c r="H34" s="127">
        <f ca="1">OFFSET('Data Entry'!$A$1,Printouts!H$15,Printouts!$B34)</f>
        <v>0</v>
      </c>
      <c r="I34" s="127">
        <f ca="1">OFFSET('Data Entry'!$A$1,Printouts!I$15,Printouts!$B34)</f>
        <v>0</v>
      </c>
      <c r="J34" s="127">
        <f ca="1">OFFSET('Data Entry'!$A$1,Printouts!J$15,Printouts!$B34)</f>
        <v>0</v>
      </c>
      <c r="K34" s="127">
        <f ca="1">OFFSET('Data Entry'!$A$1,Printouts!K$15,Printouts!$B34)</f>
        <v>0</v>
      </c>
      <c r="L34" s="127">
        <f ca="1">OFFSET('Data Entry'!$A$1,Printouts!L$15,Printouts!$B34)</f>
        <v>0</v>
      </c>
      <c r="M34" s="127">
        <f ca="1">OFFSET('Data Entry'!$A$1,Printouts!M$15,Printouts!$B34)</f>
        <v>0</v>
      </c>
      <c r="N34" s="127">
        <f ca="1">OFFSET('Data Entry'!$A$1,Printouts!N$15,Printouts!$B34)</f>
        <v>0</v>
      </c>
      <c r="O34" s="127">
        <f ca="1">OFFSET('Data Entry'!$A$1,Printouts!O$15,Printouts!$B34)</f>
        <v>0</v>
      </c>
      <c r="P34" s="127">
        <f ca="1">OFFSET('Data Entry'!$A$1,Printouts!P$15,Printouts!$B34)</f>
        <v>0</v>
      </c>
      <c r="Q34" s="127">
        <f ca="1">OFFSET('Data Entry'!$A$1,Printouts!Q$15,Printouts!$B34)</f>
        <v>0</v>
      </c>
    </row>
    <row r="35" spans="2:17">
      <c r="B35">
        <f t="shared" si="2"/>
        <v>24</v>
      </c>
      <c r="C35" s="101">
        <f ca="1">OFFSET('Data Entry'!$A$1,Printouts!C$15,Printouts!$B35)</f>
        <v>0</v>
      </c>
      <c r="D35" s="96">
        <f ca="1">OFFSET('Data Entry'!$A$1,Printouts!D$15,Printouts!$B35)</f>
        <v>0</v>
      </c>
      <c r="E35" s="97">
        <f ca="1">OFFSET('Data Entry'!$A$1,Printouts!E$15,Printouts!$B35)</f>
        <v>1</v>
      </c>
      <c r="F35" s="103">
        <f ca="1">OFFSET('Data Entry'!$A$1,Printouts!F$15,Printouts!$B35)</f>
        <v>0</v>
      </c>
      <c r="G35" s="106" t="str">
        <f ca="1">OFFSET('Data Entry'!$A$1,Printouts!G$15,Printouts!$B35)</f>
        <v>Assessment 3</v>
      </c>
      <c r="H35" s="127">
        <f ca="1">OFFSET('Data Entry'!$A$1,Printouts!H$15,Printouts!$B35)</f>
        <v>0</v>
      </c>
      <c r="I35" s="127">
        <f ca="1">OFFSET('Data Entry'!$A$1,Printouts!I$15,Printouts!$B35)</f>
        <v>0</v>
      </c>
      <c r="J35" s="127">
        <f ca="1">OFFSET('Data Entry'!$A$1,Printouts!J$15,Printouts!$B35)</f>
        <v>0</v>
      </c>
      <c r="K35" s="127">
        <f ca="1">OFFSET('Data Entry'!$A$1,Printouts!K$15,Printouts!$B35)</f>
        <v>0</v>
      </c>
      <c r="L35" s="127">
        <f ca="1">OFFSET('Data Entry'!$A$1,Printouts!L$15,Printouts!$B35)</f>
        <v>0</v>
      </c>
      <c r="M35" s="127">
        <f ca="1">OFFSET('Data Entry'!$A$1,Printouts!M$15,Printouts!$B35)</f>
        <v>0</v>
      </c>
      <c r="N35" s="127">
        <f ca="1">OFFSET('Data Entry'!$A$1,Printouts!N$15,Printouts!$B35)</f>
        <v>0</v>
      </c>
      <c r="O35" s="127">
        <f ca="1">OFFSET('Data Entry'!$A$1,Printouts!O$15,Printouts!$B35)</f>
        <v>0</v>
      </c>
      <c r="P35" s="127">
        <f ca="1">OFFSET('Data Entry'!$A$1,Printouts!P$15,Printouts!$B35)</f>
        <v>0</v>
      </c>
      <c r="Q35" s="127">
        <f ca="1">OFFSET('Data Entry'!$A$1,Printouts!Q$15,Printouts!$B35)</f>
        <v>0</v>
      </c>
    </row>
    <row r="36" spans="2:17">
      <c r="B36">
        <f t="shared" si="2"/>
        <v>25</v>
      </c>
      <c r="C36" s="101">
        <f ca="1">OFFSET('Data Entry'!$A$1,Printouts!C$15,Printouts!$B36)</f>
        <v>0</v>
      </c>
      <c r="D36" s="96">
        <f ca="1">OFFSET('Data Entry'!$A$1,Printouts!D$15,Printouts!$B36)</f>
        <v>0</v>
      </c>
      <c r="E36" s="97">
        <f ca="1">OFFSET('Data Entry'!$A$1,Printouts!E$15,Printouts!$B36)</f>
        <v>1</v>
      </c>
      <c r="F36" s="103">
        <f ca="1">OFFSET('Data Entry'!$A$1,Printouts!F$15,Printouts!$B36)</f>
        <v>0</v>
      </c>
      <c r="G36" s="106" t="str">
        <f ca="1">OFFSET('Data Entry'!$A$1,Printouts!G$15,Printouts!$B36)</f>
        <v>Assessment 4</v>
      </c>
      <c r="H36" s="127">
        <f ca="1">OFFSET('Data Entry'!$A$1,Printouts!H$15,Printouts!$B36)</f>
        <v>0</v>
      </c>
      <c r="I36" s="127">
        <f ca="1">OFFSET('Data Entry'!$A$1,Printouts!I$15,Printouts!$B36)</f>
        <v>0</v>
      </c>
      <c r="J36" s="127">
        <f ca="1">OFFSET('Data Entry'!$A$1,Printouts!J$15,Printouts!$B36)</f>
        <v>0</v>
      </c>
      <c r="K36" s="127">
        <f ca="1">OFFSET('Data Entry'!$A$1,Printouts!K$15,Printouts!$B36)</f>
        <v>0</v>
      </c>
      <c r="L36" s="127">
        <f ca="1">OFFSET('Data Entry'!$A$1,Printouts!L$15,Printouts!$B36)</f>
        <v>0</v>
      </c>
      <c r="M36" s="127">
        <f ca="1">OFFSET('Data Entry'!$A$1,Printouts!M$15,Printouts!$B36)</f>
        <v>0</v>
      </c>
      <c r="N36" s="127">
        <f ca="1">OFFSET('Data Entry'!$A$1,Printouts!N$15,Printouts!$B36)</f>
        <v>0</v>
      </c>
      <c r="O36" s="127">
        <f ca="1">OFFSET('Data Entry'!$A$1,Printouts!O$15,Printouts!$B36)</f>
        <v>0</v>
      </c>
      <c r="P36" s="127">
        <f ca="1">OFFSET('Data Entry'!$A$1,Printouts!P$15,Printouts!$B36)</f>
        <v>0</v>
      </c>
      <c r="Q36" s="127">
        <f ca="1">OFFSET('Data Entry'!$A$1,Printouts!Q$15,Printouts!$B36)</f>
        <v>0</v>
      </c>
    </row>
    <row r="37" spans="2:17">
      <c r="B37">
        <f t="shared" si="2"/>
        <v>26</v>
      </c>
      <c r="C37" s="101">
        <f ca="1">OFFSET('Data Entry'!$A$1,Printouts!C$15,Printouts!$B37)</f>
        <v>0</v>
      </c>
      <c r="D37" s="96">
        <f ca="1">OFFSET('Data Entry'!$A$1,Printouts!D$15,Printouts!$B37)</f>
        <v>0</v>
      </c>
      <c r="E37" s="97">
        <f ca="1">OFFSET('Data Entry'!$A$1,Printouts!E$15,Printouts!$B37)</f>
        <v>1</v>
      </c>
      <c r="F37" s="103">
        <f ca="1">OFFSET('Data Entry'!$A$1,Printouts!F$15,Printouts!$B37)</f>
        <v>0</v>
      </c>
      <c r="G37" s="106" t="str">
        <f ca="1">OFFSET('Data Entry'!$A$1,Printouts!G$15,Printouts!$B37)</f>
        <v>Assessment 5</v>
      </c>
      <c r="H37" s="127">
        <f ca="1">OFFSET('Data Entry'!$A$1,Printouts!H$15,Printouts!$B37)</f>
        <v>0</v>
      </c>
      <c r="I37" s="127">
        <f ca="1">OFFSET('Data Entry'!$A$1,Printouts!I$15,Printouts!$B37)</f>
        <v>0</v>
      </c>
      <c r="J37" s="127">
        <f ca="1">OFFSET('Data Entry'!$A$1,Printouts!J$15,Printouts!$B37)</f>
        <v>0</v>
      </c>
      <c r="K37" s="127">
        <f ca="1">OFFSET('Data Entry'!$A$1,Printouts!K$15,Printouts!$B37)</f>
        <v>0</v>
      </c>
      <c r="L37" s="127">
        <f ca="1">OFFSET('Data Entry'!$A$1,Printouts!L$15,Printouts!$B37)</f>
        <v>0</v>
      </c>
      <c r="M37" s="127">
        <f ca="1">OFFSET('Data Entry'!$A$1,Printouts!M$15,Printouts!$B37)</f>
        <v>0</v>
      </c>
      <c r="N37" s="127">
        <f ca="1">OFFSET('Data Entry'!$A$1,Printouts!N$15,Printouts!$B37)</f>
        <v>0</v>
      </c>
      <c r="O37" s="127">
        <f ca="1">OFFSET('Data Entry'!$A$1,Printouts!O$15,Printouts!$B37)</f>
        <v>0</v>
      </c>
      <c r="P37" s="127">
        <f ca="1">OFFSET('Data Entry'!$A$1,Printouts!P$15,Printouts!$B37)</f>
        <v>0</v>
      </c>
      <c r="Q37" s="127">
        <f ca="1">OFFSET('Data Entry'!$A$1,Printouts!Q$15,Printouts!$B37)</f>
        <v>0</v>
      </c>
    </row>
    <row r="38" spans="2:17">
      <c r="B38">
        <f t="shared" si="2"/>
        <v>27</v>
      </c>
      <c r="C38" s="101">
        <f ca="1">OFFSET('Data Entry'!$A$1,Printouts!C$15,Printouts!$B38)</f>
        <v>0</v>
      </c>
      <c r="D38" s="96">
        <f ca="1">OFFSET('Data Entry'!$A$1,Printouts!D$15,Printouts!$B38)</f>
        <v>0</v>
      </c>
      <c r="E38" s="97">
        <f ca="1">OFFSET('Data Entry'!$A$1,Printouts!E$15,Printouts!$B38)</f>
        <v>1</v>
      </c>
      <c r="F38" s="103">
        <f ca="1">OFFSET('Data Entry'!$A$1,Printouts!F$15,Printouts!$B38)</f>
        <v>0</v>
      </c>
      <c r="G38" s="106" t="str">
        <f ca="1">OFFSET('Data Entry'!$A$1,Printouts!G$15,Printouts!$B38)</f>
        <v>Assessment 6</v>
      </c>
      <c r="H38" s="127">
        <f ca="1">OFFSET('Data Entry'!$A$1,Printouts!H$15,Printouts!$B38)</f>
        <v>0</v>
      </c>
      <c r="I38" s="127">
        <f ca="1">OFFSET('Data Entry'!$A$1,Printouts!I$15,Printouts!$B38)</f>
        <v>0</v>
      </c>
      <c r="J38" s="127">
        <f ca="1">OFFSET('Data Entry'!$A$1,Printouts!J$15,Printouts!$B38)</f>
        <v>0</v>
      </c>
      <c r="K38" s="127">
        <f ca="1">OFFSET('Data Entry'!$A$1,Printouts!K$15,Printouts!$B38)</f>
        <v>0</v>
      </c>
      <c r="L38" s="127">
        <f ca="1">OFFSET('Data Entry'!$A$1,Printouts!L$15,Printouts!$B38)</f>
        <v>0</v>
      </c>
      <c r="M38" s="127">
        <f ca="1">OFFSET('Data Entry'!$A$1,Printouts!M$15,Printouts!$B38)</f>
        <v>0</v>
      </c>
      <c r="N38" s="127">
        <f ca="1">OFFSET('Data Entry'!$A$1,Printouts!N$15,Printouts!$B38)</f>
        <v>0</v>
      </c>
      <c r="O38" s="127">
        <f ca="1">OFFSET('Data Entry'!$A$1,Printouts!O$15,Printouts!$B38)</f>
        <v>0</v>
      </c>
      <c r="P38" s="127">
        <f ca="1">OFFSET('Data Entry'!$A$1,Printouts!P$15,Printouts!$B38)</f>
        <v>0</v>
      </c>
      <c r="Q38" s="127">
        <f ca="1">OFFSET('Data Entry'!$A$1,Printouts!Q$15,Printouts!$B38)</f>
        <v>0</v>
      </c>
    </row>
  </sheetData>
  <mergeCells count="11">
    <mergeCell ref="C9:G9"/>
    <mergeCell ref="C12:G12"/>
    <mergeCell ref="C21:F21"/>
    <mergeCell ref="C22:F22"/>
    <mergeCell ref="C23:F23"/>
    <mergeCell ref="C25:F25"/>
    <mergeCell ref="C26:F26"/>
    <mergeCell ref="C27:F27"/>
    <mergeCell ref="C16:G16"/>
    <mergeCell ref="C19:G19"/>
    <mergeCell ref="C24:F24"/>
  </mergeCells>
  <printOptions horizontalCentered="1"/>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sheetPr>
  <dimension ref="A1:ND40"/>
  <sheetViews>
    <sheetView workbookViewId="0">
      <pane xSplit="3" ySplit="1" topLeftCell="D2" activePane="bottomRight" state="frozen"/>
      <selection activeCell="I22" sqref="I22"/>
      <selection pane="topRight" activeCell="I22" sqref="I22"/>
      <selection pane="bottomLeft" activeCell="I22" sqref="I22"/>
      <selection pane="bottomRight" activeCell="D2" sqref="D2"/>
    </sheetView>
  </sheetViews>
  <sheetFormatPr baseColWidth="10" defaultColWidth="4.1640625" defaultRowHeight="13" x14ac:dyDescent="0"/>
  <cols>
    <col min="1" max="1" width="20.33203125" style="8" customWidth="1"/>
    <col min="2" max="3" width="5.6640625" style="8" customWidth="1"/>
    <col min="4" max="303" width="4.1640625" style="8"/>
    <col min="304" max="304" width="4.1640625" style="8" customWidth="1"/>
    <col min="305" max="16384" width="4.1640625" style="8"/>
  </cols>
  <sheetData>
    <row r="1" spans="1:368" s="27" customFormat="1" ht="70.5" customHeight="1">
      <c r="A1" t="s">
        <v>435</v>
      </c>
      <c r="B1" s="140" t="s">
        <v>10</v>
      </c>
      <c r="C1" s="141" t="s">
        <v>445</v>
      </c>
      <c r="D1" s="139" t="s">
        <v>434</v>
      </c>
      <c r="E1" s="139" t="s">
        <v>433</v>
      </c>
      <c r="F1" s="139" t="s">
        <v>432</v>
      </c>
      <c r="G1" s="139" t="s">
        <v>431</v>
      </c>
      <c r="H1" s="139" t="s">
        <v>430</v>
      </c>
      <c r="I1" s="139" t="s">
        <v>429</v>
      </c>
      <c r="J1" s="139" t="s">
        <v>428</v>
      </c>
      <c r="K1" s="139" t="s">
        <v>427</v>
      </c>
      <c r="L1" s="139" t="s">
        <v>426</v>
      </c>
      <c r="M1" s="139" t="s">
        <v>425</v>
      </c>
      <c r="N1" s="139" t="s">
        <v>424</v>
      </c>
      <c r="O1" s="139" t="s">
        <v>423</v>
      </c>
      <c r="P1" s="139" t="s">
        <v>422</v>
      </c>
      <c r="Q1" s="139" t="s">
        <v>421</v>
      </c>
      <c r="R1" s="139" t="s">
        <v>420</v>
      </c>
      <c r="S1" s="139" t="s">
        <v>419</v>
      </c>
      <c r="T1" s="139" t="s">
        <v>418</v>
      </c>
      <c r="U1" s="139" t="s">
        <v>417</v>
      </c>
      <c r="V1" s="139" t="s">
        <v>416</v>
      </c>
      <c r="W1" s="139" t="s">
        <v>415</v>
      </c>
      <c r="X1" s="139" t="s">
        <v>414</v>
      </c>
      <c r="Y1" s="139" t="s">
        <v>413</v>
      </c>
      <c r="Z1" s="139" t="s">
        <v>412</v>
      </c>
      <c r="AA1" s="139" t="s">
        <v>411</v>
      </c>
      <c r="AB1" s="139" t="s">
        <v>410</v>
      </c>
      <c r="AC1" s="139" t="s">
        <v>409</v>
      </c>
      <c r="AD1" s="139" t="s">
        <v>408</v>
      </c>
      <c r="AE1" s="139" t="s">
        <v>407</v>
      </c>
      <c r="AF1" s="139" t="s">
        <v>406</v>
      </c>
      <c r="AG1" s="139" t="s">
        <v>405</v>
      </c>
      <c r="AH1" s="139" t="s">
        <v>404</v>
      </c>
      <c r="AI1" s="139" t="s">
        <v>403</v>
      </c>
      <c r="AJ1" s="139" t="s">
        <v>402</v>
      </c>
      <c r="AK1" s="139" t="s">
        <v>401</v>
      </c>
      <c r="AL1" s="139" t="s">
        <v>400</v>
      </c>
      <c r="AM1" s="139" t="s">
        <v>399</v>
      </c>
      <c r="AN1" s="139" t="s">
        <v>398</v>
      </c>
      <c r="AO1" s="139" t="s">
        <v>397</v>
      </c>
      <c r="AP1" s="139" t="s">
        <v>396</v>
      </c>
      <c r="AQ1" s="139" t="s">
        <v>395</v>
      </c>
      <c r="AR1" s="139" t="s">
        <v>394</v>
      </c>
      <c r="AS1" s="139" t="s">
        <v>393</v>
      </c>
      <c r="AT1" s="139" t="s">
        <v>392</v>
      </c>
      <c r="AU1" s="139" t="s">
        <v>391</v>
      </c>
      <c r="AV1" s="139" t="s">
        <v>390</v>
      </c>
      <c r="AW1" s="139" t="s">
        <v>389</v>
      </c>
      <c r="AX1" s="139" t="s">
        <v>388</v>
      </c>
      <c r="AY1" s="139" t="s">
        <v>387</v>
      </c>
      <c r="AZ1" s="139" t="s">
        <v>386</v>
      </c>
      <c r="BA1" s="139" t="s">
        <v>385</v>
      </c>
      <c r="BB1" s="139" t="s">
        <v>384</v>
      </c>
      <c r="BC1" s="139" t="s">
        <v>383</v>
      </c>
      <c r="BD1" s="139" t="s">
        <v>382</v>
      </c>
      <c r="BE1" s="139" t="s">
        <v>381</v>
      </c>
      <c r="BF1" s="139" t="s">
        <v>380</v>
      </c>
      <c r="BG1" s="139" t="s">
        <v>379</v>
      </c>
      <c r="BH1" s="139" t="s">
        <v>378</v>
      </c>
      <c r="BI1" s="139" t="s">
        <v>377</v>
      </c>
      <c r="BJ1" s="139" t="s">
        <v>376</v>
      </c>
      <c r="BK1" s="139" t="s">
        <v>375</v>
      </c>
      <c r="BL1" s="139" t="s">
        <v>374</v>
      </c>
      <c r="BM1" s="139" t="s">
        <v>373</v>
      </c>
      <c r="BN1" s="139" t="s">
        <v>372</v>
      </c>
      <c r="BO1" s="139" t="s">
        <v>371</v>
      </c>
      <c r="BP1" s="139" t="s">
        <v>370</v>
      </c>
      <c r="BQ1" s="139" t="s">
        <v>369</v>
      </c>
      <c r="BR1" s="139" t="s">
        <v>368</v>
      </c>
      <c r="BS1" s="139" t="s">
        <v>367</v>
      </c>
      <c r="BT1" s="139" t="s">
        <v>366</v>
      </c>
      <c r="BU1" s="139" t="s">
        <v>365</v>
      </c>
      <c r="BV1" s="139" t="s">
        <v>364</v>
      </c>
      <c r="BW1" s="139" t="s">
        <v>363</v>
      </c>
      <c r="BX1" s="139" t="s">
        <v>362</v>
      </c>
      <c r="BY1" s="139" t="s">
        <v>361</v>
      </c>
      <c r="BZ1" s="139" t="s">
        <v>360</v>
      </c>
      <c r="CA1" s="139" t="s">
        <v>359</v>
      </c>
      <c r="CB1" s="139" t="s">
        <v>358</v>
      </c>
      <c r="CC1" s="139" t="s">
        <v>357</v>
      </c>
      <c r="CD1" s="139" t="s">
        <v>356</v>
      </c>
      <c r="CE1" s="139" t="s">
        <v>355</v>
      </c>
      <c r="CF1" s="139" t="s">
        <v>354</v>
      </c>
      <c r="CG1" s="139" t="s">
        <v>353</v>
      </c>
      <c r="CH1" s="139" t="s">
        <v>352</v>
      </c>
      <c r="CI1" s="139" t="s">
        <v>351</v>
      </c>
      <c r="CJ1" s="139" t="s">
        <v>350</v>
      </c>
      <c r="CK1" s="139" t="s">
        <v>349</v>
      </c>
      <c r="CL1" s="139" t="s">
        <v>348</v>
      </c>
      <c r="CM1" s="139" t="s">
        <v>347</v>
      </c>
      <c r="CN1" s="139" t="s">
        <v>346</v>
      </c>
      <c r="CO1" s="139" t="s">
        <v>345</v>
      </c>
      <c r="CP1" s="139" t="s">
        <v>344</v>
      </c>
      <c r="CQ1" s="139" t="s">
        <v>343</v>
      </c>
      <c r="CR1" s="139" t="s">
        <v>342</v>
      </c>
      <c r="CS1" s="139" t="s">
        <v>341</v>
      </c>
      <c r="CT1" s="139" t="s">
        <v>340</v>
      </c>
      <c r="CU1" s="139" t="s">
        <v>339</v>
      </c>
      <c r="CV1" s="139" t="s">
        <v>338</v>
      </c>
      <c r="CW1" s="139" t="s">
        <v>337</v>
      </c>
      <c r="CX1" s="139" t="s">
        <v>336</v>
      </c>
      <c r="CY1" s="139" t="s">
        <v>335</v>
      </c>
      <c r="CZ1" s="139" t="s">
        <v>334</v>
      </c>
      <c r="DA1" s="139" t="s">
        <v>333</v>
      </c>
      <c r="DB1" s="139" t="s">
        <v>332</v>
      </c>
      <c r="DC1" s="139" t="s">
        <v>331</v>
      </c>
      <c r="DD1" s="139" t="s">
        <v>330</v>
      </c>
      <c r="DE1" s="139" t="s">
        <v>329</v>
      </c>
      <c r="DF1" s="139" t="s">
        <v>328</v>
      </c>
      <c r="DG1" s="139" t="s">
        <v>327</v>
      </c>
      <c r="DH1" s="139" t="s">
        <v>326</v>
      </c>
      <c r="DI1" s="139" t="s">
        <v>325</v>
      </c>
      <c r="DJ1" s="139" t="s">
        <v>324</v>
      </c>
      <c r="DK1" s="139" t="s">
        <v>323</v>
      </c>
      <c r="DL1" s="139" t="s">
        <v>322</v>
      </c>
      <c r="DM1" s="139" t="s">
        <v>321</v>
      </c>
      <c r="DN1" s="139" t="s">
        <v>320</v>
      </c>
      <c r="DO1" s="139" t="s">
        <v>319</v>
      </c>
      <c r="DP1" s="139" t="s">
        <v>318</v>
      </c>
      <c r="DQ1" s="139" t="s">
        <v>317</v>
      </c>
      <c r="DR1" s="139" t="s">
        <v>316</v>
      </c>
      <c r="DS1" s="139" t="s">
        <v>315</v>
      </c>
      <c r="DT1" s="139" t="s">
        <v>314</v>
      </c>
      <c r="DU1" s="139" t="s">
        <v>313</v>
      </c>
      <c r="DV1" s="139" t="s">
        <v>312</v>
      </c>
      <c r="DW1" s="139" t="s">
        <v>311</v>
      </c>
      <c r="DX1" s="139" t="s">
        <v>310</v>
      </c>
      <c r="DY1" s="139" t="s">
        <v>309</v>
      </c>
      <c r="DZ1" s="139" t="s">
        <v>308</v>
      </c>
      <c r="EA1" s="139" t="s">
        <v>307</v>
      </c>
      <c r="EB1" s="139" t="s">
        <v>306</v>
      </c>
      <c r="EC1" s="139" t="s">
        <v>305</v>
      </c>
      <c r="ED1" s="139" t="s">
        <v>304</v>
      </c>
      <c r="EE1" s="139" t="s">
        <v>303</v>
      </c>
      <c r="EF1" s="139" t="s">
        <v>302</v>
      </c>
      <c r="EG1" s="139" t="s">
        <v>301</v>
      </c>
      <c r="EH1" s="139" t="s">
        <v>300</v>
      </c>
      <c r="EI1" s="139" t="s">
        <v>299</v>
      </c>
      <c r="EJ1" s="139" t="s">
        <v>298</v>
      </c>
      <c r="EK1" s="139" t="s">
        <v>297</v>
      </c>
      <c r="EL1" s="139" t="s">
        <v>296</v>
      </c>
      <c r="EM1" s="139" t="s">
        <v>295</v>
      </c>
      <c r="EN1" s="139" t="s">
        <v>294</v>
      </c>
      <c r="EO1" s="139" t="s">
        <v>293</v>
      </c>
      <c r="EP1" s="139" t="s">
        <v>292</v>
      </c>
      <c r="EQ1" s="139" t="s">
        <v>291</v>
      </c>
      <c r="ER1" s="139" t="s">
        <v>290</v>
      </c>
      <c r="ES1" s="139" t="s">
        <v>289</v>
      </c>
      <c r="ET1" s="139" t="s">
        <v>288</v>
      </c>
      <c r="EU1" s="139" t="s">
        <v>287</v>
      </c>
      <c r="EV1" s="139" t="s">
        <v>286</v>
      </c>
      <c r="EW1" s="139" t="s">
        <v>285</v>
      </c>
      <c r="EX1" s="139" t="s">
        <v>284</v>
      </c>
      <c r="EY1" s="139" t="s">
        <v>283</v>
      </c>
      <c r="EZ1" s="139" t="s">
        <v>282</v>
      </c>
      <c r="FA1" s="139" t="s">
        <v>281</v>
      </c>
      <c r="FB1" s="139" t="s">
        <v>280</v>
      </c>
      <c r="FC1" s="139" t="s">
        <v>279</v>
      </c>
      <c r="FD1" s="139" t="s">
        <v>278</v>
      </c>
      <c r="FE1" s="139" t="s">
        <v>277</v>
      </c>
      <c r="FF1" s="139" t="s">
        <v>276</v>
      </c>
      <c r="FG1" s="139" t="s">
        <v>275</v>
      </c>
      <c r="FH1" s="139" t="s">
        <v>274</v>
      </c>
      <c r="FI1" s="139" t="s">
        <v>273</v>
      </c>
      <c r="FJ1" s="139" t="s">
        <v>272</v>
      </c>
      <c r="FK1" s="139" t="s">
        <v>271</v>
      </c>
      <c r="FL1" s="139" t="s">
        <v>270</v>
      </c>
      <c r="FM1" s="139" t="s">
        <v>269</v>
      </c>
      <c r="FN1" s="139" t="s">
        <v>268</v>
      </c>
      <c r="FO1" s="139" t="s">
        <v>267</v>
      </c>
      <c r="FP1" s="139" t="s">
        <v>266</v>
      </c>
      <c r="FQ1" s="139" t="s">
        <v>265</v>
      </c>
      <c r="FR1" s="139" t="s">
        <v>264</v>
      </c>
      <c r="FS1" s="139" t="s">
        <v>263</v>
      </c>
      <c r="FT1" s="139" t="s">
        <v>262</v>
      </c>
      <c r="FU1" s="139" t="s">
        <v>261</v>
      </c>
      <c r="FV1" s="139" t="s">
        <v>260</v>
      </c>
      <c r="FW1" s="139" t="s">
        <v>259</v>
      </c>
      <c r="FX1" s="139" t="s">
        <v>258</v>
      </c>
      <c r="FY1" s="139" t="s">
        <v>257</v>
      </c>
      <c r="FZ1" s="139" t="s">
        <v>256</v>
      </c>
      <c r="GA1" s="139" t="s">
        <v>255</v>
      </c>
      <c r="GB1" s="139" t="s">
        <v>254</v>
      </c>
      <c r="GC1" s="139" t="s">
        <v>253</v>
      </c>
      <c r="GD1" s="139" t="s">
        <v>252</v>
      </c>
      <c r="GE1" s="139" t="s">
        <v>251</v>
      </c>
      <c r="GF1" s="139" t="s">
        <v>250</v>
      </c>
      <c r="GG1" s="139" t="s">
        <v>249</v>
      </c>
      <c r="GH1" s="139" t="s">
        <v>248</v>
      </c>
      <c r="GI1" s="139" t="s">
        <v>247</v>
      </c>
      <c r="GJ1" s="139" t="s">
        <v>246</v>
      </c>
      <c r="GK1" s="139" t="s">
        <v>245</v>
      </c>
      <c r="GL1" s="139" t="s">
        <v>244</v>
      </c>
      <c r="GM1" s="139" t="s">
        <v>243</v>
      </c>
      <c r="GN1" s="139" t="s">
        <v>242</v>
      </c>
      <c r="GO1" s="139" t="s">
        <v>241</v>
      </c>
      <c r="GP1" s="139" t="s">
        <v>240</v>
      </c>
      <c r="GQ1" s="139" t="s">
        <v>239</v>
      </c>
      <c r="GR1" s="139" t="s">
        <v>238</v>
      </c>
      <c r="GS1" s="139" t="s">
        <v>237</v>
      </c>
      <c r="GT1" s="139" t="s">
        <v>236</v>
      </c>
      <c r="GU1" s="139" t="s">
        <v>235</v>
      </c>
      <c r="GV1" s="139" t="s">
        <v>234</v>
      </c>
      <c r="GW1" s="139" t="s">
        <v>233</v>
      </c>
      <c r="GX1" s="139" t="s">
        <v>232</v>
      </c>
      <c r="GY1" s="139" t="s">
        <v>231</v>
      </c>
      <c r="GZ1" s="139" t="s">
        <v>230</v>
      </c>
      <c r="HA1" s="139" t="s">
        <v>229</v>
      </c>
      <c r="HB1" s="139" t="s">
        <v>228</v>
      </c>
      <c r="HC1" s="139" t="s">
        <v>227</v>
      </c>
      <c r="HD1" s="139" t="s">
        <v>226</v>
      </c>
      <c r="HE1" s="139" t="s">
        <v>225</v>
      </c>
      <c r="HF1" s="139" t="s">
        <v>224</v>
      </c>
      <c r="HG1" s="139" t="s">
        <v>223</v>
      </c>
      <c r="HH1" s="139" t="s">
        <v>222</v>
      </c>
      <c r="HI1" s="139" t="s">
        <v>221</v>
      </c>
      <c r="HJ1" s="139" t="s">
        <v>220</v>
      </c>
      <c r="HK1" s="139" t="s">
        <v>219</v>
      </c>
      <c r="HL1" s="139" t="s">
        <v>218</v>
      </c>
      <c r="HM1" s="139" t="s">
        <v>217</v>
      </c>
      <c r="HN1" s="139" t="s">
        <v>216</v>
      </c>
      <c r="HO1" s="139" t="s">
        <v>215</v>
      </c>
      <c r="HP1" s="139" t="s">
        <v>214</v>
      </c>
      <c r="HQ1" s="139" t="s">
        <v>213</v>
      </c>
      <c r="HR1" s="139" t="s">
        <v>212</v>
      </c>
      <c r="HS1" s="139" t="s">
        <v>211</v>
      </c>
      <c r="HT1" s="139" t="s">
        <v>210</v>
      </c>
      <c r="HU1" s="139" t="s">
        <v>209</v>
      </c>
      <c r="HV1" s="139" t="s">
        <v>208</v>
      </c>
      <c r="HW1" s="139" t="s">
        <v>207</v>
      </c>
      <c r="HX1" s="139" t="s">
        <v>206</v>
      </c>
      <c r="HY1" s="139" t="s">
        <v>205</v>
      </c>
      <c r="HZ1" s="139" t="s">
        <v>204</v>
      </c>
      <c r="IA1" s="139" t="s">
        <v>203</v>
      </c>
      <c r="IB1" s="139" t="s">
        <v>202</v>
      </c>
      <c r="IC1" s="139" t="s">
        <v>201</v>
      </c>
      <c r="ID1" s="139" t="s">
        <v>200</v>
      </c>
      <c r="IE1" s="139" t="s">
        <v>199</v>
      </c>
      <c r="IF1" s="139" t="s">
        <v>198</v>
      </c>
      <c r="IG1" s="139" t="s">
        <v>197</v>
      </c>
      <c r="IH1" s="139" t="s">
        <v>196</v>
      </c>
      <c r="II1" s="139" t="s">
        <v>195</v>
      </c>
      <c r="IJ1" s="139" t="s">
        <v>194</v>
      </c>
      <c r="IK1" s="139" t="s">
        <v>193</v>
      </c>
      <c r="IL1" s="139" t="s">
        <v>192</v>
      </c>
      <c r="IM1" s="139" t="s">
        <v>191</v>
      </c>
      <c r="IN1" s="139" t="s">
        <v>190</v>
      </c>
      <c r="IO1" s="139" t="s">
        <v>189</v>
      </c>
      <c r="IP1" s="139" t="s">
        <v>188</v>
      </c>
      <c r="IQ1" s="139" t="s">
        <v>187</v>
      </c>
      <c r="IR1" s="139" t="s">
        <v>186</v>
      </c>
      <c r="IS1" s="139" t="s">
        <v>185</v>
      </c>
      <c r="IT1" s="139" t="s">
        <v>184</v>
      </c>
      <c r="IU1" s="139" t="s">
        <v>183</v>
      </c>
      <c r="IV1" s="139" t="s">
        <v>182</v>
      </c>
      <c r="IW1" s="139" t="s">
        <v>181</v>
      </c>
      <c r="IX1" s="139" t="s">
        <v>180</v>
      </c>
      <c r="IY1" s="139" t="s">
        <v>179</v>
      </c>
      <c r="IZ1" s="139" t="s">
        <v>178</v>
      </c>
      <c r="JA1" s="139" t="s">
        <v>177</v>
      </c>
      <c r="JB1" s="139" t="s">
        <v>176</v>
      </c>
      <c r="JC1" s="139" t="s">
        <v>175</v>
      </c>
      <c r="JD1" s="139" t="s">
        <v>174</v>
      </c>
      <c r="JE1" s="139" t="s">
        <v>173</v>
      </c>
      <c r="JF1" s="139" t="s">
        <v>172</v>
      </c>
      <c r="JG1" s="139" t="s">
        <v>171</v>
      </c>
      <c r="JH1" s="139" t="s">
        <v>170</v>
      </c>
      <c r="JI1" s="139" t="s">
        <v>169</v>
      </c>
      <c r="JJ1" s="139" t="s">
        <v>168</v>
      </c>
      <c r="JK1" s="139" t="s">
        <v>167</v>
      </c>
      <c r="JL1" s="139" t="s">
        <v>166</v>
      </c>
      <c r="JM1" s="139" t="s">
        <v>165</v>
      </c>
      <c r="JN1" s="139" t="s">
        <v>164</v>
      </c>
      <c r="JO1" s="139" t="s">
        <v>163</v>
      </c>
      <c r="JP1" s="139" t="s">
        <v>162</v>
      </c>
      <c r="JQ1" s="139" t="s">
        <v>161</v>
      </c>
      <c r="JR1" s="139" t="s">
        <v>160</v>
      </c>
      <c r="JS1" s="139" t="s">
        <v>159</v>
      </c>
      <c r="JT1" s="139" t="s">
        <v>158</v>
      </c>
      <c r="JU1" s="139" t="s">
        <v>157</v>
      </c>
      <c r="JV1" s="139" t="s">
        <v>156</v>
      </c>
      <c r="JW1" s="139" t="s">
        <v>155</v>
      </c>
      <c r="JX1" s="139" t="s">
        <v>154</v>
      </c>
      <c r="JY1" s="139" t="s">
        <v>153</v>
      </c>
      <c r="JZ1" s="139" t="s">
        <v>152</v>
      </c>
      <c r="KA1" s="139" t="s">
        <v>151</v>
      </c>
      <c r="KB1" s="139" t="s">
        <v>150</v>
      </c>
      <c r="KC1" s="139" t="s">
        <v>149</v>
      </c>
      <c r="KD1" s="139" t="s">
        <v>148</v>
      </c>
      <c r="KE1" s="139" t="s">
        <v>147</v>
      </c>
      <c r="KF1" s="139" t="s">
        <v>146</v>
      </c>
      <c r="KG1" s="139" t="s">
        <v>145</v>
      </c>
      <c r="KH1" s="139" t="s">
        <v>144</v>
      </c>
      <c r="KI1" s="139" t="s">
        <v>143</v>
      </c>
      <c r="KJ1" s="139" t="s">
        <v>142</v>
      </c>
      <c r="KK1" s="139" t="s">
        <v>141</v>
      </c>
      <c r="KL1" s="139" t="s">
        <v>140</v>
      </c>
      <c r="KM1" s="139" t="s">
        <v>139</v>
      </c>
      <c r="KN1" s="139" t="s">
        <v>138</v>
      </c>
      <c r="KO1" s="139" t="s">
        <v>137</v>
      </c>
      <c r="KP1" s="139" t="s">
        <v>136</v>
      </c>
      <c r="KQ1" s="139" t="s">
        <v>135</v>
      </c>
      <c r="KR1" s="139" t="s">
        <v>134</v>
      </c>
      <c r="KS1" s="139" t="s">
        <v>133</v>
      </c>
      <c r="KT1" s="139" t="s">
        <v>132</v>
      </c>
      <c r="KU1" s="139" t="s">
        <v>131</v>
      </c>
      <c r="KV1" s="139" t="s">
        <v>130</v>
      </c>
      <c r="KW1" s="139" t="s">
        <v>129</v>
      </c>
      <c r="KX1" s="139" t="s">
        <v>128</v>
      </c>
      <c r="KY1" s="139" t="s">
        <v>127</v>
      </c>
      <c r="KZ1" s="139" t="s">
        <v>126</v>
      </c>
      <c r="LA1" s="139" t="s">
        <v>125</v>
      </c>
      <c r="LB1" s="139" t="s">
        <v>124</v>
      </c>
      <c r="LC1" s="139" t="s">
        <v>123</v>
      </c>
      <c r="LD1" s="139" t="s">
        <v>122</v>
      </c>
      <c r="LE1" s="139" t="s">
        <v>121</v>
      </c>
      <c r="LF1" s="139" t="s">
        <v>120</v>
      </c>
      <c r="LG1" s="139" t="s">
        <v>119</v>
      </c>
      <c r="LH1" s="139" t="s">
        <v>118</v>
      </c>
      <c r="LI1" s="139" t="s">
        <v>117</v>
      </c>
      <c r="LJ1" s="139" t="s">
        <v>116</v>
      </c>
      <c r="LK1" s="139" t="s">
        <v>115</v>
      </c>
      <c r="LL1" s="139" t="s">
        <v>114</v>
      </c>
      <c r="LM1" s="139" t="s">
        <v>113</v>
      </c>
      <c r="LN1" s="139" t="s">
        <v>112</v>
      </c>
      <c r="LO1" s="139" t="s">
        <v>111</v>
      </c>
      <c r="LP1" s="139" t="s">
        <v>110</v>
      </c>
      <c r="LQ1" s="139" t="s">
        <v>109</v>
      </c>
      <c r="LR1" s="139" t="s">
        <v>108</v>
      </c>
      <c r="LS1" s="139" t="s">
        <v>107</v>
      </c>
      <c r="LT1" s="139" t="s">
        <v>106</v>
      </c>
      <c r="LU1" s="139" t="s">
        <v>105</v>
      </c>
      <c r="LV1" s="139" t="s">
        <v>104</v>
      </c>
      <c r="LW1" s="139" t="s">
        <v>103</v>
      </c>
      <c r="LX1" s="139" t="s">
        <v>102</v>
      </c>
      <c r="LY1" s="139" t="s">
        <v>101</v>
      </c>
      <c r="LZ1" s="139" t="s">
        <v>100</v>
      </c>
      <c r="MA1" s="139" t="s">
        <v>99</v>
      </c>
      <c r="MB1" s="139" t="s">
        <v>98</v>
      </c>
      <c r="MC1" s="139" t="s">
        <v>97</v>
      </c>
      <c r="MD1" s="139" t="s">
        <v>96</v>
      </c>
      <c r="ME1" s="139" t="s">
        <v>95</v>
      </c>
      <c r="MF1" s="139" t="s">
        <v>94</v>
      </c>
      <c r="MG1" s="139" t="s">
        <v>93</v>
      </c>
      <c r="MH1" s="139" t="s">
        <v>92</v>
      </c>
      <c r="MI1" s="139" t="s">
        <v>91</v>
      </c>
      <c r="MJ1" s="139" t="s">
        <v>90</v>
      </c>
      <c r="MK1" s="139" t="s">
        <v>89</v>
      </c>
      <c r="ML1" s="139" t="s">
        <v>88</v>
      </c>
      <c r="MM1" s="139" t="s">
        <v>87</v>
      </c>
      <c r="MN1" s="139" t="s">
        <v>86</v>
      </c>
      <c r="MO1" s="139" t="s">
        <v>85</v>
      </c>
      <c r="MP1" s="139" t="s">
        <v>84</v>
      </c>
      <c r="MQ1" s="139" t="s">
        <v>83</v>
      </c>
      <c r="MR1" s="139" t="s">
        <v>82</v>
      </c>
      <c r="MS1" s="139" t="s">
        <v>81</v>
      </c>
      <c r="MT1" s="139" t="s">
        <v>80</v>
      </c>
      <c r="MU1" s="139" t="s">
        <v>79</v>
      </c>
      <c r="MV1" s="139" t="s">
        <v>78</v>
      </c>
      <c r="MW1" s="139" t="s">
        <v>77</v>
      </c>
      <c r="MX1" s="139" t="s">
        <v>76</v>
      </c>
      <c r="MY1" s="139" t="s">
        <v>75</v>
      </c>
      <c r="MZ1" s="139" t="s">
        <v>74</v>
      </c>
      <c r="NA1" s="139" t="s">
        <v>73</v>
      </c>
      <c r="NB1" s="139" t="s">
        <v>72</v>
      </c>
      <c r="NC1" s="139" t="s">
        <v>71</v>
      </c>
      <c r="ND1" s="139" t="s">
        <v>70</v>
      </c>
    </row>
    <row r="2" spans="1:368" s="28" customFormat="1" ht="14">
      <c r="A2" t="s">
        <v>37</v>
      </c>
      <c r="B2" s="142">
        <f t="shared" ref="B2:B11" si="0">COUNTIF($D2:$ND2,"A")</f>
        <v>1</v>
      </c>
      <c r="C2" s="143">
        <f t="shared" ref="C2:C11" si="1">COUNTIF($D2:$ND2,"L")</f>
        <v>0</v>
      </c>
      <c r="D2" s="95"/>
      <c r="E2" s="95" t="s">
        <v>69</v>
      </c>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c r="IL2" s="95"/>
      <c r="IM2" s="95"/>
      <c r="IN2" s="95"/>
      <c r="IO2" s="95"/>
      <c r="IP2" s="95"/>
      <c r="IQ2" s="95"/>
      <c r="IR2" s="95"/>
      <c r="IS2" s="95"/>
      <c r="IT2" s="95"/>
      <c r="IU2" s="95"/>
      <c r="IV2" s="95"/>
      <c r="IW2" s="95"/>
      <c r="IX2" s="95"/>
      <c r="IY2" s="95"/>
      <c r="IZ2" s="95"/>
      <c r="JA2" s="95"/>
      <c r="JB2" s="95"/>
      <c r="JC2" s="95"/>
      <c r="JD2" s="95"/>
      <c r="JE2" s="95"/>
      <c r="JF2" s="95"/>
      <c r="JG2" s="95"/>
      <c r="JH2" s="95"/>
      <c r="JI2" s="95"/>
      <c r="JJ2" s="95"/>
      <c r="JK2" s="95"/>
      <c r="JL2" s="95"/>
      <c r="JM2" s="95"/>
      <c r="JN2" s="95"/>
      <c r="JO2" s="95"/>
      <c r="JP2" s="95"/>
      <c r="JQ2" s="95"/>
      <c r="JR2" s="95"/>
      <c r="JS2" s="95"/>
      <c r="JT2" s="95"/>
      <c r="JU2" s="95"/>
      <c r="JV2" s="95"/>
      <c r="JW2" s="95"/>
      <c r="JX2" s="95"/>
      <c r="JY2" s="95"/>
      <c r="JZ2" s="95"/>
      <c r="KA2" s="95"/>
      <c r="KB2" s="95"/>
      <c r="KC2" s="95"/>
      <c r="KD2" s="95"/>
      <c r="KE2" s="95"/>
      <c r="KF2" s="95"/>
      <c r="KG2" s="95"/>
      <c r="KH2" s="95"/>
      <c r="KI2" s="95"/>
      <c r="KJ2" s="95"/>
      <c r="KK2" s="95"/>
      <c r="KL2" s="95"/>
      <c r="KM2" s="95"/>
      <c r="KN2" s="95"/>
      <c r="KO2" s="95"/>
      <c r="KP2" s="95"/>
      <c r="KQ2" s="95"/>
      <c r="KR2" s="95"/>
      <c r="KS2" s="95"/>
      <c r="KT2" s="95"/>
      <c r="KU2" s="95"/>
      <c r="KV2" s="95"/>
      <c r="KW2" s="95"/>
      <c r="KX2" s="95"/>
      <c r="KY2" s="95"/>
      <c r="KZ2" s="95"/>
      <c r="LA2" s="95"/>
      <c r="LB2" s="95"/>
      <c r="LC2" s="95"/>
      <c r="LD2" s="95"/>
      <c r="LE2" s="95"/>
      <c r="LF2" s="95"/>
      <c r="LG2" s="95"/>
      <c r="LH2" s="95"/>
      <c r="LI2" s="95"/>
      <c r="LJ2" s="95"/>
      <c r="LK2" s="95"/>
      <c r="LL2" s="95"/>
      <c r="LM2" s="95"/>
      <c r="LN2" s="95"/>
      <c r="LO2" s="95"/>
      <c r="LP2" s="95"/>
      <c r="LQ2" s="95"/>
      <c r="LR2" s="95"/>
      <c r="LS2" s="95"/>
      <c r="LT2" s="95"/>
      <c r="LU2" s="95"/>
      <c r="LV2" s="95"/>
      <c r="LW2" s="95"/>
      <c r="LX2" s="95"/>
      <c r="LY2" s="95"/>
      <c r="LZ2" s="95"/>
      <c r="MA2" s="95"/>
      <c r="MB2" s="95"/>
      <c r="MC2" s="95"/>
      <c r="MD2" s="95"/>
      <c r="ME2" s="95"/>
      <c r="MF2" s="95"/>
      <c r="MG2" s="95"/>
      <c r="MH2" s="95"/>
      <c r="MI2" s="95"/>
      <c r="MJ2" s="95"/>
      <c r="MK2" s="95"/>
      <c r="ML2" s="95"/>
      <c r="MM2" s="95"/>
      <c r="MN2" s="95"/>
      <c r="MO2" s="95"/>
      <c r="MP2" s="95"/>
      <c r="MQ2" s="95"/>
      <c r="MR2" s="95"/>
      <c r="MS2" s="95"/>
      <c r="MT2" s="95"/>
      <c r="MU2" s="95"/>
      <c r="MV2" s="95"/>
      <c r="MW2" s="95"/>
      <c r="MX2" s="95"/>
      <c r="MY2" s="95"/>
      <c r="MZ2" s="95"/>
      <c r="NA2" s="95"/>
      <c r="NB2" s="95"/>
      <c r="NC2" s="95"/>
      <c r="ND2" s="95"/>
    </row>
    <row r="3" spans="1:368" s="28" customFormat="1" ht="14">
      <c r="A3" t="s">
        <v>38</v>
      </c>
      <c r="B3" s="142">
        <f t="shared" si="0"/>
        <v>0</v>
      </c>
      <c r="C3" s="143">
        <f t="shared" si="1"/>
        <v>1</v>
      </c>
      <c r="D3" s="95"/>
      <c r="E3" s="95"/>
      <c r="F3" s="95" t="s">
        <v>446</v>
      </c>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c r="IL3" s="95"/>
      <c r="IM3" s="95"/>
      <c r="IN3" s="95"/>
      <c r="IO3" s="95"/>
      <c r="IP3" s="95"/>
      <c r="IQ3" s="95"/>
      <c r="IR3" s="95"/>
      <c r="IS3" s="95"/>
      <c r="IT3" s="95"/>
      <c r="IU3" s="95"/>
      <c r="IV3" s="95"/>
      <c r="IW3" s="95"/>
      <c r="IX3" s="95"/>
      <c r="IY3" s="95"/>
      <c r="IZ3" s="95"/>
      <c r="JA3" s="95"/>
      <c r="JB3" s="95"/>
      <c r="JC3" s="95"/>
      <c r="JD3" s="95"/>
      <c r="JE3" s="95"/>
      <c r="JF3" s="95"/>
      <c r="JG3" s="95"/>
      <c r="JH3" s="95"/>
      <c r="JI3" s="95"/>
      <c r="JJ3" s="95"/>
      <c r="JK3" s="95"/>
      <c r="JL3" s="95"/>
      <c r="JM3" s="95"/>
      <c r="JN3" s="95"/>
      <c r="JO3" s="95"/>
      <c r="JP3" s="95"/>
      <c r="JQ3" s="95"/>
      <c r="JR3" s="95"/>
      <c r="JS3" s="95"/>
      <c r="JT3" s="95"/>
      <c r="JU3" s="95"/>
      <c r="JV3" s="95"/>
      <c r="JW3" s="95"/>
      <c r="JX3" s="95"/>
      <c r="JY3" s="95"/>
      <c r="JZ3" s="95"/>
      <c r="KA3" s="95"/>
      <c r="KB3" s="95"/>
      <c r="KC3" s="95"/>
      <c r="KD3" s="95"/>
      <c r="KE3" s="95"/>
      <c r="KF3" s="95"/>
      <c r="KG3" s="95"/>
      <c r="KH3" s="95"/>
      <c r="KI3" s="95"/>
      <c r="KJ3" s="95"/>
      <c r="KK3" s="95"/>
      <c r="KL3" s="95"/>
      <c r="KM3" s="95"/>
      <c r="KN3" s="95"/>
      <c r="KO3" s="95"/>
      <c r="KP3" s="95"/>
      <c r="KQ3" s="95"/>
      <c r="KR3" s="95"/>
      <c r="KS3" s="95"/>
      <c r="KT3" s="95"/>
      <c r="KU3" s="95"/>
      <c r="KV3" s="95"/>
      <c r="KW3" s="95"/>
      <c r="KX3" s="95"/>
      <c r="KY3" s="95"/>
      <c r="KZ3" s="95"/>
      <c r="LA3" s="95"/>
      <c r="LB3" s="95"/>
      <c r="LC3" s="95"/>
      <c r="LD3" s="95"/>
      <c r="LE3" s="95"/>
      <c r="LF3" s="95"/>
      <c r="LG3" s="95"/>
      <c r="LH3" s="95"/>
      <c r="LI3" s="95"/>
      <c r="LJ3" s="95"/>
      <c r="LK3" s="95"/>
      <c r="LL3" s="95"/>
      <c r="LM3" s="95"/>
      <c r="LN3" s="95"/>
      <c r="LO3" s="95"/>
      <c r="LP3" s="95"/>
      <c r="LQ3" s="95"/>
      <c r="LR3" s="95"/>
      <c r="LS3" s="95"/>
      <c r="LT3" s="95"/>
      <c r="LU3" s="95"/>
      <c r="LV3" s="95"/>
      <c r="LW3" s="95"/>
      <c r="LX3" s="95"/>
      <c r="LY3" s="95"/>
      <c r="LZ3" s="95"/>
      <c r="MA3" s="95"/>
      <c r="MB3" s="95"/>
      <c r="MC3" s="95"/>
      <c r="MD3" s="95"/>
      <c r="ME3" s="95"/>
      <c r="MF3" s="95"/>
      <c r="MG3" s="95"/>
      <c r="MH3" s="95"/>
      <c r="MI3" s="95"/>
      <c r="MJ3" s="95"/>
      <c r="MK3" s="95"/>
      <c r="ML3" s="95"/>
      <c r="MM3" s="95"/>
      <c r="MN3" s="95"/>
      <c r="MO3" s="95"/>
      <c r="MP3" s="95"/>
      <c r="MQ3" s="95"/>
      <c r="MR3" s="95"/>
      <c r="MS3" s="95"/>
      <c r="MT3" s="95"/>
      <c r="MU3" s="95"/>
      <c r="MV3" s="95"/>
      <c r="MW3" s="95"/>
      <c r="MX3" s="95"/>
      <c r="MY3" s="95"/>
      <c r="MZ3" s="95"/>
      <c r="NA3" s="95"/>
      <c r="NB3" s="95"/>
      <c r="NC3" s="95"/>
      <c r="ND3" s="95"/>
    </row>
    <row r="4" spans="1:368" s="28" customFormat="1" ht="14">
      <c r="A4" t="s">
        <v>39</v>
      </c>
      <c r="B4" s="142">
        <f t="shared" si="0"/>
        <v>2</v>
      </c>
      <c r="C4" s="143">
        <f t="shared" si="1"/>
        <v>0</v>
      </c>
      <c r="D4" s="95" t="s">
        <v>69</v>
      </c>
      <c r="E4" s="95" t="s">
        <v>69</v>
      </c>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c r="IL4" s="95"/>
      <c r="IM4" s="95"/>
      <c r="IN4" s="95"/>
      <c r="IO4" s="95"/>
      <c r="IP4" s="95"/>
      <c r="IQ4" s="95"/>
      <c r="IR4" s="95"/>
      <c r="IS4" s="95"/>
      <c r="IT4" s="95"/>
      <c r="IU4" s="95"/>
      <c r="IV4" s="95"/>
      <c r="IW4" s="95"/>
      <c r="IX4" s="95"/>
      <c r="IY4" s="95"/>
      <c r="IZ4" s="95"/>
      <c r="JA4" s="95"/>
      <c r="JB4" s="95"/>
      <c r="JC4" s="95"/>
      <c r="JD4" s="95"/>
      <c r="JE4" s="95"/>
      <c r="JF4" s="95"/>
      <c r="JG4" s="95"/>
      <c r="JH4" s="95"/>
      <c r="JI4" s="95"/>
      <c r="JJ4" s="95"/>
      <c r="JK4" s="95"/>
      <c r="JL4" s="95"/>
      <c r="JM4" s="95"/>
      <c r="JN4" s="95"/>
      <c r="JO4" s="95"/>
      <c r="JP4" s="95"/>
      <c r="JQ4" s="95"/>
      <c r="JR4" s="95"/>
      <c r="JS4" s="95"/>
      <c r="JT4" s="95"/>
      <c r="JU4" s="95"/>
      <c r="JV4" s="95"/>
      <c r="JW4" s="95"/>
      <c r="JX4" s="95"/>
      <c r="JY4" s="95"/>
      <c r="JZ4" s="95"/>
      <c r="KA4" s="95"/>
      <c r="KB4" s="95"/>
      <c r="KC4" s="95"/>
      <c r="KD4" s="95"/>
      <c r="KE4" s="95"/>
      <c r="KF4" s="95"/>
      <c r="KG4" s="95"/>
      <c r="KH4" s="95"/>
      <c r="KI4" s="95"/>
      <c r="KJ4" s="95"/>
      <c r="KK4" s="95"/>
      <c r="KL4" s="95"/>
      <c r="KM4" s="95"/>
      <c r="KN4" s="95"/>
      <c r="KO4" s="95"/>
      <c r="KP4" s="95"/>
      <c r="KQ4" s="95"/>
      <c r="KR4" s="95"/>
      <c r="KS4" s="95"/>
      <c r="KT4" s="95"/>
      <c r="KU4" s="95"/>
      <c r="KV4" s="95"/>
      <c r="KW4" s="95"/>
      <c r="KX4" s="95"/>
      <c r="KY4" s="95"/>
      <c r="KZ4" s="95"/>
      <c r="LA4" s="95"/>
      <c r="LB4" s="95"/>
      <c r="LC4" s="95"/>
      <c r="LD4" s="95"/>
      <c r="LE4" s="95"/>
      <c r="LF4" s="95"/>
      <c r="LG4" s="95"/>
      <c r="LH4" s="95"/>
      <c r="LI4" s="95"/>
      <c r="LJ4" s="95"/>
      <c r="LK4" s="95"/>
      <c r="LL4" s="95"/>
      <c r="LM4" s="95"/>
      <c r="LN4" s="95"/>
      <c r="LO4" s="95"/>
      <c r="LP4" s="95"/>
      <c r="LQ4" s="95"/>
      <c r="LR4" s="95"/>
      <c r="LS4" s="95"/>
      <c r="LT4" s="95"/>
      <c r="LU4" s="95"/>
      <c r="LV4" s="95"/>
      <c r="LW4" s="95"/>
      <c r="LX4" s="95"/>
      <c r="LY4" s="95"/>
      <c r="LZ4" s="95"/>
      <c r="MA4" s="95"/>
      <c r="MB4" s="95"/>
      <c r="MC4" s="95"/>
      <c r="MD4" s="95"/>
      <c r="ME4" s="95"/>
      <c r="MF4" s="95"/>
      <c r="MG4" s="95"/>
      <c r="MH4" s="95"/>
      <c r="MI4" s="95"/>
      <c r="MJ4" s="95"/>
      <c r="MK4" s="95"/>
      <c r="ML4" s="95"/>
      <c r="MM4" s="95"/>
      <c r="MN4" s="95"/>
      <c r="MO4" s="95"/>
      <c r="MP4" s="95"/>
      <c r="MQ4" s="95"/>
      <c r="MR4" s="95"/>
      <c r="MS4" s="95"/>
      <c r="MT4" s="95"/>
      <c r="MU4" s="95"/>
      <c r="MV4" s="95"/>
      <c r="MW4" s="95"/>
      <c r="MX4" s="95"/>
      <c r="MY4" s="95"/>
      <c r="MZ4" s="95"/>
      <c r="NA4" s="95"/>
      <c r="NB4" s="95"/>
      <c r="NC4" s="95"/>
      <c r="ND4" s="95"/>
    </row>
    <row r="5" spans="1:368" s="28" customFormat="1" ht="14">
      <c r="A5" t="s">
        <v>41</v>
      </c>
      <c r="B5" s="142">
        <f t="shared" si="0"/>
        <v>0</v>
      </c>
      <c r="C5" s="143">
        <f t="shared" si="1"/>
        <v>0</v>
      </c>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c r="IL5" s="95"/>
      <c r="IM5" s="95"/>
      <c r="IN5" s="95"/>
      <c r="IO5" s="95"/>
      <c r="IP5" s="95"/>
      <c r="IQ5" s="95"/>
      <c r="IR5" s="95"/>
      <c r="IS5" s="95"/>
      <c r="IT5" s="95"/>
      <c r="IU5" s="95"/>
      <c r="IV5" s="95"/>
      <c r="IW5" s="95"/>
      <c r="IX5" s="95"/>
      <c r="IY5" s="95"/>
      <c r="IZ5" s="95"/>
      <c r="JA5" s="95"/>
      <c r="JB5" s="95"/>
      <c r="JC5" s="95"/>
      <c r="JD5" s="95"/>
      <c r="JE5" s="95"/>
      <c r="JF5" s="95"/>
      <c r="JG5" s="95"/>
      <c r="JH5" s="95"/>
      <c r="JI5" s="95"/>
      <c r="JJ5" s="95"/>
      <c r="JK5" s="95"/>
      <c r="JL5" s="95"/>
      <c r="JM5" s="95"/>
      <c r="JN5" s="95"/>
      <c r="JO5" s="95"/>
      <c r="JP5" s="95"/>
      <c r="JQ5" s="95"/>
      <c r="JR5" s="95"/>
      <c r="JS5" s="95"/>
      <c r="JT5" s="95"/>
      <c r="JU5" s="95"/>
      <c r="JV5" s="95"/>
      <c r="JW5" s="95"/>
      <c r="JX5" s="95"/>
      <c r="JY5" s="95"/>
      <c r="JZ5" s="95"/>
      <c r="KA5" s="95"/>
      <c r="KB5" s="95"/>
      <c r="KC5" s="95"/>
      <c r="KD5" s="95"/>
      <c r="KE5" s="95"/>
      <c r="KF5" s="95"/>
      <c r="KG5" s="95"/>
      <c r="KH5" s="95"/>
      <c r="KI5" s="95"/>
      <c r="KJ5" s="95"/>
      <c r="KK5" s="95"/>
      <c r="KL5" s="95"/>
      <c r="KM5" s="95"/>
      <c r="KN5" s="95"/>
      <c r="KO5" s="95"/>
      <c r="KP5" s="95"/>
      <c r="KQ5" s="95"/>
      <c r="KR5" s="95"/>
      <c r="KS5" s="95"/>
      <c r="KT5" s="95"/>
      <c r="KU5" s="95"/>
      <c r="KV5" s="95"/>
      <c r="KW5" s="95"/>
      <c r="KX5" s="95"/>
      <c r="KY5" s="95"/>
      <c r="KZ5" s="95"/>
      <c r="LA5" s="95"/>
      <c r="LB5" s="95"/>
      <c r="LC5" s="95"/>
      <c r="LD5" s="95"/>
      <c r="LE5" s="95"/>
      <c r="LF5" s="95"/>
      <c r="LG5" s="95"/>
      <c r="LH5" s="95"/>
      <c r="LI5" s="95"/>
      <c r="LJ5" s="95"/>
      <c r="LK5" s="95"/>
      <c r="LL5" s="95"/>
      <c r="LM5" s="95"/>
      <c r="LN5" s="95"/>
      <c r="LO5" s="95"/>
      <c r="LP5" s="95"/>
      <c r="LQ5" s="95"/>
      <c r="LR5" s="95"/>
      <c r="LS5" s="95"/>
      <c r="LT5" s="95"/>
      <c r="LU5" s="95"/>
      <c r="LV5" s="95"/>
      <c r="LW5" s="95"/>
      <c r="LX5" s="95"/>
      <c r="LY5" s="95"/>
      <c r="LZ5" s="95"/>
      <c r="MA5" s="95"/>
      <c r="MB5" s="95"/>
      <c r="MC5" s="95"/>
      <c r="MD5" s="95"/>
      <c r="ME5" s="95"/>
      <c r="MF5" s="95"/>
      <c r="MG5" s="95"/>
      <c r="MH5" s="95"/>
      <c r="MI5" s="95"/>
      <c r="MJ5" s="95"/>
      <c r="MK5" s="95"/>
      <c r="ML5" s="95"/>
      <c r="MM5" s="95"/>
      <c r="MN5" s="95"/>
      <c r="MO5" s="95"/>
      <c r="MP5" s="95"/>
      <c r="MQ5" s="95"/>
      <c r="MR5" s="95"/>
      <c r="MS5" s="95"/>
      <c r="MT5" s="95"/>
      <c r="MU5" s="95"/>
      <c r="MV5" s="95"/>
      <c r="MW5" s="95"/>
      <c r="MX5" s="95"/>
      <c r="MY5" s="95"/>
      <c r="MZ5" s="95"/>
      <c r="NA5" s="95"/>
      <c r="NB5" s="95"/>
      <c r="NC5" s="95"/>
      <c r="ND5" s="95"/>
    </row>
    <row r="6" spans="1:368" s="28" customFormat="1" ht="14">
      <c r="A6" t="s">
        <v>42</v>
      </c>
      <c r="B6" s="142">
        <f t="shared" si="0"/>
        <v>0</v>
      </c>
      <c r="C6" s="143">
        <f t="shared" si="1"/>
        <v>0</v>
      </c>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c r="IL6" s="95"/>
      <c r="IM6" s="95"/>
      <c r="IN6" s="95"/>
      <c r="IO6" s="95"/>
      <c r="IP6" s="95"/>
      <c r="IQ6" s="95"/>
      <c r="IR6" s="95"/>
      <c r="IS6" s="95"/>
      <c r="IT6" s="95"/>
      <c r="IU6" s="95"/>
      <c r="IV6" s="95"/>
      <c r="IW6" s="95"/>
      <c r="IX6" s="95"/>
      <c r="IY6" s="95"/>
      <c r="IZ6" s="95"/>
      <c r="JA6" s="95"/>
      <c r="JB6" s="95"/>
      <c r="JC6" s="95"/>
      <c r="JD6" s="95"/>
      <c r="JE6" s="95"/>
      <c r="JF6" s="95"/>
      <c r="JG6" s="95"/>
      <c r="JH6" s="95"/>
      <c r="JI6" s="95"/>
      <c r="JJ6" s="95"/>
      <c r="JK6" s="95"/>
      <c r="JL6" s="95"/>
      <c r="JM6" s="95"/>
      <c r="JN6" s="95"/>
      <c r="JO6" s="95"/>
      <c r="JP6" s="95"/>
      <c r="JQ6" s="95"/>
      <c r="JR6" s="95"/>
      <c r="JS6" s="95"/>
      <c r="JT6" s="95"/>
      <c r="JU6" s="95"/>
      <c r="JV6" s="95"/>
      <c r="JW6" s="95"/>
      <c r="JX6" s="95"/>
      <c r="JY6" s="95"/>
      <c r="JZ6" s="95"/>
      <c r="KA6" s="95"/>
      <c r="KB6" s="95"/>
      <c r="KC6" s="95"/>
      <c r="KD6" s="95"/>
      <c r="KE6" s="95"/>
      <c r="KF6" s="95"/>
      <c r="KG6" s="95"/>
      <c r="KH6" s="95"/>
      <c r="KI6" s="95"/>
      <c r="KJ6" s="95"/>
      <c r="KK6" s="95"/>
      <c r="KL6" s="95"/>
      <c r="KM6" s="95"/>
      <c r="KN6" s="95"/>
      <c r="KO6" s="95"/>
      <c r="KP6" s="95"/>
      <c r="KQ6" s="95"/>
      <c r="KR6" s="95"/>
      <c r="KS6" s="95"/>
      <c r="KT6" s="95"/>
      <c r="KU6" s="95"/>
      <c r="KV6" s="95"/>
      <c r="KW6" s="95"/>
      <c r="KX6" s="95"/>
      <c r="KY6" s="95"/>
      <c r="KZ6" s="95"/>
      <c r="LA6" s="95"/>
      <c r="LB6" s="95"/>
      <c r="LC6" s="95"/>
      <c r="LD6" s="95"/>
      <c r="LE6" s="95"/>
      <c r="LF6" s="95"/>
      <c r="LG6" s="95"/>
      <c r="LH6" s="95"/>
      <c r="LI6" s="95"/>
      <c r="LJ6" s="95"/>
      <c r="LK6" s="95"/>
      <c r="LL6" s="95"/>
      <c r="LM6" s="95"/>
      <c r="LN6" s="95"/>
      <c r="LO6" s="95"/>
      <c r="LP6" s="95"/>
      <c r="LQ6" s="95"/>
      <c r="LR6" s="95"/>
      <c r="LS6" s="95"/>
      <c r="LT6" s="95"/>
      <c r="LU6" s="95"/>
      <c r="LV6" s="95"/>
      <c r="LW6" s="95"/>
      <c r="LX6" s="95"/>
      <c r="LY6" s="95"/>
      <c r="LZ6" s="95"/>
      <c r="MA6" s="95"/>
      <c r="MB6" s="95"/>
      <c r="MC6" s="95"/>
      <c r="MD6" s="95"/>
      <c r="ME6" s="95"/>
      <c r="MF6" s="95"/>
      <c r="MG6" s="95"/>
      <c r="MH6" s="95"/>
      <c r="MI6" s="95"/>
      <c r="MJ6" s="95"/>
      <c r="MK6" s="95"/>
      <c r="ML6" s="95"/>
      <c r="MM6" s="95"/>
      <c r="MN6" s="95"/>
      <c r="MO6" s="95"/>
      <c r="MP6" s="95"/>
      <c r="MQ6" s="95"/>
      <c r="MR6" s="95"/>
      <c r="MS6" s="95"/>
      <c r="MT6" s="95"/>
      <c r="MU6" s="95"/>
      <c r="MV6" s="95"/>
      <c r="MW6" s="95"/>
      <c r="MX6" s="95"/>
      <c r="MY6" s="95"/>
      <c r="MZ6" s="95"/>
      <c r="NA6" s="95"/>
      <c r="NB6" s="95"/>
      <c r="NC6" s="95"/>
      <c r="ND6" s="95"/>
    </row>
    <row r="7" spans="1:368" s="28" customFormat="1" ht="14">
      <c r="A7" t="s">
        <v>43</v>
      </c>
      <c r="B7" s="142">
        <f t="shared" si="0"/>
        <v>0</v>
      </c>
      <c r="C7" s="143">
        <f t="shared" si="1"/>
        <v>0</v>
      </c>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c r="IL7" s="95"/>
      <c r="IM7" s="95"/>
      <c r="IN7" s="95"/>
      <c r="IO7" s="95"/>
      <c r="IP7" s="95"/>
      <c r="IQ7" s="95"/>
      <c r="IR7" s="95"/>
      <c r="IS7" s="95"/>
      <c r="IT7" s="95"/>
      <c r="IU7" s="95"/>
      <c r="IV7" s="95"/>
      <c r="IW7" s="95"/>
      <c r="IX7" s="95"/>
      <c r="IY7" s="95"/>
      <c r="IZ7" s="95"/>
      <c r="JA7" s="95"/>
      <c r="JB7" s="95"/>
      <c r="JC7" s="95"/>
      <c r="JD7" s="95"/>
      <c r="JE7" s="95"/>
      <c r="JF7" s="95"/>
      <c r="JG7" s="95"/>
      <c r="JH7" s="95"/>
      <c r="JI7" s="95"/>
      <c r="JJ7" s="95"/>
      <c r="JK7" s="95"/>
      <c r="JL7" s="95"/>
      <c r="JM7" s="95"/>
      <c r="JN7" s="95"/>
      <c r="JO7" s="95"/>
      <c r="JP7" s="95"/>
      <c r="JQ7" s="95"/>
      <c r="JR7" s="95"/>
      <c r="JS7" s="95"/>
      <c r="JT7" s="95"/>
      <c r="JU7" s="95"/>
      <c r="JV7" s="95"/>
      <c r="JW7" s="95"/>
      <c r="JX7" s="95"/>
      <c r="JY7" s="95"/>
      <c r="JZ7" s="95"/>
      <c r="KA7" s="95"/>
      <c r="KB7" s="95"/>
      <c r="KC7" s="95"/>
      <c r="KD7" s="95"/>
      <c r="KE7" s="95"/>
      <c r="KF7" s="95"/>
      <c r="KG7" s="95"/>
      <c r="KH7" s="95"/>
      <c r="KI7" s="95"/>
      <c r="KJ7" s="95"/>
      <c r="KK7" s="95"/>
      <c r="KL7" s="95"/>
      <c r="KM7" s="95"/>
      <c r="KN7" s="95"/>
      <c r="KO7" s="95"/>
      <c r="KP7" s="95"/>
      <c r="KQ7" s="95"/>
      <c r="KR7" s="95"/>
      <c r="KS7" s="95"/>
      <c r="KT7" s="95"/>
      <c r="KU7" s="95"/>
      <c r="KV7" s="95"/>
      <c r="KW7" s="95"/>
      <c r="KX7" s="95"/>
      <c r="KY7" s="95"/>
      <c r="KZ7" s="95"/>
      <c r="LA7" s="95"/>
      <c r="LB7" s="95"/>
      <c r="LC7" s="95"/>
      <c r="LD7" s="95"/>
      <c r="LE7" s="95"/>
      <c r="LF7" s="95"/>
      <c r="LG7" s="95"/>
      <c r="LH7" s="95"/>
      <c r="LI7" s="95"/>
      <c r="LJ7" s="95"/>
      <c r="LK7" s="95"/>
      <c r="LL7" s="95"/>
      <c r="LM7" s="95"/>
      <c r="LN7" s="95"/>
      <c r="LO7" s="95"/>
      <c r="LP7" s="95"/>
      <c r="LQ7" s="95"/>
      <c r="LR7" s="95"/>
      <c r="LS7" s="95"/>
      <c r="LT7" s="95"/>
      <c r="LU7" s="95"/>
      <c r="LV7" s="95"/>
      <c r="LW7" s="95"/>
      <c r="LX7" s="95"/>
      <c r="LY7" s="95"/>
      <c r="LZ7" s="95"/>
      <c r="MA7" s="95"/>
      <c r="MB7" s="95"/>
      <c r="MC7" s="95"/>
      <c r="MD7" s="95"/>
      <c r="ME7" s="95"/>
      <c r="MF7" s="95"/>
      <c r="MG7" s="95"/>
      <c r="MH7" s="95"/>
      <c r="MI7" s="95"/>
      <c r="MJ7" s="95"/>
      <c r="MK7" s="95"/>
      <c r="ML7" s="95"/>
      <c r="MM7" s="95"/>
      <c r="MN7" s="95"/>
      <c r="MO7" s="95"/>
      <c r="MP7" s="95"/>
      <c r="MQ7" s="95"/>
      <c r="MR7" s="95"/>
      <c r="MS7" s="95"/>
      <c r="MT7" s="95"/>
      <c r="MU7" s="95"/>
      <c r="MV7" s="95"/>
      <c r="MW7" s="95"/>
      <c r="MX7" s="95"/>
      <c r="MY7" s="95"/>
      <c r="MZ7" s="95"/>
      <c r="NA7" s="95"/>
      <c r="NB7" s="95"/>
      <c r="NC7" s="95"/>
      <c r="ND7" s="95"/>
    </row>
    <row r="8" spans="1:368" s="28" customFormat="1" ht="14">
      <c r="A8" t="s">
        <v>44</v>
      </c>
      <c r="B8" s="142">
        <f t="shared" si="0"/>
        <v>0</v>
      </c>
      <c r="C8" s="143">
        <f t="shared" si="1"/>
        <v>0</v>
      </c>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c r="IL8" s="95"/>
      <c r="IM8" s="95"/>
      <c r="IN8" s="95"/>
      <c r="IO8" s="95"/>
      <c r="IP8" s="95"/>
      <c r="IQ8" s="95"/>
      <c r="IR8" s="95"/>
      <c r="IS8" s="95"/>
      <c r="IT8" s="95"/>
      <c r="IU8" s="95"/>
      <c r="IV8" s="95"/>
      <c r="IW8" s="95"/>
      <c r="IX8" s="95"/>
      <c r="IY8" s="95"/>
      <c r="IZ8" s="95"/>
      <c r="JA8" s="95"/>
      <c r="JB8" s="95"/>
      <c r="JC8" s="95"/>
      <c r="JD8" s="95"/>
      <c r="JE8" s="95"/>
      <c r="JF8" s="95"/>
      <c r="JG8" s="95"/>
      <c r="JH8" s="95"/>
      <c r="JI8" s="95"/>
      <c r="JJ8" s="95"/>
      <c r="JK8" s="95"/>
      <c r="JL8" s="95"/>
      <c r="JM8" s="95"/>
      <c r="JN8" s="95"/>
      <c r="JO8" s="95"/>
      <c r="JP8" s="95"/>
      <c r="JQ8" s="95"/>
      <c r="JR8" s="95"/>
      <c r="JS8" s="95"/>
      <c r="JT8" s="95"/>
      <c r="JU8" s="95"/>
      <c r="JV8" s="95"/>
      <c r="JW8" s="95"/>
      <c r="JX8" s="95"/>
      <c r="JY8" s="95"/>
      <c r="JZ8" s="95"/>
      <c r="KA8" s="95"/>
      <c r="KB8" s="95"/>
      <c r="KC8" s="95"/>
      <c r="KD8" s="95"/>
      <c r="KE8" s="95"/>
      <c r="KF8" s="95"/>
      <c r="KG8" s="95"/>
      <c r="KH8" s="95"/>
      <c r="KI8" s="95"/>
      <c r="KJ8" s="95"/>
      <c r="KK8" s="95"/>
      <c r="KL8" s="95"/>
      <c r="KM8" s="95"/>
      <c r="KN8" s="95"/>
      <c r="KO8" s="95"/>
      <c r="KP8" s="95"/>
      <c r="KQ8" s="95"/>
      <c r="KR8" s="95"/>
      <c r="KS8" s="95"/>
      <c r="KT8" s="95"/>
      <c r="KU8" s="95"/>
      <c r="KV8" s="95"/>
      <c r="KW8" s="95"/>
      <c r="KX8" s="95"/>
      <c r="KY8" s="95"/>
      <c r="KZ8" s="95"/>
      <c r="LA8" s="95"/>
      <c r="LB8" s="95"/>
      <c r="LC8" s="95"/>
      <c r="LD8" s="95"/>
      <c r="LE8" s="95"/>
      <c r="LF8" s="95"/>
      <c r="LG8" s="95"/>
      <c r="LH8" s="95"/>
      <c r="LI8" s="95"/>
      <c r="LJ8" s="95"/>
      <c r="LK8" s="95"/>
      <c r="LL8" s="95"/>
      <c r="LM8" s="95"/>
      <c r="LN8" s="95"/>
      <c r="LO8" s="95"/>
      <c r="LP8" s="95"/>
      <c r="LQ8" s="95"/>
      <c r="LR8" s="95"/>
      <c r="LS8" s="95"/>
      <c r="LT8" s="95"/>
      <c r="LU8" s="95"/>
      <c r="LV8" s="95"/>
      <c r="LW8" s="95"/>
      <c r="LX8" s="95"/>
      <c r="LY8" s="95"/>
      <c r="LZ8" s="95"/>
      <c r="MA8" s="95"/>
      <c r="MB8" s="95"/>
      <c r="MC8" s="95"/>
      <c r="MD8" s="95"/>
      <c r="ME8" s="95"/>
      <c r="MF8" s="95"/>
      <c r="MG8" s="95"/>
      <c r="MH8" s="95"/>
      <c r="MI8" s="95"/>
      <c r="MJ8" s="95"/>
      <c r="MK8" s="95"/>
      <c r="ML8" s="95"/>
      <c r="MM8" s="95"/>
      <c r="MN8" s="95"/>
      <c r="MO8" s="95"/>
      <c r="MP8" s="95"/>
      <c r="MQ8" s="95"/>
      <c r="MR8" s="95"/>
      <c r="MS8" s="95"/>
      <c r="MT8" s="95"/>
      <c r="MU8" s="95"/>
      <c r="MV8" s="95"/>
      <c r="MW8" s="95"/>
      <c r="MX8" s="95"/>
      <c r="MY8" s="95"/>
      <c r="MZ8" s="95"/>
      <c r="NA8" s="95"/>
      <c r="NB8" s="95"/>
      <c r="NC8" s="95"/>
      <c r="ND8" s="95"/>
    </row>
    <row r="9" spans="1:368" s="28" customFormat="1" ht="14">
      <c r="A9" t="s">
        <v>45</v>
      </c>
      <c r="B9" s="142">
        <f t="shared" si="0"/>
        <v>0</v>
      </c>
      <c r="C9" s="143">
        <f t="shared" si="1"/>
        <v>0</v>
      </c>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c r="IS9" s="95"/>
      <c r="IT9" s="95"/>
      <c r="IU9" s="95"/>
      <c r="IV9" s="95"/>
      <c r="IW9" s="95"/>
      <c r="IX9" s="95"/>
      <c r="IY9" s="95"/>
      <c r="IZ9" s="95"/>
      <c r="JA9" s="95"/>
      <c r="JB9" s="95"/>
      <c r="JC9" s="95"/>
      <c r="JD9" s="95"/>
      <c r="JE9" s="95"/>
      <c r="JF9" s="95"/>
      <c r="JG9" s="95"/>
      <c r="JH9" s="95"/>
      <c r="JI9" s="95"/>
      <c r="JJ9" s="95"/>
      <c r="JK9" s="95"/>
      <c r="JL9" s="95"/>
      <c r="JM9" s="95"/>
      <c r="JN9" s="95"/>
      <c r="JO9" s="95"/>
      <c r="JP9" s="95"/>
      <c r="JQ9" s="95"/>
      <c r="JR9" s="95"/>
      <c r="JS9" s="95"/>
      <c r="JT9" s="95"/>
      <c r="JU9" s="95"/>
      <c r="JV9" s="95"/>
      <c r="JW9" s="95"/>
      <c r="JX9" s="95"/>
      <c r="JY9" s="95"/>
      <c r="JZ9" s="95"/>
      <c r="KA9" s="95"/>
      <c r="KB9" s="95"/>
      <c r="KC9" s="95"/>
      <c r="KD9" s="95"/>
      <c r="KE9" s="95"/>
      <c r="KF9" s="95"/>
      <c r="KG9" s="95"/>
      <c r="KH9" s="95"/>
      <c r="KI9" s="95"/>
      <c r="KJ9" s="95"/>
      <c r="KK9" s="95"/>
      <c r="KL9" s="95"/>
      <c r="KM9" s="95"/>
      <c r="KN9" s="95"/>
      <c r="KO9" s="95"/>
      <c r="KP9" s="95"/>
      <c r="KQ9" s="95"/>
      <c r="KR9" s="95"/>
      <c r="KS9" s="95"/>
      <c r="KT9" s="95"/>
      <c r="KU9" s="95"/>
      <c r="KV9" s="95"/>
      <c r="KW9" s="95"/>
      <c r="KX9" s="95"/>
      <c r="KY9" s="95"/>
      <c r="KZ9" s="95"/>
      <c r="LA9" s="95"/>
      <c r="LB9" s="95"/>
      <c r="LC9" s="95"/>
      <c r="LD9" s="95"/>
      <c r="LE9" s="95"/>
      <c r="LF9" s="95"/>
      <c r="LG9" s="95"/>
      <c r="LH9" s="95"/>
      <c r="LI9" s="95"/>
      <c r="LJ9" s="95"/>
      <c r="LK9" s="95"/>
      <c r="LL9" s="95"/>
      <c r="LM9" s="95"/>
      <c r="LN9" s="95"/>
      <c r="LO9" s="95"/>
      <c r="LP9" s="95"/>
      <c r="LQ9" s="95"/>
      <c r="LR9" s="95"/>
      <c r="LS9" s="95"/>
      <c r="LT9" s="95"/>
      <c r="LU9" s="95"/>
      <c r="LV9" s="95"/>
      <c r="LW9" s="95"/>
      <c r="LX9" s="95"/>
      <c r="LY9" s="95"/>
      <c r="LZ9" s="95"/>
      <c r="MA9" s="95"/>
      <c r="MB9" s="95"/>
      <c r="MC9" s="95"/>
      <c r="MD9" s="95"/>
      <c r="ME9" s="95"/>
      <c r="MF9" s="95"/>
      <c r="MG9" s="95"/>
      <c r="MH9" s="95"/>
      <c r="MI9" s="95"/>
      <c r="MJ9" s="95"/>
      <c r="MK9" s="95"/>
      <c r="ML9" s="95"/>
      <c r="MM9" s="95"/>
      <c r="MN9" s="95"/>
      <c r="MO9" s="95"/>
      <c r="MP9" s="95"/>
      <c r="MQ9" s="95"/>
      <c r="MR9" s="95"/>
      <c r="MS9" s="95"/>
      <c r="MT9" s="95"/>
      <c r="MU9" s="95"/>
      <c r="MV9" s="95"/>
      <c r="MW9" s="95"/>
      <c r="MX9" s="95"/>
      <c r="MY9" s="95"/>
      <c r="MZ9" s="95"/>
      <c r="NA9" s="95"/>
      <c r="NB9" s="95"/>
      <c r="NC9" s="95"/>
      <c r="ND9" s="95"/>
    </row>
    <row r="10" spans="1:368" s="28" customFormat="1" ht="14">
      <c r="A10" t="s">
        <v>46</v>
      </c>
      <c r="B10" s="142">
        <f t="shared" si="0"/>
        <v>0</v>
      </c>
      <c r="C10" s="143">
        <f t="shared" si="1"/>
        <v>0</v>
      </c>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c r="IL10" s="95"/>
      <c r="IM10" s="95"/>
      <c r="IN10" s="95"/>
      <c r="IO10" s="95"/>
      <c r="IP10" s="95"/>
      <c r="IQ10" s="95"/>
      <c r="IR10" s="95"/>
      <c r="IS10" s="95"/>
      <c r="IT10" s="95"/>
      <c r="IU10" s="95"/>
      <c r="IV10" s="95"/>
      <c r="IW10" s="95"/>
      <c r="IX10" s="95"/>
      <c r="IY10" s="95"/>
      <c r="IZ10" s="95"/>
      <c r="JA10" s="95"/>
      <c r="JB10" s="95"/>
      <c r="JC10" s="95"/>
      <c r="JD10" s="95"/>
      <c r="JE10" s="95"/>
      <c r="JF10" s="95"/>
      <c r="JG10" s="95"/>
      <c r="JH10" s="95"/>
      <c r="JI10" s="95"/>
      <c r="JJ10" s="95"/>
      <c r="JK10" s="95"/>
      <c r="JL10" s="95"/>
      <c r="JM10" s="95"/>
      <c r="JN10" s="95"/>
      <c r="JO10" s="95"/>
      <c r="JP10" s="95"/>
      <c r="JQ10" s="95"/>
      <c r="JR10" s="95"/>
      <c r="JS10" s="95"/>
      <c r="JT10" s="95"/>
      <c r="JU10" s="95"/>
      <c r="JV10" s="95"/>
      <c r="JW10" s="95"/>
      <c r="JX10" s="95"/>
      <c r="JY10" s="95"/>
      <c r="JZ10" s="95"/>
      <c r="KA10" s="95"/>
      <c r="KB10" s="95"/>
      <c r="KC10" s="95"/>
      <c r="KD10" s="95"/>
      <c r="KE10" s="95"/>
      <c r="KF10" s="95"/>
      <c r="KG10" s="95"/>
      <c r="KH10" s="95"/>
      <c r="KI10" s="95"/>
      <c r="KJ10" s="95"/>
      <c r="KK10" s="95"/>
      <c r="KL10" s="95"/>
      <c r="KM10" s="95"/>
      <c r="KN10" s="95"/>
      <c r="KO10" s="95"/>
      <c r="KP10" s="95"/>
      <c r="KQ10" s="95"/>
      <c r="KR10" s="95"/>
      <c r="KS10" s="95"/>
      <c r="KT10" s="95"/>
      <c r="KU10" s="95"/>
      <c r="KV10" s="95"/>
      <c r="KW10" s="95"/>
      <c r="KX10" s="95"/>
      <c r="KY10" s="95"/>
      <c r="KZ10" s="95"/>
      <c r="LA10" s="95"/>
      <c r="LB10" s="95"/>
      <c r="LC10" s="95"/>
      <c r="LD10" s="95"/>
      <c r="LE10" s="95"/>
      <c r="LF10" s="95"/>
      <c r="LG10" s="95"/>
      <c r="LH10" s="95"/>
      <c r="LI10" s="95"/>
      <c r="LJ10" s="95"/>
      <c r="LK10" s="95"/>
      <c r="LL10" s="95"/>
      <c r="LM10" s="95"/>
      <c r="LN10" s="95"/>
      <c r="LO10" s="95"/>
      <c r="LP10" s="95"/>
      <c r="LQ10" s="95"/>
      <c r="LR10" s="95"/>
      <c r="LS10" s="95"/>
      <c r="LT10" s="95"/>
      <c r="LU10" s="95"/>
      <c r="LV10" s="95"/>
      <c r="LW10" s="95"/>
      <c r="LX10" s="95"/>
      <c r="LY10" s="95"/>
      <c r="LZ10" s="95"/>
      <c r="MA10" s="95"/>
      <c r="MB10" s="95"/>
      <c r="MC10" s="95"/>
      <c r="MD10" s="95"/>
      <c r="ME10" s="95"/>
      <c r="MF10" s="95"/>
      <c r="MG10" s="95"/>
      <c r="MH10" s="95"/>
      <c r="MI10" s="95"/>
      <c r="MJ10" s="95"/>
      <c r="MK10" s="95"/>
      <c r="ML10" s="95"/>
      <c r="MM10" s="95"/>
      <c r="MN10" s="95"/>
      <c r="MO10" s="95"/>
      <c r="MP10" s="95"/>
      <c r="MQ10" s="95"/>
      <c r="MR10" s="95"/>
      <c r="MS10" s="95"/>
      <c r="MT10" s="95"/>
      <c r="MU10" s="95"/>
      <c r="MV10" s="95"/>
      <c r="MW10" s="95"/>
      <c r="MX10" s="95"/>
      <c r="MY10" s="95"/>
      <c r="MZ10" s="95"/>
      <c r="NA10" s="95"/>
      <c r="NB10" s="95"/>
      <c r="NC10" s="95"/>
      <c r="ND10" s="95"/>
    </row>
    <row r="11" spans="1:368" s="28" customFormat="1" ht="14">
      <c r="A11" t="s">
        <v>47</v>
      </c>
      <c r="B11" s="142">
        <f t="shared" si="0"/>
        <v>0</v>
      </c>
      <c r="C11" s="143">
        <f t="shared" si="1"/>
        <v>0</v>
      </c>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c r="IL11" s="95"/>
      <c r="IM11" s="95"/>
      <c r="IN11" s="95"/>
      <c r="IO11" s="95"/>
      <c r="IP11" s="95"/>
      <c r="IQ11" s="95"/>
      <c r="IR11" s="95"/>
      <c r="IS11" s="95"/>
      <c r="IT11" s="95"/>
      <c r="IU11" s="95"/>
      <c r="IV11" s="95"/>
      <c r="IW11" s="95"/>
      <c r="IX11" s="95"/>
      <c r="IY11" s="95"/>
      <c r="IZ11" s="95"/>
      <c r="JA11" s="95"/>
      <c r="JB11" s="95"/>
      <c r="JC11" s="95"/>
      <c r="JD11" s="95"/>
      <c r="JE11" s="95"/>
      <c r="JF11" s="95"/>
      <c r="JG11" s="95"/>
      <c r="JH11" s="95"/>
      <c r="JI11" s="95"/>
      <c r="JJ11" s="95"/>
      <c r="JK11" s="95"/>
      <c r="JL11" s="95"/>
      <c r="JM11" s="95"/>
      <c r="JN11" s="95"/>
      <c r="JO11" s="95"/>
      <c r="JP11" s="95"/>
      <c r="JQ11" s="95"/>
      <c r="JR11" s="95"/>
      <c r="JS11" s="95"/>
      <c r="JT11" s="95"/>
      <c r="JU11" s="95"/>
      <c r="JV11" s="95"/>
      <c r="JW11" s="95"/>
      <c r="JX11" s="95"/>
      <c r="JY11" s="95"/>
      <c r="JZ11" s="95"/>
      <c r="KA11" s="95"/>
      <c r="KB11" s="95"/>
      <c r="KC11" s="95"/>
      <c r="KD11" s="95"/>
      <c r="KE11" s="95"/>
      <c r="KF11" s="95"/>
      <c r="KG11" s="95"/>
      <c r="KH11" s="95"/>
      <c r="KI11" s="95"/>
      <c r="KJ11" s="95"/>
      <c r="KK11" s="95"/>
      <c r="KL11" s="95"/>
      <c r="KM11" s="95"/>
      <c r="KN11" s="95"/>
      <c r="KO11" s="95"/>
      <c r="KP11" s="95"/>
      <c r="KQ11" s="95"/>
      <c r="KR11" s="95"/>
      <c r="KS11" s="95"/>
      <c r="KT11" s="95"/>
      <c r="KU11" s="95"/>
      <c r="KV11" s="95"/>
      <c r="KW11" s="95"/>
      <c r="KX11" s="95"/>
      <c r="KY11" s="95"/>
      <c r="KZ11" s="95"/>
      <c r="LA11" s="95"/>
      <c r="LB11" s="95"/>
      <c r="LC11" s="95"/>
      <c r="LD11" s="95"/>
      <c r="LE11" s="95"/>
      <c r="LF11" s="95"/>
      <c r="LG11" s="95"/>
      <c r="LH11" s="95"/>
      <c r="LI11" s="95"/>
      <c r="LJ11" s="95"/>
      <c r="LK11" s="95"/>
      <c r="LL11" s="95"/>
      <c r="LM11" s="95"/>
      <c r="LN11" s="95"/>
      <c r="LO11" s="95"/>
      <c r="LP11" s="95"/>
      <c r="LQ11" s="95"/>
      <c r="LR11" s="95"/>
      <c r="LS11" s="95"/>
      <c r="LT11" s="95"/>
      <c r="LU11" s="95"/>
      <c r="LV11" s="95"/>
      <c r="LW11" s="95"/>
      <c r="LX11" s="95"/>
      <c r="LY11" s="95"/>
      <c r="LZ11" s="95"/>
      <c r="MA11" s="95"/>
      <c r="MB11" s="95"/>
      <c r="MC11" s="95"/>
      <c r="MD11" s="95"/>
      <c r="ME11" s="95"/>
      <c r="MF11" s="95"/>
      <c r="MG11" s="95"/>
      <c r="MH11" s="95"/>
      <c r="MI11" s="95"/>
      <c r="MJ11" s="95"/>
      <c r="MK11" s="95"/>
      <c r="ML11" s="95"/>
      <c r="MM11" s="95"/>
      <c r="MN11" s="95"/>
      <c r="MO11" s="95"/>
      <c r="MP11" s="95"/>
      <c r="MQ11" s="95"/>
      <c r="MR11" s="95"/>
      <c r="MS11" s="95"/>
      <c r="MT11" s="95"/>
      <c r="MU11" s="95"/>
      <c r="MV11" s="95"/>
      <c r="MW11" s="95"/>
      <c r="MX11" s="95"/>
      <c r="MY11" s="95"/>
      <c r="MZ11" s="95"/>
      <c r="NA11" s="95"/>
      <c r="NB11" s="95"/>
      <c r="NC11" s="95"/>
      <c r="ND11" s="95"/>
    </row>
    <row r="12" spans="1:368" ht="14">
      <c r="A12"/>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row>
    <row r="13" spans="1:368" ht="14">
      <c r="A13"/>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row>
    <row r="14" spans="1:368" ht="14">
      <c r="A14"/>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row>
    <row r="15" spans="1:368" ht="14">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row>
    <row r="16" spans="1:368" ht="14">
      <c r="A16"/>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row>
    <row r="17" spans="1:368" ht="14">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row>
    <row r="18" spans="1:368" ht="14">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row>
    <row r="19" spans="1:368" ht="14">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row>
    <row r="20" spans="1:368" ht="14">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row>
    <row r="21" spans="1:368" ht="14">
      <c r="A2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row>
    <row r="22" spans="1:368" ht="14">
      <c r="A22"/>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row>
    <row r="23" spans="1:368" ht="14">
      <c r="A23"/>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row>
    <row r="24" spans="1:368" ht="14">
      <c r="A2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row>
    <row r="25" spans="1:368" ht="14">
      <c r="A2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row>
    <row r="26" spans="1:368" ht="14">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row>
    <row r="27" spans="1:368" ht="14">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row>
    <row r="28" spans="1:368" ht="14">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row>
    <row r="29" spans="1:368" ht="14">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row>
    <row r="30" spans="1:368" ht="14">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row>
    <row r="31" spans="1:368" ht="14">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row>
    <row r="32" spans="1:368" ht="14">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row>
    <row r="33" spans="1:368" ht="14">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row>
    <row r="34" spans="1:368" ht="14">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row>
    <row r="35" spans="1:368" ht="14">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row>
    <row r="36" spans="1:368" ht="14">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row>
    <row r="37" spans="1:368" ht="14">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row>
    <row r="38" spans="1:368" ht="14">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row>
    <row r="39" spans="1:368" ht="14">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row>
    <row r="40" spans="1:368" ht="14">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row>
  </sheetData>
  <conditionalFormatting sqref="D1:ND50">
    <cfRule type="expression" dxfId="367" priority="2">
      <formula>IF(DATEVALUE(D$1)=TODAY(),1,0)</formula>
    </cfRule>
  </conditionalFormatting>
  <dataValidations count="1">
    <dataValidation type="list" errorStyle="information" allowBlank="1" sqref="D2:ND11">
      <formula1>"a,l"</formula1>
    </dataValidation>
  </dataValidations>
  <pageMargins left="0.7" right="0.7" top="0.75" bottom="0.75" header="0.3" footer="0.3"/>
  <pageSetup orientation="portrait" horizontalDpi="4294967293"/>
  <drawing r:id="rId1"/>
  <tableParts count="1">
    <tablePart r:id="rId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 Entry</vt:lpstr>
      <vt:lpstr>Options and Things to Try</vt:lpstr>
      <vt:lpstr>Explore</vt:lpstr>
      <vt:lpstr>Printouts</vt:lpstr>
      <vt:lpstr>Absences</vt:lpstr>
    </vt:vector>
  </TitlesOfParts>
  <Company>Massachusetts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jabbott</dc:creator>
  <cp:lastModifiedBy>Jesse Mostipak</cp:lastModifiedBy>
  <cp:lastPrinted>2014-11-11T07:49:49Z</cp:lastPrinted>
  <dcterms:created xsi:type="dcterms:W3CDTF">2013-03-23T16:29:11Z</dcterms:created>
  <dcterms:modified xsi:type="dcterms:W3CDTF">2018-09-19T23:33:43Z</dcterms:modified>
</cp:coreProperties>
</file>