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yos\OneDrive\Desktop\Aptivaa\Miscellaneous Tasks\FinancialSpreads Ground Truth\"/>
    </mc:Choice>
  </mc:AlternateContent>
  <xr:revisionPtr revIDLastSave="0" documentId="13_ncr:1_{FBEF45D8-61F5-4293-8024-513FE03F2B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  <sheet name="mappingTemplate" sheetId="6" r:id="rId2"/>
    <sheet name="Ratios" sheetId="2" r:id="rId3"/>
    <sheet name="bs" sheetId="3" r:id="rId4"/>
    <sheet name="pl" sheetId="4" r:id="rId5"/>
    <sheet name="cf" sheetId="5" r:id="rId6"/>
  </sheets>
  <calcPr calcId="191028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N326" i="1"/>
  <c r="M326" i="1"/>
  <c r="L326" i="1"/>
  <c r="K326" i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F140" i="1"/>
  <c r="F161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N71" i="1"/>
  <c r="M71" i="1"/>
  <c r="L71" i="1"/>
  <c r="K71" i="1"/>
  <c r="J71" i="1"/>
  <c r="I71" i="1"/>
  <c r="H71" i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N44" i="1"/>
  <c r="M44" i="1"/>
  <c r="L44" i="1"/>
  <c r="K44" i="1"/>
  <c r="J44" i="1"/>
  <c r="I44" i="1"/>
  <c r="H44" i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H369" i="1" s="1"/>
  <c r="G30" i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G12" i="1" s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H6" i="1"/>
  <c r="O5" i="1"/>
  <c r="N5" i="1"/>
  <c r="M5" i="1"/>
  <c r="L5" i="1"/>
  <c r="K5" i="1"/>
  <c r="J5" i="1"/>
  <c r="I5" i="1"/>
  <c r="H5" i="1"/>
  <c r="G5" i="1"/>
  <c r="F5" i="1"/>
  <c r="F12" i="1" l="1"/>
  <c r="F381" i="1"/>
  <c r="F375" i="1"/>
  <c r="F368" i="1"/>
  <c r="F363" i="1"/>
  <c r="G381" i="1"/>
  <c r="G375" i="1"/>
  <c r="G368" i="1"/>
  <c r="G363" i="1"/>
  <c r="H381" i="1"/>
  <c r="H375" i="1"/>
  <c r="H368" i="1"/>
  <c r="H363" i="1"/>
  <c r="I381" i="1"/>
  <c r="I375" i="1"/>
  <c r="I368" i="1"/>
  <c r="I363" i="1"/>
  <c r="H371" i="1"/>
  <c r="H365" i="1"/>
  <c r="I371" i="1"/>
  <c r="I365" i="1"/>
  <c r="F366" i="1"/>
  <c r="G366" i="1"/>
  <c r="F383" i="1"/>
  <c r="F382" i="1"/>
  <c r="G383" i="1"/>
  <c r="G382" i="1"/>
  <c r="H383" i="1"/>
  <c r="H382" i="1"/>
  <c r="I383" i="1"/>
  <c r="I382" i="1"/>
  <c r="J383" i="1"/>
  <c r="J382" i="1"/>
  <c r="K383" i="1"/>
  <c r="K382" i="1"/>
  <c r="L383" i="1"/>
  <c r="L382" i="1"/>
  <c r="M383" i="1"/>
  <c r="M382" i="1"/>
  <c r="N383" i="1"/>
  <c r="N382" i="1"/>
  <c r="O383" i="1"/>
  <c r="O382" i="1"/>
  <c r="F384" i="1"/>
  <c r="F377" i="1"/>
  <c r="F376" i="1"/>
  <c r="F13" i="1"/>
  <c r="F14" i="1" s="1"/>
  <c r="G384" i="1"/>
  <c r="G377" i="1"/>
  <c r="G376" i="1"/>
  <c r="G13" i="1"/>
  <c r="G14" i="1" s="1"/>
  <c r="H384" i="1"/>
  <c r="H377" i="1"/>
  <c r="H376" i="1"/>
  <c r="I384" i="1"/>
  <c r="I377" i="1"/>
  <c r="I376" i="1"/>
  <c r="J384" i="1"/>
  <c r="J377" i="1"/>
  <c r="J376" i="1"/>
  <c r="J368" i="1"/>
  <c r="K384" i="1"/>
  <c r="K377" i="1"/>
  <c r="K376" i="1"/>
  <c r="K368" i="1"/>
  <c r="L384" i="1"/>
  <c r="L377" i="1"/>
  <c r="L376" i="1"/>
  <c r="L368" i="1"/>
  <c r="M384" i="1"/>
  <c r="M377" i="1"/>
  <c r="M376" i="1"/>
  <c r="M368" i="1"/>
  <c r="N384" i="1"/>
  <c r="N377" i="1"/>
  <c r="N376" i="1"/>
  <c r="N368" i="1"/>
  <c r="O384" i="1"/>
  <c r="O377" i="1"/>
  <c r="O376" i="1"/>
  <c r="O368" i="1"/>
  <c r="F369" i="1"/>
  <c r="F44" i="1"/>
  <c r="G369" i="1"/>
  <c r="G44" i="1"/>
  <c r="H378" i="1"/>
  <c r="H370" i="1"/>
  <c r="I378" i="1"/>
  <c r="I370" i="1"/>
  <c r="J378" i="1"/>
  <c r="J370" i="1"/>
  <c r="K378" i="1"/>
  <c r="K370" i="1"/>
  <c r="L378" i="1"/>
  <c r="L370" i="1"/>
  <c r="M378" i="1"/>
  <c r="M370" i="1"/>
  <c r="N378" i="1"/>
  <c r="N370" i="1"/>
  <c r="O378" i="1"/>
  <c r="O370" i="1"/>
  <c r="H373" i="1"/>
  <c r="H372" i="1"/>
  <c r="I373" i="1"/>
  <c r="I372" i="1"/>
  <c r="J373" i="1"/>
  <c r="J372" i="1"/>
  <c r="K373" i="1"/>
  <c r="K372" i="1"/>
  <c r="L373" i="1"/>
  <c r="L372" i="1"/>
  <c r="M373" i="1"/>
  <c r="M372" i="1"/>
  <c r="N373" i="1"/>
  <c r="N372" i="1"/>
  <c r="O373" i="1"/>
  <c r="O372" i="1"/>
  <c r="G297" i="1"/>
  <c r="G319" i="1" s="1"/>
  <c r="F297" i="1"/>
  <c r="F319" i="1" s="1"/>
  <c r="F326" i="1"/>
  <c r="G326" i="1"/>
  <c r="H385" i="1"/>
  <c r="I385" i="1"/>
  <c r="J385" i="1"/>
  <c r="K385" i="1"/>
  <c r="L385" i="1"/>
  <c r="M385" i="1"/>
  <c r="N385" i="1"/>
  <c r="O385" i="1"/>
  <c r="G385" i="1" l="1"/>
  <c r="G353" i="1"/>
  <c r="G355" i="1" s="1"/>
  <c r="G357" i="1" s="1"/>
  <c r="F385" i="1"/>
  <c r="F353" i="1"/>
  <c r="F355" i="1" s="1"/>
  <c r="F357" i="1" s="1"/>
  <c r="G378" i="1"/>
  <c r="G370" i="1"/>
  <c r="G59" i="1"/>
  <c r="G67" i="1" s="1"/>
  <c r="G71" i="1" s="1"/>
  <c r="F378" i="1"/>
  <c r="F370" i="1"/>
  <c r="F59" i="1"/>
  <c r="F67" i="1" s="1"/>
  <c r="F71" i="1" s="1"/>
  <c r="F373" i="1" l="1"/>
  <c r="F372" i="1"/>
  <c r="F83" i="1"/>
  <c r="F6" i="1"/>
  <c r="G373" i="1"/>
  <c r="G372" i="1"/>
  <c r="G83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<sst xmlns="http://schemas.openxmlformats.org/spreadsheetml/2006/main" count="741" uniqueCount="476">
  <si>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</si>
  <si>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</si>
  <si>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</si>
  <si>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</si>
  <si>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</si>
  <si>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</si>
  <si>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</si>
  <si>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</si>
  <si>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</si>
  <si>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</si>
  <si>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</si>
  <si>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</si>
  <si>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</si>
  <si>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</si>
  <si>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</si>
  <si>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</si>
  <si>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</si>
  <si>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</si>
  <si>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</si>
  <si>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</si>
  <si>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</si>
  <si>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</si>
  <si>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</si>
  <si>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</si>
  <si>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</si>
  <si>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</si>
  <si>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</si>
  <si>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</si>
  <si>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</si>
  <si>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</si>
  <si>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</si>
  <si>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</si>
  <si>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</si>
  <si>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</si>
  <si>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</si>
  <si>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</si>
  <si>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</si>
  <si>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</si>
  <si>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</si>
  <si>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</si>
  <si>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</si>
  <si>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</si>
  <si>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</si>
  <si>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</si>
  <si>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</si>
  <si>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</si>
  <si>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</si>
  <si>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</si>
  <si>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</si>
  <si>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</si>
  <si>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</si>
  <si>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</si>
  <si>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</si>
  <si>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</si>
  <si>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</si>
  <si>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</si>
  <si>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</si>
  <si>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</si>
  <si>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</si>
  <si>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</si>
  <si>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</si>
  <si>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</si>
  <si>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</si>
  <si>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</si>
  <si>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</si>
  <si>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</si>
  <si>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</si>
  <si>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</si>
  <si>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</si>
  <si>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</si>
  <si>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</si>
  <si>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</si>
  <si>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</si>
  <si>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</si>
  <si>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</si>
  <si>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</si>
  <si>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</si>
  <si>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</si>
  <si>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</si>
  <si>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</si>
  <si>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</si>
  <si>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</si>
  <si>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</si>
  <si>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</si>
  <si>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</si>
  <si>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</si>
  <si>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</si>
  <si>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</si>
  <si>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</si>
  <si>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</si>
  <si>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</si>
  <si>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</si>
  <si>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</si>
  <si>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</si>
  <si>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</si>
  <si>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</si>
  <si>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</si>
  <si>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</si>
  <si>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added from receivables (page 77/153 of PDF)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</si>
  <si>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</si>
  <si>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</si>
  <si>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</si>
  <si>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</si>
  <si>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</si>
  <si>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</si>
  <si>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</si>
  <si>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</si>
  <si>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</si>
  <si>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</si>
  <si>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</si>
  <si>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</si>
  <si>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</si>
  <si>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</si>
  <si>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</si>
  <si>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</si>
  <si>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</si>
  <si>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</si>
  <si>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</si>
  <si>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</si>
  <si>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</si>
  <si>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</si>
  <si>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</si>
  <si>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</si>
  <si>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</si>
  <si>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</si>
  <si>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</si>
  <si>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</si>
  <si>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</si>
  <si>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</si>
  <si>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</si>
  <si>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</si>
  <si>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</si>
  <si>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</si>
  <si>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</si>
  <si>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</si>
  <si>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</si>
  <si>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</si>
  <si>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</si>
  <si>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</si>
  <si>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</si>
  <si>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</si>
  <si>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</si>
  <si>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</si>
  <si>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</si>
  <si>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</si>
  <si>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</si>
  <si>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</si>
  <si>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</si>
  <si>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</si>
  <si>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</si>
  <si>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</si>
  <si>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</si>
  <si>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</si>
  <si>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</si>
  <si>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</si>
  <si>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</si>
  <si>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</si>
  <si>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</si>
  <si>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</si>
  <si>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</si>
  <si>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</si>
  <si>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</si>
  <si>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</si>
  <si>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</si>
  <si>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</si>
  <si>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</si>
  <si>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</si>
  <si>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</si>
  <si>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</si>
  <si>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</si>
  <si>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</si>
  <si>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</si>
  <si>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</si>
  <si>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</si>
  <si>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</si>
  <si>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</si>
  <si>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</si>
  <si>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</si>
  <si>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</si>
  <si>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</si>
  <si>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</si>
  <si>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</si>
  <si>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</si>
  <si>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</si>
  <si>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sum of common stock $0.01 par value and additional paid-in cap (page 77/153)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</si>
  <si>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</si>
  <si>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</si>
  <si>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</si>
  <si>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</si>
  <si>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</si>
  <si>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</si>
  <si>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</si>
  <si>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</si>
  <si>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</si>
  <si>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</si>
  <si>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</si>
  <si>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</si>
  <si>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</si>
  <si>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</si>
  <si>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</si>
  <si>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</si>
  <si>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</si>
  <si>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</si>
  <si>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</si>
  <si>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</si>
  <si>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</si>
  <si>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</si>
  <si>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</si>
  <si>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</si>
  <si>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</si>
  <si>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</si>
  <si>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</si>
  <si>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</si>
  <si>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</si>
  <si>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</si>
  <si>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</si>
  <si>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</si>
  <si>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</si>
  <si>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</si>
  <si>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</si>
  <si>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</si>
  <si>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</si>
  <si>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</si>
  <si>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</si>
  <si>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</si>
  <si>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</si>
  <si>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</si>
  <si>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</si>
  <si>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</si>
  <si>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</si>
  <si>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</si>
  <si>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</si>
  <si>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</si>
  <si>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</si>
  <si>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</si>
  <si>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</si>
  <si>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</si>
  <si>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</si>
  <si>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</si>
  <si>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</si>
  <si>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</si>
  <si>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</si>
  <si>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</si>
  <si>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</si>
  <si>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</si>
  <si>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</si>
  <si>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</si>
  <si>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</si>
  <si>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</si>
  <si>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</si>
  <si>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</si>
  <si>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</si>
  <si>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</si>
  <si>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</si>
  <si>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</si>
  <si>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</si>
  <si>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</si>
  <si>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</si>
  <si>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</si>
  <si>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</si>
  <si>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</si>
  <si>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</si>
  <si>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</si>
  <si>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</si>
  <si>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</si>
  <si>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</si>
  <si>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</si>
  <si>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</si>
  <si>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</si>
  <si>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</si>
  <si>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</si>
  <si>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</si>
  <si>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</si>
  <si>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</si>
  <si>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</si>
  <si>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</si>
  <si>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</si>
  <si>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</si>
  <si>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</si>
  <si>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</si>
  <si>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</si>
  <si>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</si>
  <si>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</si>
  <si>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</si>
  <si>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</si>
  <si>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</si>
  <si>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</si>
  <si>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</si>
  <si>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</si>
  <si>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</si>
  <si>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</si>
  <si>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</si>
  <si>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</si>
  <si>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</si>
  <si>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</si>
  <si>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</si>
  <si>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</si>
  <si>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</si>
  <si>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</si>
  <si>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</si>
  <si>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</si>
  <si>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</si>
  <si>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</si>
  <si>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</si>
  <si>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</si>
  <si>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</si>
  <si>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</si>
  <si>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</si>
  <si>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</si>
  <si>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</si>
  <si>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</si>
  <si>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</si>
  <si>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</si>
  <si>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</si>
  <si>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</si>
  <si>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</si>
  <si>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</si>
  <si>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</si>
  <si>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</si>
  <si>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</si>
  <si>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</si>
  <si>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</si>
  <si>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</si>
  <si>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</si>
  <si>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</si>
  <si>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</si>
  <si>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</si>
  <si>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</si>
  <si>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</si>
  <si>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</si>
  <si>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</si>
  <si>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</si>
  <si>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</si>
  <si>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</si>
  <si>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</si>
  <si>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</si>
  <si>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</si>
  <si>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</si>
  <si>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</si>
  <si>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</si>
  <si>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</si>
  <si>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</si>
  <si>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</si>
  <si>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</si>
  <si>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</si>
  <si>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</si>
  <si>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</si>
  <si>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</si>
  <si>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</si>
  <si>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</si>
  <si>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</si>
  <si>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</si>
  <si>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</si>
  <si>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</si>
  <si>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</si>
  <si>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</si>
  <si>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</si>
  <si>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</si>
  <si>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</si>
  <si>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</si>
  <si>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</si>
  <si>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</si>
  <si>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</si>
  <si>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</si>
  <si>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</si>
  <si>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</si>
  <si>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</si>
  <si>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</si>
  <si>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</si>
  <si>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</si>
  <si>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</si>
  <si>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</si>
  <si>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</si>
  <si>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</si>
  <si>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</si>
  <si>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</si>
  <si>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Original Line Item in the pdf</t>
  </si>
  <si>
    <t>Line item in the accounts Tamplate into which Originalline item is mapped</t>
  </si>
  <si>
    <t xml:space="preserve">Person mapping </t>
  </si>
  <si>
    <t>ASSETS</t>
  </si>
  <si>
    <t>Current assets:</t>
  </si>
  <si>
    <t>Cash and cash equivalents</t>
  </si>
  <si>
    <t>Short-term investments</t>
  </si>
  <si>
    <t>Receivables</t>
  </si>
  <si>
    <t>Prepaid expenses and other current assets</t>
  </si>
  <si>
    <t>Total current assets</t>
  </si>
  <si>
    <t>Property and equipment, net</t>
  </si>
  <si>
    <t>Property and Equipment</t>
  </si>
  <si>
    <t>Licensed technology, net</t>
  </si>
  <si>
    <t>Other Intangibles</t>
  </si>
  <si>
    <t>Goodwill</t>
  </si>
  <si>
    <t>Other assets and restricted cash</t>
  </si>
  <si>
    <t>Total assets</t>
  </si>
  <si>
    <t>LIABILITIES AND STOCKHOLDERS EQUITY</t>
  </si>
  <si>
    <t>Current liabilities:</t>
  </si>
  <si>
    <t>Accounts payable</t>
  </si>
  <si>
    <t>Accruals</t>
  </si>
  <si>
    <t>Current portion of payable to licensor</t>
  </si>
  <si>
    <t>Current portion of deferred revenue</t>
  </si>
  <si>
    <t>Accrued Revenue</t>
  </si>
  <si>
    <t>Total current liabilities</t>
  </si>
  <si>
    <t>Payable to licensor, net of current portion</t>
  </si>
  <si>
    <t>Deferred revenue, net of current portion</t>
  </si>
  <si>
    <t>Total liabilities</t>
  </si>
  <si>
    <t>Commitments and contingencies</t>
  </si>
  <si>
    <t>Stockholders equity:</t>
  </si>
  <si>
    <t>Common stock$0.01 par value; authorized 200,000,000 shares;</t>
  </si>
  <si>
    <t>issued and outstanding 47,944,486 at December 31, 2018; issued and outstanding 46,888,108 at December 31, 2017</t>
  </si>
  <si>
    <t>Additional paid-in capital</t>
  </si>
  <si>
    <t>Accumulated deficit</t>
  </si>
  <si>
    <t>Total stockholders equity</t>
  </si>
  <si>
    <t>Revenues:</t>
  </si>
  <si>
    <t>Revenue</t>
  </si>
  <si>
    <t>Foundation revenues</t>
  </si>
  <si>
    <t>License revenues</t>
  </si>
  <si>
    <t>Royalties</t>
  </si>
  <si>
    <t>Total revenues</t>
  </si>
  <si>
    <t>Expenses:</t>
  </si>
  <si>
    <t>Research and development</t>
  </si>
  <si>
    <t>General and administrative</t>
  </si>
  <si>
    <t>Depreciation and amortization</t>
  </si>
  <si>
    <t>Total expenses</t>
  </si>
  <si>
    <t>Loss from operations</t>
  </si>
  <si>
    <t>Operating Profit</t>
  </si>
  <si>
    <t>Interest and miscellaneous income</t>
  </si>
  <si>
    <t>Interest and other expense</t>
  </si>
  <si>
    <t>Other Income - Net profit (loss)</t>
  </si>
  <si>
    <t>Net loss</t>
  </si>
  <si>
    <t>Basic and diluted loss per common share</t>
  </si>
  <si>
    <t>Weighted average number of common shares outstanding basic and diluted</t>
  </si>
  <si>
    <t>Cash flows from operating activities:</t>
  </si>
  <si>
    <t>Operating Activities</t>
  </si>
  <si>
    <t>Adjustments to reconcile net loss to cash used in operating activities:</t>
  </si>
  <si>
    <t>Stock-based compensation expense</t>
  </si>
  <si>
    <t>Restricted stock-based compensation expense</t>
  </si>
  <si>
    <t>Non-cash earnings on investments</t>
  </si>
  <si>
    <t>Net gain on write-off of licensed technology</t>
  </si>
  <si>
    <t>Change in operating assets and liabilities:</t>
  </si>
  <si>
    <t>Other assets</t>
  </si>
  <si>
    <t>Accounts payable and accrued expenses</t>
  </si>
  <si>
    <t>Contingent consideration milestone</t>
  </si>
  <si>
    <t>Deferred revenue</t>
  </si>
  <si>
    <t>Net cash used in operating activities</t>
  </si>
  <si>
    <t>Cash flows from investing activities:</t>
  </si>
  <si>
    <t>Investing Activities</t>
  </si>
  <si>
    <t>Capital expenditures</t>
  </si>
  <si>
    <t>Acquisition of licensed technology</t>
  </si>
  <si>
    <t>Purchases of short-term investments</t>
  </si>
  <si>
    <t>Proceeds from maturities of short-term investments</t>
  </si>
  <si>
    <t>Net cash used in investing activities</t>
  </si>
  <si>
    <t>Cash flows from financing activities:</t>
  </si>
  <si>
    <t>Financing Activities</t>
  </si>
  <si>
    <t>Proceeds from exercise of $5.00 warrants</t>
  </si>
  <si>
    <t>Proceeds from exercise of stock options</t>
  </si>
  <si>
    <t>Proceeds from $16.00 common stock offering, net of costs</t>
  </si>
  <si>
    <t>Proceeds from exercise of $8.00 warrants</t>
  </si>
  <si>
    <t>Proceeds from $7.00 common stock offering, net of costs</t>
  </si>
  <si>
    <t>Proceeds from $6.44 per share common stock offering, net of costs</t>
  </si>
  <si>
    <t>Proceeds from $2.85 restricted common stock issuance</t>
  </si>
  <si>
    <t>Net cash provided by financing activities</t>
  </si>
  <si>
    <t>Net (decrease)/increase in cash, cash equivalents and restricted cash</t>
  </si>
  <si>
    <t>Net increase (decrease) in cash and cash equivalents</t>
  </si>
  <si>
    <t>Cash, cash equivalents and restricted cash at beginning of year</t>
  </si>
  <si>
    <t>Cash and cash equivalents at beginning of period</t>
  </si>
  <si>
    <t>Cash, cash equivalents and restricted cash at end of year</t>
  </si>
  <si>
    <t>Supplemental cash flow information:</t>
  </si>
  <si>
    <t>Restricted cash</t>
  </si>
  <si>
    <t>Total cash, cash equivalents and restricted cash</t>
  </si>
  <si>
    <t>Payable for acquistion of licensed technology</t>
  </si>
  <si>
    <t>Write off of licensed asset and corresponding liability</t>
  </si>
  <si>
    <t>Shares issued to EB Research Partnership and Epidermolysis</t>
  </si>
  <si>
    <t>Bullosa Medical Research Foundation for licenses</t>
  </si>
  <si>
    <t>Niyoshi</t>
  </si>
  <si>
    <t>Common Stock $0.01 par value</t>
  </si>
  <si>
    <t>Depreciation and Amortization</t>
  </si>
  <si>
    <t>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</si>
</sst>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0" fillId="12" borderId="0" xfId="0" applyFill="1"/>
    <xf numFmtId="3" fontId="4" fillId="0" borderId="0" xfId="0" applyFont="1" applyFill="1" applyBorder="1" applyAlignment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55-4E62-8AFF-5F238E34E9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71-4844-AEE2-3EB5744F47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22-43C4-909C-0291B36E73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6C-4685-9526-DF73165067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0F-44C3-AAD2-A5512B6AA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0B-405C-BC8C-164DF8E7D8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9C6-4DE5-8886-C0A1C9E958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44-4A84-930B-00536E67AD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C1-4A89-9F68-1AFF054847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B91-4664-953F-618025A18C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70-422E-B1DB-24CD02DD8B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88-4CF5-B2B4-C9A4DAC2D5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81C-4505-9BD3-44EA27C2A5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51-4763-8579-B50B2B790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9D-4C84-8843-E690FF6439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  <a:ext uri="{147F2762-F138-4A5C-976F-8EAC2B608ADB}">
              <a16:predDERef xmlns:a16="http://schemas.microsoft.com/office/drawing/2014/main" pre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  <a:ext uri="{147F2762-F138-4A5C-976F-8EAC2B608ADB}">
              <a16:predDERef xmlns:a16="http://schemas.microsoft.com/office/drawing/2014/main" pre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  <a:ext uri="{147F2762-F138-4A5C-976F-8EAC2B608ADB}">
              <a16:predDERef xmlns:a16="http://schemas.microsoft.com/office/drawing/2014/main" pre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  <a:ext uri="{147F2762-F138-4A5C-976F-8EAC2B608ADB}">
              <a16:predDERef xmlns:a16="http://schemas.microsoft.com/office/drawing/2014/main" pre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  <a:ext uri="{147F2762-F138-4A5C-976F-8EAC2B608ADB}">
              <a16:predDERef xmlns:a16="http://schemas.microsoft.com/office/drawing/2014/main" pre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  <a:ext uri="{147F2762-F138-4A5C-976F-8EAC2B608ADB}">
              <a16:predDERef xmlns:a16="http://schemas.microsoft.com/office/drawing/2014/main" pre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  <a:ext uri="{147F2762-F138-4A5C-976F-8EAC2B608ADB}">
              <a16:predDERef xmlns:a16="http://schemas.microsoft.com/office/drawing/2014/main" pre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  <a:ext uri="{147F2762-F138-4A5C-976F-8EAC2B608ADB}">
              <a16:predDERef xmlns:a16="http://schemas.microsoft.com/office/drawing/2014/main" pre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3"/>
  <sheetViews>
    <sheetView showGridLines="0" tabSelected="1" topLeftCell="E1" workbookViewId="0">
      <selection activeCell="F14" sqref="F14"/>
    </sheetView>
  </sheetViews>
  <sheetFormatPr defaultColWidth="9" defaultRowHeight="13.2"/>
  <cols>
    <col min="1" max="4" width="13" style="38" hidden="1" customWidth="1"/>
    <col min="5" max="5" width="59.44140625" style="1" customWidth="1"/>
    <col min="6" max="7" width="16.109375" style="38" customWidth="1"/>
    <col min="16" max="16" width="55.6640625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-56671000</v>
      </c>
      <c r="G6" s="7">
        <f t="shared" ref="G6:O6" si="1">IF(G4=$BF$1,"",G71)</f>
        <v>-27319000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85629000</v>
      </c>
      <c r="G7" s="7">
        <f t="shared" ref="G7:O7" si="2">IF(G4=$BF$1,"",G128)</f>
        <v>38281000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88770000</v>
      </c>
      <c r="G8" s="7">
        <f t="shared" ref="G8:O8" si="3">IF(G4=$BF$1,"",G161)</f>
        <v>140485000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20354000</v>
      </c>
      <c r="G9" s="7">
        <f t="shared" ref="G9:O9" si="4">IF(G4=$BF$1,"",G189)</f>
        <v>5607000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20000000</v>
      </c>
      <c r="G10" s="7">
        <f t="shared" ref="G10:O10" si="5">IF(G4=$BF$1,"",G210)</f>
        <v>3061000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134045000</v>
      </c>
      <c r="G11" s="7">
        <f t="shared" ref="G11:O11" si="6">IF(G4=$BF$1,"",G227)</f>
        <v>170098000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174399000</v>
      </c>
      <c r="G12" s="35">
        <f t="shared" ref="G12:O12" si="7">IF(G4=$BF$1,"",SUM(G7:G8))</f>
        <v>178766000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174399000</v>
      </c>
      <c r="G13" s="35">
        <f t="shared" ref="G13:O13" si="8">IF(G4=$BF$1,"",SUM(G9:G11))</f>
        <v>178766000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>
        <v>2998000</v>
      </c>
      <c r="G24">
        <v>837000</v>
      </c>
      <c r="H24">
        <v>889000</v>
      </c>
    </row>
    <row r="25" spans="5:15">
      <c r="E25" s="1" t="s">
        <v>27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2998000</v>
      </c>
      <c r="G30" s="7">
        <f>IF(G4=$BF$1,"",G24-G25+ABS(G26)-G27-G28-G29)</f>
        <v>837000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</row>
    <row r="32" spans="5:15">
      <c r="E32" s="1" t="s">
        <v>34</v>
      </c>
    </row>
    <row r="33" spans="5:15">
      <c r="E33" s="1" t="s">
        <v>35</v>
      </c>
    </row>
    <row r="34" spans="5:15">
      <c r="E34" s="1" t="s">
        <v>36</v>
      </c>
      <c r="F34">
        <v>20106000</v>
      </c>
      <c r="G34">
        <v>10943000</v>
      </c>
      <c r="H34">
        <v>13290000</v>
      </c>
    </row>
    <row r="35" spans="5:15">
      <c r="E35" s="1" t="s">
        <v>37</v>
      </c>
      <c r="F35">
        <v>38698000</v>
      </c>
      <c r="G35">
        <v>16989000</v>
      </c>
      <c r="H35">
        <v>10655000</v>
      </c>
    </row>
    <row r="36" spans="5:15">
      <c r="E36" s="1" t="s">
        <v>38</v>
      </c>
    </row>
    <row r="37" spans="5:15">
      <c r="E37" s="1" t="s">
        <v>39</v>
      </c>
    </row>
    <row r="38" spans="5:15">
      <c r="E38" s="1" t="s">
        <v>40</v>
      </c>
    </row>
    <row r="39" spans="5:15">
      <c r="E39" s="1" t="s">
        <v>41</v>
      </c>
      <c r="F39">
        <v>0</v>
      </c>
      <c r="G39">
        <v>0</v>
      </c>
      <c r="H39">
        <v>0</v>
      </c>
    </row>
    <row r="40" spans="5:15">
      <c r="E40" s="1" t="s">
        <v>42</v>
      </c>
      <c r="F40">
        <v>2360000</v>
      </c>
      <c r="G40">
        <v>741000</v>
      </c>
      <c r="H40">
        <v>825000</v>
      </c>
    </row>
    <row r="41" spans="5:15">
      <c r="E41" s="1" t="s">
        <v>43</v>
      </c>
    </row>
    <row r="42" spans="5:15">
      <c r="E42" s="1" t="s">
        <v>44</v>
      </c>
    </row>
    <row r="43" spans="5:15">
      <c r="E43" s="6" t="s">
        <v>45</v>
      </c>
      <c r="F43" s="7">
        <f>F32+F33+F34+F35+F36+F37+F38+F39+F40+F41+F42</f>
        <v>61164000</v>
      </c>
      <c r="G43" s="7">
        <f>G32+G33+G34+G35+G36+G37+G38+G39+G40+G41+G42</f>
        <v>28673000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7">
        <f>F30+F31-F43</f>
        <v>-58166000</v>
      </c>
      <c r="G44" s="7">
        <f>IF(G4=$BF$1,"",G30+G31-G43)</f>
        <v>-27836000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</row>
    <row r="46" spans="5:15">
      <c r="E46" s="1" t="s">
        <v>48</v>
      </c>
    </row>
    <row r="47" spans="5:15">
      <c r="E47" s="1" t="s">
        <v>49</v>
      </c>
    </row>
    <row r="48" spans="5:15">
      <c r="E48" s="1" t="s">
        <v>50</v>
      </c>
    </row>
    <row r="49" spans="5:16">
      <c r="E49" s="1" t="s">
        <v>51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1506000</v>
      </c>
      <c r="G52">
        <v>525000</v>
      </c>
      <c r="H52">
        <v>2014000</v>
      </c>
    </row>
    <row r="53" spans="5:16">
      <c r="E53" s="1" t="s">
        <v>55</v>
      </c>
    </row>
    <row r="54" spans="5:16">
      <c r="E54" s="1" t="s">
        <v>56</v>
      </c>
      <c r="F54">
        <v>-11000</v>
      </c>
      <c r="G54">
        <v>-8000</v>
      </c>
      <c r="H54">
        <v>-6000</v>
      </c>
      <c r="P54" s="39"/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-56671000</v>
      </c>
      <c r="G59" s="7">
        <f>IF(G4=$BF$1,"",G44+G45+G46+G47+G48-G49-G50-G51+G52-G53+G54+G55-G56+G57+G58)</f>
        <v>-27319000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-56671000</v>
      </c>
      <c r="G67" s="7">
        <f>IF(G4=$BF$1,"",SUM(G59,-G60,-ABS(G61),-G62,-G66))</f>
        <v>-27319000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-56671000</v>
      </c>
      <c r="G71" s="7">
        <f t="shared" ref="G71:O71" si="14">IF(G4=$BF$1,"",SUM(G67:G70))</f>
        <v>-27319000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-56671000</v>
      </c>
      <c r="G83" s="7">
        <f t="shared" ref="G83:O83" si="15">IF(G4=$BF$1,"",SUM(G71:G82))</f>
        <v>-27319000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>
        <v>9443000</v>
      </c>
      <c r="G92">
        <v>1374000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6">
      <c r="E98" s="6" t="s">
        <v>88</v>
      </c>
      <c r="F98" s="7">
        <f>F89+F90+F91+F92+F93+F94+F95+F96</f>
        <v>9443000</v>
      </c>
      <c r="G98" s="7">
        <f>IF(G4=$BF$1,"",G89+G90+G91+G92+G93+G94+G95+G96)</f>
        <v>1374000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6">
      <c r="E99" s="1" t="s">
        <v>89</v>
      </c>
    </row>
    <row r="100" spans="5:16">
      <c r="E100" s="6" t="s">
        <v>90</v>
      </c>
      <c r="F100" s="7">
        <f>F98+F99</f>
        <v>9443000</v>
      </c>
      <c r="G100" s="7">
        <f t="shared" ref="G100:O100" si="17">IF(G4=$BF$1,"",G98+G99)</f>
        <v>1374000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6">
      <c r="E101" s="1" t="s">
        <v>91</v>
      </c>
      <c r="F101">
        <v>32466000</v>
      </c>
      <c r="G101">
        <v>32466000</v>
      </c>
    </row>
    <row r="102" spans="5:16">
      <c r="E102" s="1" t="s">
        <v>92</v>
      </c>
      <c r="F102">
        <v>43042000</v>
      </c>
      <c r="G102">
        <v>3977000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75508000</v>
      </c>
      <c r="G104" s="7">
        <f t="shared" ref="G104:O104" si="18">IF(G4=$BF$1,"",G101+G102+G103)</f>
        <v>36443000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  <c r="F107" s="38">
        <v>81000</v>
      </c>
      <c r="G107" s="38">
        <v>107000</v>
      </c>
      <c r="P107" s="39" t="s">
        <v>98</v>
      </c>
    </row>
    <row r="108" spans="5:16">
      <c r="E108" s="1" t="s">
        <v>99</v>
      </c>
    </row>
    <row r="109" spans="5:16">
      <c r="E109" s="1" t="s">
        <v>100</v>
      </c>
    </row>
    <row r="110" spans="5:16">
      <c r="E110" s="1" t="s">
        <v>101</v>
      </c>
    </row>
    <row r="111" spans="5:16">
      <c r="E111" s="1" t="s">
        <v>102</v>
      </c>
    </row>
    <row r="112" spans="5:16">
      <c r="E112" s="1" t="s">
        <v>103</v>
      </c>
    </row>
    <row r="113" spans="5:15">
      <c r="E113" s="1" t="s">
        <v>104</v>
      </c>
    </row>
    <row r="114" spans="5:15">
      <c r="E114" s="1" t="s">
        <v>105</v>
      </c>
    </row>
    <row r="115" spans="5:15">
      <c r="E115" s="1" t="s">
        <v>106</v>
      </c>
    </row>
    <row r="116" spans="5:15">
      <c r="E116" s="1" t="s">
        <v>107</v>
      </c>
    </row>
    <row r="117" spans="5:15">
      <c r="E117" s="1" t="s">
        <v>108</v>
      </c>
    </row>
    <row r="118" spans="5:15">
      <c r="E118" s="1" t="s">
        <v>109</v>
      </c>
    </row>
    <row r="122" spans="5:15">
      <c r="E122" s="1" t="s">
        <v>110</v>
      </c>
    </row>
    <row r="123" spans="5:15">
      <c r="E123" s="1" t="s">
        <v>111</v>
      </c>
    </row>
    <row r="124" spans="5:15">
      <c r="E124" s="1" t="s">
        <v>112</v>
      </c>
    </row>
    <row r="125" spans="5:15">
      <c r="E125" s="1" t="s">
        <v>113</v>
      </c>
    </row>
    <row r="126" spans="5:15">
      <c r="E126" s="1" t="s">
        <v>114</v>
      </c>
      <c r="F126">
        <v>597000</v>
      </c>
      <c r="G126">
        <v>357000</v>
      </c>
    </row>
    <row r="127" spans="5:15">
      <c r="E127" s="12" t="s">
        <v>115</v>
      </c>
    </row>
    <row r="128" spans="5:15">
      <c r="E128" s="6" t="s">
        <v>116</v>
      </c>
      <c r="F128" s="7">
        <f>F100+SUM(F104:F127)</f>
        <v>85629000</v>
      </c>
      <c r="G128" s="7">
        <f t="shared" ref="G128:O128" si="19">IF(G4=$BF$1,"",G100+SUM(G104:G126))</f>
        <v>38281000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117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118</v>
      </c>
      <c r="F130">
        <v>18750000</v>
      </c>
      <c r="G130">
        <v>137750000</v>
      </c>
    </row>
    <row r="131" spans="5:15">
      <c r="E131" s="1" t="s">
        <v>119</v>
      </c>
      <c r="F131">
        <v>66218000</v>
      </c>
      <c r="G131">
        <v>0</v>
      </c>
    </row>
    <row r="132" spans="5:15">
      <c r="E132" s="1" t="s">
        <v>120</v>
      </c>
    </row>
    <row r="133" spans="5:15">
      <c r="E133" s="1" t="s">
        <v>121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122</v>
      </c>
    </row>
    <row r="140" spans="5:15">
      <c r="E140" s="6" t="s">
        <v>123</v>
      </c>
      <c r="F140" s="7">
        <f>F130+F131+F132+F133+F134+F135+F136+F139</f>
        <v>84968000</v>
      </c>
      <c r="G140" s="7">
        <f t="shared" ref="G140:O140" si="20">IF(G4=$BF$1,"",G130+G131+G132+G133+G134+G135+G136+G139)</f>
        <v>137750000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124</v>
      </c>
    </row>
    <row r="142" spans="5:15">
      <c r="E142" s="1" t="s">
        <v>125</v>
      </c>
    </row>
    <row r="143" spans="5:15">
      <c r="E143" s="1" t="s">
        <v>126</v>
      </c>
    </row>
    <row r="144" spans="5:15">
      <c r="E144" s="1" t="s">
        <v>127</v>
      </c>
    </row>
    <row r="145" spans="5:15">
      <c r="E145" s="6" t="s">
        <v>128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129</v>
      </c>
    </row>
    <row r="147" spans="5:15">
      <c r="E147" s="1" t="s">
        <v>130</v>
      </c>
    </row>
    <row r="148" spans="5:15">
      <c r="E148" s="1" t="s">
        <v>131</v>
      </c>
    </row>
    <row r="149" spans="5:15">
      <c r="E149" s="1" t="s">
        <v>132</v>
      </c>
    </row>
    <row r="150" spans="5:15">
      <c r="E150" s="1" t="s">
        <v>133</v>
      </c>
    </row>
    <row r="151" spans="5:15">
      <c r="E151" s="1" t="s">
        <v>134</v>
      </c>
    </row>
    <row r="154" spans="5:15">
      <c r="E154" s="12" t="s">
        <v>135</v>
      </c>
      <c r="F154">
        <v>3802000</v>
      </c>
      <c r="G154">
        <v>2735000</v>
      </c>
    </row>
    <row r="155" spans="5:15">
      <c r="E155" s="1" t="s">
        <v>136</v>
      </c>
    </row>
    <row r="156" spans="5:15">
      <c r="E156" s="12" t="s">
        <v>137</v>
      </c>
    </row>
    <row r="157" spans="5:15">
      <c r="E157" s="12" t="s">
        <v>138</v>
      </c>
    </row>
    <row r="158" spans="5:15">
      <c r="E158" s="1" t="s">
        <v>139</v>
      </c>
    </row>
    <row r="159" spans="5:15">
      <c r="E159" s="1" t="s">
        <v>140</v>
      </c>
    </row>
    <row r="160" spans="5:15">
      <c r="E160" s="6" t="s">
        <v>141</v>
      </c>
      <c r="F160" s="7">
        <f>F146+F147+F148+F149+F150+F151+F152+F153+F154+F155+F156+F157+F158+F159</f>
        <v>3802000</v>
      </c>
      <c r="G160" s="7">
        <f>IF(G4=$BF$1,"",G146+G147+G148+G149+G150+G151+G152+G153+G154+G155+G156+G157+G158+G159)</f>
        <v>2735000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88770000</v>
      </c>
      <c r="G161" s="7">
        <f t="shared" ref="G161:O161" si="22">IF(G4=$BF$1,"",G140+G145+G160)</f>
        <v>140485000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142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143</v>
      </c>
    </row>
    <row r="164" spans="5:15">
      <c r="E164" s="1" t="s">
        <v>144</v>
      </c>
    </row>
    <row r="165" spans="5:15">
      <c r="E165" s="1" t="s">
        <v>145</v>
      </c>
    </row>
    <row r="166" spans="5:15">
      <c r="E166" s="1" t="s">
        <v>146</v>
      </c>
    </row>
    <row r="167" spans="5:15">
      <c r="E167" s="1" t="s">
        <v>147</v>
      </c>
    </row>
    <row r="168" spans="5:15">
      <c r="E168" s="1" t="s">
        <v>148</v>
      </c>
    </row>
    <row r="169" spans="5:15">
      <c r="E169" s="1" t="s">
        <v>149</v>
      </c>
    </row>
    <row r="170" spans="5:15">
      <c r="E170" s="1" t="s">
        <v>150</v>
      </c>
    </row>
    <row r="171" spans="5:15">
      <c r="E171" s="1" t="s">
        <v>151</v>
      </c>
    </row>
    <row r="172" spans="5:15">
      <c r="E172" s="1" t="s">
        <v>152</v>
      </c>
    </row>
    <row r="173" spans="5:15">
      <c r="E173" s="1" t="s">
        <v>153</v>
      </c>
    </row>
    <row r="174" spans="5:15">
      <c r="E174" s="1" t="s">
        <v>154</v>
      </c>
    </row>
    <row r="175" spans="5:15">
      <c r="E175" s="1" t="s">
        <v>155</v>
      </c>
    </row>
    <row r="176" spans="5:15">
      <c r="E176" s="1" t="s">
        <v>156</v>
      </c>
    </row>
    <row r="177" spans="5:15">
      <c r="E177" s="1" t="s">
        <v>157</v>
      </c>
    </row>
    <row r="178" spans="5:15">
      <c r="E178" s="1" t="s">
        <v>158</v>
      </c>
    </row>
    <row r="180" spans="5:15">
      <c r="E180" s="1" t="s">
        <v>159</v>
      </c>
    </row>
    <row r="181" spans="5:15">
      <c r="E181" s="1" t="s">
        <v>160</v>
      </c>
    </row>
    <row r="183" spans="5:15">
      <c r="E183" s="1" t="s">
        <v>161</v>
      </c>
    </row>
    <row r="184" spans="5:15">
      <c r="E184" s="12" t="s">
        <v>162</v>
      </c>
      <c r="F184">
        <v>13936000</v>
      </c>
      <c r="G184">
        <v>512000</v>
      </c>
    </row>
    <row r="185" spans="5:15">
      <c r="E185" s="12" t="s">
        <v>163</v>
      </c>
      <c r="F185">
        <v>296000</v>
      </c>
      <c r="G185">
        <v>3214000</v>
      </c>
    </row>
    <row r="187" spans="5:15">
      <c r="E187" s="1" t="s">
        <v>164</v>
      </c>
      <c r="F187">
        <v>6122000</v>
      </c>
      <c r="G187">
        <v>1881000</v>
      </c>
    </row>
    <row r="188" spans="5:15">
      <c r="E188" s="1" t="s">
        <v>165</v>
      </c>
    </row>
    <row r="189" spans="5:15">
      <c r="E189" s="6" t="s">
        <v>13</v>
      </c>
      <c r="F189" s="7">
        <f>SUM(F163:F188)</f>
        <v>20354000</v>
      </c>
      <c r="G189" s="7">
        <f t="shared" ref="G189:O189" si="23">IF(G4=$BF$1,"",SUM(G163:G188))</f>
        <v>5607000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166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167</v>
      </c>
    </row>
    <row r="192" spans="5:15">
      <c r="E192" s="1" t="s">
        <v>168</v>
      </c>
    </row>
    <row r="193" spans="5:7">
      <c r="E193" s="1" t="s">
        <v>169</v>
      </c>
    </row>
    <row r="194" spans="5:7">
      <c r="E194" s="1" t="s">
        <v>170</v>
      </c>
    </row>
    <row r="195" spans="5:7">
      <c r="E195" s="1" t="s">
        <v>171</v>
      </c>
    </row>
    <row r="196" spans="5:7">
      <c r="E196" s="1" t="s">
        <v>172</v>
      </c>
    </row>
    <row r="197" spans="5:7">
      <c r="E197" s="1" t="s">
        <v>173</v>
      </c>
      <c r="F197">
        <v>20000000</v>
      </c>
      <c r="G197">
        <v>3061000</v>
      </c>
    </row>
    <row r="198" spans="5:7">
      <c r="E198" s="1" t="s">
        <v>174</v>
      </c>
    </row>
    <row r="199" spans="5:7">
      <c r="E199" s="1" t="s">
        <v>175</v>
      </c>
    </row>
    <row r="200" spans="5:7">
      <c r="E200" s="1" t="s">
        <v>176</v>
      </c>
    </row>
    <row r="201" spans="5:7">
      <c r="E201" s="1" t="s">
        <v>177</v>
      </c>
    </row>
    <row r="202" spans="5:7">
      <c r="E202" s="1" t="s">
        <v>178</v>
      </c>
    </row>
    <row r="203" spans="5:7">
      <c r="E203" s="1" t="s">
        <v>179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180</v>
      </c>
    </row>
    <row r="209" spans="5:16">
      <c r="E209" s="1" t="s">
        <v>181</v>
      </c>
      <c r="F209">
        <v>0</v>
      </c>
      <c r="G209">
        <v>0</v>
      </c>
    </row>
    <row r="210" spans="5:16">
      <c r="E210" s="6" t="s">
        <v>14</v>
      </c>
      <c r="F210" s="7">
        <f>SUM(F191:F209)</f>
        <v>20000000</v>
      </c>
      <c r="G210" s="7">
        <f t="shared" ref="G210:O210" si="24">IF(G4=$BF$1,"",SUM(G191:G209))</f>
        <v>3061000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182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183</v>
      </c>
      <c r="F212">
        <f>543754000+479000</f>
        <v>544233000</v>
      </c>
      <c r="G212">
        <f>529421000+469000</f>
        <v>529890000</v>
      </c>
      <c r="P212" s="39" t="s">
        <v>184</v>
      </c>
    </row>
    <row r="213" spans="5:16">
      <c r="E213" s="1" t="s">
        <v>185</v>
      </c>
    </row>
    <row r="214" spans="5:16">
      <c r="E214" s="1" t="s">
        <v>186</v>
      </c>
    </row>
    <row r="215" spans="5:16">
      <c r="E215" s="1" t="s">
        <v>187</v>
      </c>
    </row>
    <row r="216" spans="5:16">
      <c r="E216" s="1" t="s">
        <v>188</v>
      </c>
    </row>
    <row r="217" spans="5:16">
      <c r="E217" s="1" t="s">
        <v>189</v>
      </c>
      <c r="F217">
        <v>-410188000</v>
      </c>
      <c r="G217">
        <v>-359792000</v>
      </c>
    </row>
    <row r="218" spans="5:16">
      <c r="E218" s="1" t="s">
        <v>190</v>
      </c>
    </row>
    <row r="219" spans="5:16">
      <c r="E219" s="1" t="s">
        <v>191</v>
      </c>
    </row>
    <row r="220" spans="5:16">
      <c r="E220" s="1" t="s">
        <v>192</v>
      </c>
    </row>
    <row r="221" spans="5:16">
      <c r="E221" s="1" t="s">
        <v>67</v>
      </c>
    </row>
    <row r="222" spans="5:16">
      <c r="E222" s="1" t="s">
        <v>193</v>
      </c>
    </row>
    <row r="223" spans="5:16">
      <c r="E223" s="1" t="s">
        <v>194</v>
      </c>
    </row>
    <row r="224" spans="5:16">
      <c r="E224" s="12" t="s">
        <v>195</v>
      </c>
    </row>
    <row r="225" spans="5:15">
      <c r="E225" s="12" t="s">
        <v>196</v>
      </c>
    </row>
    <row r="227" spans="5:15">
      <c r="E227" s="6" t="s">
        <v>197</v>
      </c>
      <c r="F227" s="7">
        <f>SUM(F212:F226)</f>
        <v>134045000</v>
      </c>
      <c r="G227" s="7">
        <f t="shared" ref="G227:O227" si="25">IF(G4=$BF$1,"",SUM(G212:G226))</f>
        <v>170098000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198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199</v>
      </c>
    </row>
    <row r="230" spans="5:15">
      <c r="E230" s="1" t="s">
        <v>200</v>
      </c>
    </row>
    <row r="231" spans="5:15">
      <c r="E231" s="1" t="s">
        <v>201</v>
      </c>
    </row>
    <row r="232" spans="5:15">
      <c r="E232" s="1" t="s">
        <v>202</v>
      </c>
    </row>
    <row r="233" spans="5:15">
      <c r="E233" s="1" t="s">
        <v>203</v>
      </c>
    </row>
    <row r="234" spans="5:15">
      <c r="E234" s="1" t="s">
        <v>204</v>
      </c>
    </row>
    <row r="235" spans="5:15">
      <c r="E235" s="1" t="s">
        <v>205</v>
      </c>
    </row>
    <row r="236" spans="5:15">
      <c r="E236" s="1" t="s">
        <v>53</v>
      </c>
    </row>
    <row r="237" spans="5:15">
      <c r="E237" s="1" t="s">
        <v>206</v>
      </c>
    </row>
    <row r="238" spans="5:15">
      <c r="E238" s="1" t="s">
        <v>207</v>
      </c>
    </row>
    <row r="239" spans="5:15">
      <c r="E239" s="1" t="s">
        <v>208</v>
      </c>
    </row>
    <row r="240" spans="5:15">
      <c r="E240" s="1" t="s">
        <v>209</v>
      </c>
    </row>
    <row r="241" spans="5:15">
      <c r="E241" s="1" t="s">
        <v>210</v>
      </c>
    </row>
    <row r="242" spans="5:15">
      <c r="E242" s="1" t="s">
        <v>211</v>
      </c>
    </row>
    <row r="244" spans="5:15">
      <c r="E244" s="8" t="s">
        <v>212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213</v>
      </c>
    </row>
    <row r="246" spans="5:15">
      <c r="E246" s="1" t="s">
        <v>214</v>
      </c>
    </row>
    <row r="247" spans="5:15">
      <c r="E247" s="1" t="s">
        <v>215</v>
      </c>
    </row>
    <row r="248" spans="5:15">
      <c r="E248" s="1" t="s">
        <v>216</v>
      </c>
    </row>
    <row r="249" spans="5:15">
      <c r="E249" s="1" t="s">
        <v>217</v>
      </c>
    </row>
    <row r="250" spans="5:15">
      <c r="E250" s="1" t="s">
        <v>218</v>
      </c>
    </row>
    <row r="251" spans="5:15">
      <c r="E251" s="1" t="s">
        <v>219</v>
      </c>
    </row>
    <row r="252" spans="5:15">
      <c r="E252" s="1" t="s">
        <v>220</v>
      </c>
    </row>
    <row r="253" spans="5:15">
      <c r="E253" s="1" t="s">
        <v>221</v>
      </c>
    </row>
    <row r="254" spans="5:15">
      <c r="E254" s="1" t="s">
        <v>222</v>
      </c>
    </row>
    <row r="255" spans="5:15">
      <c r="E255" s="1" t="s">
        <v>223</v>
      </c>
    </row>
    <row r="256" spans="5:15">
      <c r="E256" s="1" t="s">
        <v>224</v>
      </c>
    </row>
    <row r="257" spans="5:15">
      <c r="E257" s="1" t="s">
        <v>225</v>
      </c>
    </row>
    <row r="258" spans="5:15">
      <c r="E258" s="1" t="s">
        <v>226</v>
      </c>
    </row>
    <row r="259" spans="5:15">
      <c r="E259" s="1" t="s">
        <v>227</v>
      </c>
    </row>
    <row r="260" spans="5:15">
      <c r="E260" s="1" t="s">
        <v>228</v>
      </c>
    </row>
    <row r="261" spans="5:15">
      <c r="E261" s="1" t="s">
        <v>229</v>
      </c>
    </row>
    <row r="263" spans="5:15">
      <c r="E263" s="8" t="s">
        <v>230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231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233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234</v>
      </c>
      <c r="F267">
        <v>-56671000</v>
      </c>
      <c r="G267">
        <v>-27319000</v>
      </c>
      <c r="H267">
        <v>-21873000</v>
      </c>
    </row>
    <row r="268" spans="5:15">
      <c r="E268" s="1" t="s">
        <v>235</v>
      </c>
    </row>
    <row r="269" spans="5:15">
      <c r="E269" s="1" t="s">
        <v>236</v>
      </c>
    </row>
    <row r="270" spans="5:15">
      <c r="E270" s="8" t="s">
        <v>237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238</v>
      </c>
      <c r="F271">
        <v>2360000</v>
      </c>
      <c r="G271">
        <v>741000</v>
      </c>
      <c r="H271">
        <v>825000</v>
      </c>
    </row>
    <row r="272" spans="5:15">
      <c r="E272" s="1" t="s">
        <v>239</v>
      </c>
    </row>
    <row r="273" spans="5:8" ht="25.5" customHeight="1">
      <c r="E273" s="1" t="s">
        <v>240</v>
      </c>
    </row>
    <row r="274" spans="5:8">
      <c r="E274" s="1" t="s">
        <v>241</v>
      </c>
    </row>
    <row r="275" spans="5:8" ht="25.5" customHeight="1">
      <c r="E275" s="1" t="s">
        <v>242</v>
      </c>
    </row>
    <row r="276" spans="5:8">
      <c r="E276" s="1" t="s">
        <v>243</v>
      </c>
    </row>
    <row r="277" spans="5:8" ht="25.5" customHeight="1">
      <c r="E277" s="1" t="s">
        <v>244</v>
      </c>
    </row>
    <row r="278" spans="5:8">
      <c r="E278" s="1" t="s">
        <v>245</v>
      </c>
    </row>
    <row r="279" spans="5:8">
      <c r="E279" s="1" t="s">
        <v>246</v>
      </c>
      <c r="F279">
        <v>-626000</v>
      </c>
      <c r="G279">
        <v>-127000</v>
      </c>
      <c r="H279">
        <v>0</v>
      </c>
    </row>
    <row r="280" spans="5:8" ht="25.5" customHeight="1">
      <c r="E280" s="1" t="s">
        <v>247</v>
      </c>
    </row>
    <row r="281" spans="5:8" ht="25.5" customHeight="1">
      <c r="E281" s="1" t="s">
        <v>248</v>
      </c>
    </row>
    <row r="284" spans="5:8">
      <c r="E284" s="1" t="s">
        <v>249</v>
      </c>
    </row>
    <row r="285" spans="5:8">
      <c r="E285" s="1" t="s">
        <v>250</v>
      </c>
      <c r="F285">
        <v>8866000</v>
      </c>
      <c r="G285">
        <v>5916000</v>
      </c>
      <c r="H285">
        <v>8261000</v>
      </c>
    </row>
    <row r="286" spans="5:8" ht="25.5" customHeight="1">
      <c r="E286" s="1" t="s">
        <v>251</v>
      </c>
    </row>
    <row r="287" spans="5:8">
      <c r="E287" s="1" t="s">
        <v>252</v>
      </c>
    </row>
    <row r="288" spans="5:8">
      <c r="E288" s="1" t="s">
        <v>253</v>
      </c>
      <c r="F288">
        <v>0</v>
      </c>
      <c r="G288">
        <v>0</v>
      </c>
      <c r="H288">
        <v>0</v>
      </c>
    </row>
    <row r="289" spans="5:15">
      <c r="E289" s="12" t="s">
        <v>254</v>
      </c>
    </row>
    <row r="290" spans="5:15">
      <c r="E290" s="12" t="s">
        <v>255</v>
      </c>
    </row>
    <row r="291" spans="5:15">
      <c r="E291" s="12" t="s">
        <v>256</v>
      </c>
    </row>
    <row r="292" spans="5:15">
      <c r="E292" s="12" t="s">
        <v>257</v>
      </c>
    </row>
    <row r="293" spans="5:15">
      <c r="E293" s="12" t="s">
        <v>258</v>
      </c>
    </row>
    <row r="294" spans="5:15">
      <c r="E294" s="12" t="s">
        <v>259</v>
      </c>
    </row>
    <row r="295" spans="5:15">
      <c r="E295" s="12"/>
    </row>
    <row r="296" spans="5:15" ht="25.5" customHeight="1">
      <c r="E296" s="6" t="s">
        <v>260</v>
      </c>
      <c r="F296" s="7">
        <f>F271+F272+F273+F274+F275+F276+F277+F278+F279+F280+F281+F282+F283+F284+F285+F286+F287+F288+F291+F289+F290+F292+F293+F294+F295</f>
        <v>10600000</v>
      </c>
      <c r="G296" s="7">
        <f>IF(G4=$BF$1,"",G271+G272+G273+G274+G275+G276+G277+G278+G279+G280+G281+G282+G283+G284+G285+G286+G287+G288+G289+G290+G291+G292+G293+G294+G295)</f>
        <v>6530000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261</v>
      </c>
      <c r="F297" s="7">
        <f>MIN(F267,F268,F269)+F296</f>
        <v>-46071000</v>
      </c>
      <c r="G297" s="7">
        <f t="shared" ref="G297:O297" si="27">IF(G4=$BF$1,"",MIN(F267,F268,F269)+F296)</f>
        <v>-46071000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262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263</v>
      </c>
    </row>
    <row r="300" spans="5:15">
      <c r="E300" s="1" t="s">
        <v>264</v>
      </c>
      <c r="F300">
        <v>26000</v>
      </c>
      <c r="G300">
        <v>17000</v>
      </c>
      <c r="H300">
        <v>-9000</v>
      </c>
    </row>
    <row r="301" spans="5:15">
      <c r="E301" s="1" t="s">
        <v>265</v>
      </c>
    </row>
    <row r="302" spans="5:15" ht="25.5" customHeight="1">
      <c r="E302" s="1" t="s">
        <v>266</v>
      </c>
      <c r="F302">
        <v>-1067000</v>
      </c>
      <c r="G302">
        <v>-2580000</v>
      </c>
      <c r="H302">
        <v>160000</v>
      </c>
    </row>
    <row r="303" spans="5:15">
      <c r="E303" s="1" t="s">
        <v>267</v>
      </c>
    </row>
    <row r="305" spans="5:15">
      <c r="E305" s="1" t="s">
        <v>268</v>
      </c>
    </row>
    <row r="307" spans="5:15">
      <c r="E307" s="1" t="s">
        <v>269</v>
      </c>
    </row>
    <row r="308" spans="5:15">
      <c r="E308" s="1" t="s">
        <v>270</v>
      </c>
    </row>
    <row r="309" spans="5:15">
      <c r="E309" s="1" t="s">
        <v>271</v>
      </c>
      <c r="F309">
        <v>296000</v>
      </c>
      <c r="G309">
        <v>2009000</v>
      </c>
      <c r="H309">
        <v>-602000</v>
      </c>
    </row>
    <row r="310" spans="5:15">
      <c r="E310" s="1" t="s">
        <v>272</v>
      </c>
    </row>
    <row r="311" spans="5:15">
      <c r="E311" s="1" t="s">
        <v>273</v>
      </c>
    </row>
    <row r="312" spans="5:15">
      <c r="E312" s="1" t="s">
        <v>274</v>
      </c>
    </row>
    <row r="313" spans="5:15">
      <c r="E313" s="1" t="s">
        <v>275</v>
      </c>
      <c r="F313">
        <v>7665000</v>
      </c>
      <c r="G313">
        <v>-1301000</v>
      </c>
      <c r="H313">
        <v>2819000</v>
      </c>
    </row>
    <row r="314" spans="5:15">
      <c r="E314" s="1" t="s">
        <v>276</v>
      </c>
    </row>
    <row r="315" spans="5:15">
      <c r="E315" s="1" t="s">
        <v>277</v>
      </c>
    </row>
    <row r="316" spans="5:15">
      <c r="E316" s="1" t="s">
        <v>278</v>
      </c>
      <c r="F316">
        <v>40000</v>
      </c>
      <c r="G316">
        <v>-11000</v>
      </c>
      <c r="H316">
        <v>-4000</v>
      </c>
    </row>
    <row r="317" spans="5:15">
      <c r="E317" s="1" t="s">
        <v>279</v>
      </c>
      <c r="F317">
        <v>0</v>
      </c>
      <c r="G317">
        <v>0</v>
      </c>
      <c r="H317">
        <v>-2591000</v>
      </c>
    </row>
    <row r="318" spans="5:15">
      <c r="E318" s="6" t="s">
        <v>280</v>
      </c>
      <c r="F318" s="7">
        <f>F299+F300+F301+F302+F303+F304+F305+F306+F307+F308+F309+F310+F311+F312+F313+F314+F315+F316+F317</f>
        <v>6960000</v>
      </c>
      <c r="G318" s="7">
        <f>IF(G4=$BF$1,"",G299+G300+G301+G302+G303+G304+G305+G306+G307+G308+G309+G310+G311+G312+G313+G314+G315+G316+G317)</f>
        <v>-1866000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281</v>
      </c>
      <c r="F319" s="7">
        <f>F297+F318</f>
        <v>-39111000</v>
      </c>
      <c r="G319" s="7">
        <f t="shared" ref="G319:O319" si="28">IF(G4=$BF$1,"",G297+G318)</f>
        <v>-47937000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282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283</v>
      </c>
    </row>
    <row r="322" spans="5:15">
      <c r="E322" s="1" t="s">
        <v>284</v>
      </c>
    </row>
    <row r="323" spans="5:15">
      <c r="E323" s="1" t="s">
        <v>285</v>
      </c>
    </row>
    <row r="324" spans="5:15">
      <c r="E324" s="12"/>
    </row>
    <row r="325" spans="5:15">
      <c r="E325" s="6" t="s">
        <v>286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287</v>
      </c>
      <c r="F326" s="7">
        <f>F325+F319</f>
        <v>-39111000</v>
      </c>
      <c r="G326" s="7">
        <f t="shared" ref="G326:O326" si="30">IF(G4=$BF$1,"",G325+G319)</f>
        <v>-47937000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288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289</v>
      </c>
      <c r="F328">
        <v>-9243000</v>
      </c>
      <c r="G328">
        <v>-860000</v>
      </c>
      <c r="H328">
        <v>-519000</v>
      </c>
    </row>
    <row r="329" spans="5:15">
      <c r="E329" s="1" t="s">
        <v>290</v>
      </c>
    </row>
    <row r="330" spans="5:15">
      <c r="E330" s="1" t="s">
        <v>291</v>
      </c>
    </row>
    <row r="331" spans="5:15">
      <c r="E331" s="1" t="s">
        <v>292</v>
      </c>
      <c r="F331">
        <v>-116343000</v>
      </c>
      <c r="G331">
        <v>0</v>
      </c>
      <c r="H331">
        <v>0</v>
      </c>
    </row>
    <row r="332" spans="5:15">
      <c r="E332" s="12" t="s">
        <v>293</v>
      </c>
      <c r="F332">
        <v>70500000</v>
      </c>
      <c r="G332">
        <v>0</v>
      </c>
      <c r="H332">
        <v>0</v>
      </c>
    </row>
    <row r="333" spans="5:15">
      <c r="E333" s="1" t="s">
        <v>294</v>
      </c>
    </row>
    <row r="334" spans="5:15">
      <c r="E334" s="1" t="s">
        <v>295</v>
      </c>
    </row>
    <row r="335" spans="5:15">
      <c r="E335" s="12" t="s">
        <v>296</v>
      </c>
    </row>
    <row r="336" spans="5:15">
      <c r="E336" s="12" t="s">
        <v>297</v>
      </c>
    </row>
    <row r="337" spans="5:15">
      <c r="E337" s="6" t="s">
        <v>298</v>
      </c>
      <c r="F337" s="7">
        <f>SUM(F328:F336)</f>
        <v>-55086000</v>
      </c>
      <c r="G337" s="7">
        <f>IF(G4=$BF$1,"",SUM(G328:G336))</f>
        <v>-860000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299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300</v>
      </c>
      <c r="F339">
        <v>5477000</v>
      </c>
      <c r="G339">
        <v>6229000</v>
      </c>
      <c r="H339">
        <v>42537000</v>
      </c>
    </row>
    <row r="340" spans="5:15">
      <c r="E340" s="1" t="s">
        <v>301</v>
      </c>
    </row>
    <row r="341" spans="5:15">
      <c r="E341" s="12" t="s">
        <v>302</v>
      </c>
    </row>
    <row r="342" spans="5:15">
      <c r="E342" s="1" t="s">
        <v>303</v>
      </c>
    </row>
    <row r="343" spans="5:15">
      <c r="E343" s="1" t="s">
        <v>304</v>
      </c>
    </row>
    <row r="344" spans="5:15">
      <c r="E344" s="1" t="s">
        <v>305</v>
      </c>
    </row>
    <row r="345" spans="5:15">
      <c r="E345" s="1" t="s">
        <v>306</v>
      </c>
    </row>
    <row r="346" spans="5:15">
      <c r="E346" s="1" t="s">
        <v>307</v>
      </c>
    </row>
    <row r="347" spans="5:15">
      <c r="E347" s="12" t="s">
        <v>308</v>
      </c>
    </row>
    <row r="348" spans="5:15">
      <c r="E348" s="12" t="s">
        <v>309</v>
      </c>
    </row>
    <row r="349" spans="5:15">
      <c r="E349" s="12" t="s">
        <v>310</v>
      </c>
    </row>
    <row r="350" spans="5:15">
      <c r="E350" s="12" t="s">
        <v>311</v>
      </c>
    </row>
    <row r="351" spans="5:15">
      <c r="E351" s="12" t="s">
        <v>312</v>
      </c>
    </row>
    <row r="352" spans="5:15">
      <c r="E352" s="6" t="s">
        <v>313</v>
      </c>
      <c r="F352" s="7">
        <f>SUM(F339:F351)</f>
        <v>5477000</v>
      </c>
      <c r="G352" s="7">
        <f>IF(G4=$BF$1,"",SUM(G339:G351))</f>
        <v>6229000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314</v>
      </c>
      <c r="F353" s="7">
        <f>F326+F337+F352</f>
        <v>-88720000</v>
      </c>
      <c r="G353" s="7">
        <f t="shared" ref="G353:O353" si="33">IF(G4=$BF$1,"",G326+G337+G352)</f>
        <v>-42568000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315</v>
      </c>
    </row>
    <row r="355" spans="5:15">
      <c r="E355" s="6" t="s">
        <v>316</v>
      </c>
      <c r="F355" s="7">
        <f>F353+F354</f>
        <v>-88720000</v>
      </c>
      <c r="G355" s="7">
        <f t="shared" ref="G355:O355" si="34">IF(G4=$BF$1,"",G353+G354)</f>
        <v>-42568000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317</v>
      </c>
      <c r="F356">
        <v>176090000</v>
      </c>
      <c r="G356">
        <v>344922000</v>
      </c>
      <c r="H356">
        <v>178422000</v>
      </c>
    </row>
    <row r="357" spans="5:15">
      <c r="E357" s="6" t="s">
        <v>318</v>
      </c>
      <c r="F357" s="7">
        <f>F355+F356</f>
        <v>87370000</v>
      </c>
      <c r="G357" s="7">
        <f t="shared" ref="G357:O357" si="35">IF(G4=$BF$1,"",G355+G356)</f>
        <v>302354000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319</v>
      </c>
    </row>
    <row r="359" spans="5:15">
      <c r="E359" s="1" t="s">
        <v>320</v>
      </c>
    </row>
    <row r="362" spans="5:15">
      <c r="E362" s="11" t="s">
        <v>321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322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323</v>
      </c>
      <c r="F364" s="24">
        <f t="shared" ref="F364:O364" si="37">IFERROR((F24-G24)/G24,"")</f>
        <v>2.5818399044205496</v>
      </c>
      <c r="G364" s="24">
        <f t="shared" si="37"/>
        <v>-5.8492688413948259E-2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324</v>
      </c>
      <c r="F365" s="24">
        <f>IFERROR((F6-G6)/G6,"")</f>
        <v>1.0744170723672171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325</v>
      </c>
      <c r="F366" s="24">
        <f t="shared" ref="F366:O366" si="39">IFERROR((F12-G12)/G12,"")</f>
        <v>-2.442858261638119E-2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326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327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328</v>
      </c>
      <c r="F370" s="27">
        <f t="shared" ref="F370:O370" si="42">IFERROR(F44/F24,"")</f>
        <v>-19.401601067378252</v>
      </c>
      <c r="G370" s="27">
        <f t="shared" si="42"/>
        <v>-33.256869772998805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329</v>
      </c>
      <c r="F371" s="28">
        <f t="shared" ref="F371:O371" si="43">IFERROR(F6/F24,"")</f>
        <v>-18.902935290193462</v>
      </c>
      <c r="G371" s="28">
        <f t="shared" si="43"/>
        <v>-32.639187574671446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330</v>
      </c>
      <c r="F372" s="27">
        <f t="shared" ref="F372:O372" si="44">IFERROR(F71/F12,"")</f>
        <v>-0.32495025774230357</v>
      </c>
      <c r="G372" s="27">
        <f t="shared" si="44"/>
        <v>-0.1528198874506338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331</v>
      </c>
      <c r="F373" s="27">
        <f t="shared" ref="F373:O373" si="45">IFERROR(F71/F11,"")</f>
        <v>-0.42277593345518294</v>
      </c>
      <c r="G373" s="27">
        <f t="shared" si="45"/>
        <v>-0.16060741454925984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332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333</v>
      </c>
      <c r="F376" s="30">
        <f t="shared" ref="F376:O376" si="47">IFERROR((F9+F10)/F12,"")</f>
        <v>0.23138894145035235</v>
      </c>
      <c r="G376" s="30">
        <f t="shared" si="47"/>
        <v>4.8487967510600451E-2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334</v>
      </c>
      <c r="F377" s="30">
        <f t="shared" ref="F377:O377" si="48">IFERROR((F9+F10)/F11,"")</f>
        <v>0.30104815547017794</v>
      </c>
      <c r="G377" s="30">
        <f t="shared" si="48"/>
        <v>5.095885901068796E-2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335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336</v>
      </c>
      <c r="F379" s="13" t="s">
        <v>337</v>
      </c>
      <c r="G379" s="13" t="s">
        <v>337</v>
      </c>
      <c r="H379" s="13" t="s">
        <v>337</v>
      </c>
      <c r="I379" s="13" t="s">
        <v>337</v>
      </c>
      <c r="J379" s="13" t="s">
        <v>337</v>
      </c>
      <c r="K379" s="13" t="s">
        <v>337</v>
      </c>
      <c r="L379" s="13" t="s">
        <v>337</v>
      </c>
      <c r="M379" s="13" t="s">
        <v>337</v>
      </c>
      <c r="N379" s="13" t="s">
        <v>337</v>
      </c>
      <c r="O379" s="13" t="s">
        <v>337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338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339</v>
      </c>
      <c r="F382" s="32">
        <f t="shared" ref="F382:O382" si="51">IFERROR(F8/F9,"")</f>
        <v>4.3613049032131279</v>
      </c>
      <c r="G382" s="32">
        <f t="shared" si="51"/>
        <v>25.055288032816122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340</v>
      </c>
      <c r="F383" s="32">
        <f t="shared" ref="F383:O383" si="52">IFERROR((F8-F145)/F9,"")</f>
        <v>4.3613049032131279</v>
      </c>
      <c r="G383" s="32">
        <f t="shared" si="52"/>
        <v>25.055288032816122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341</v>
      </c>
      <c r="F384" s="32">
        <f t="shared" ref="F384:O384" si="53">IFERROR((F130+F131)/F9,"")</f>
        <v>4.1745111525989973</v>
      </c>
      <c r="G384" s="32">
        <f t="shared" si="53"/>
        <v>24.567504904583558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342</v>
      </c>
      <c r="F385" s="32">
        <f t="shared" ref="F385:O385" si="54">IFERROR((F326)/F9,"")</f>
        <v>-1.9215387638793358</v>
      </c>
      <c r="G385" s="32">
        <f t="shared" si="54"/>
        <v>-8.5494917067950773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343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344</v>
      </c>
      <c r="F395" s="12"/>
      <c r="G395" s="12"/>
    </row>
    <row r="396" spans="5:15">
      <c r="E396" s="12" t="s">
        <v>345</v>
      </c>
      <c r="F396" s="12"/>
      <c r="G396" s="12"/>
    </row>
    <row r="397" spans="5:15">
      <c r="E397" s="6" t="s">
        <v>346</v>
      </c>
      <c r="F397" s="14">
        <f>SUM(F395:F396)</f>
        <v>0</v>
      </c>
      <c r="G397" s="14">
        <f>SUM(G395:G396)</f>
        <v>0</v>
      </c>
    </row>
    <row r="398" spans="5:15">
      <c r="E398" s="12" t="s">
        <v>347</v>
      </c>
      <c r="F398" s="12"/>
      <c r="G398" s="12"/>
    </row>
    <row r="399" spans="5:15">
      <c r="E399" s="12" t="s">
        <v>348</v>
      </c>
      <c r="F399" s="12"/>
      <c r="G399" s="12"/>
    </row>
    <row r="400" spans="5:15">
      <c r="E400" s="12" t="s">
        <v>349</v>
      </c>
      <c r="F400" s="12"/>
      <c r="G400" s="12"/>
    </row>
    <row r="401" spans="5:7">
      <c r="E401" s="12" t="s">
        <v>350</v>
      </c>
      <c r="F401" s="12"/>
      <c r="G401" s="12"/>
    </row>
    <row r="402" spans="5:7">
      <c r="E402" s="12" t="s">
        <v>351</v>
      </c>
      <c r="F402" s="12"/>
      <c r="G402" s="12"/>
    </row>
    <row r="403" spans="5:7">
      <c r="E403" s="12" t="s">
        <v>352</v>
      </c>
      <c r="F403" s="12"/>
      <c r="G403" s="12"/>
    </row>
    <row r="404" spans="5:7">
      <c r="E404" s="12" t="s">
        <v>353</v>
      </c>
      <c r="F404" s="12"/>
      <c r="G404" s="12"/>
    </row>
    <row r="405" spans="5:7">
      <c r="E405" s="1" t="s">
        <v>354</v>
      </c>
    </row>
    <row r="406" spans="5:7">
      <c r="E406" s="12" t="s">
        <v>355</v>
      </c>
    </row>
    <row r="407" spans="5:7">
      <c r="E407" s="12" t="s">
        <v>356</v>
      </c>
    </row>
    <row r="408" spans="5:7">
      <c r="E408" s="12" t="s">
        <v>357</v>
      </c>
    </row>
    <row r="409" spans="5:7">
      <c r="E409" s="6" t="s">
        <v>358</v>
      </c>
      <c r="F409" s="14">
        <f>SUM(F397:F408)</f>
        <v>0</v>
      </c>
      <c r="G409" s="14">
        <f>SUM(G397:G408)</f>
        <v>0</v>
      </c>
    </row>
    <row r="410" spans="5:7">
      <c r="E410" s="16" t="s">
        <v>359</v>
      </c>
      <c r="F410" s="17">
        <f>F153-F409</f>
        <v>0</v>
      </c>
      <c r="G410" s="17">
        <f>G153-G409</f>
        <v>0</v>
      </c>
    </row>
    <row r="413" spans="5:7">
      <c r="E413" t="s">
        <v>360</v>
      </c>
    </row>
    <row r="414" spans="5:7">
      <c r="E414" t="s">
        <v>361</v>
      </c>
    </row>
    <row r="415" spans="5:7">
      <c r="E415" t="s">
        <v>362</v>
      </c>
    </row>
    <row r="416" spans="5:7">
      <c r="E416" t="s">
        <v>363</v>
      </c>
    </row>
    <row r="417" spans="5:7">
      <c r="E417" s="15" t="s">
        <v>364</v>
      </c>
      <c r="F417" s="14">
        <f>SUM(F413:F416)</f>
        <v>0</v>
      </c>
      <c r="G417" s="14">
        <f>SUM(G413:G416)</f>
        <v>0</v>
      </c>
    </row>
    <row r="418" spans="5:7">
      <c r="E418" s="16" t="s">
        <v>359</v>
      </c>
      <c r="F418" s="17">
        <f>F130-F417</f>
        <v>18750000</v>
      </c>
      <c r="G418" s="17">
        <f>G130-G417</f>
        <v>137750000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365</v>
      </c>
    </row>
    <row r="423" spans="5:7">
      <c r="E423" s="12" t="s">
        <v>366</v>
      </c>
    </row>
    <row r="424" spans="5:7">
      <c r="E424" s="12" t="s">
        <v>367</v>
      </c>
    </row>
    <row r="425" spans="5:7">
      <c r="E425" s="12" t="s">
        <v>368</v>
      </c>
    </row>
    <row r="426" spans="5:7">
      <c r="E426" s="12" t="s">
        <v>369</v>
      </c>
    </row>
    <row r="427" spans="5:7">
      <c r="E427" s="12" t="s">
        <v>370</v>
      </c>
    </row>
    <row r="428" spans="5:7">
      <c r="E428" s="12" t="s">
        <v>371</v>
      </c>
    </row>
    <row r="429" spans="5:7">
      <c r="E429" t="s">
        <v>372</v>
      </c>
    </row>
    <row r="430" spans="5:7">
      <c r="E430" t="s">
        <v>373</v>
      </c>
    </row>
    <row r="431" spans="5:7">
      <c r="E431" t="s">
        <v>374</v>
      </c>
    </row>
    <row r="432" spans="5:7">
      <c r="E432" s="15" t="s">
        <v>375</v>
      </c>
      <c r="F432" s="14">
        <f>SUM(F422:F431)</f>
        <v>0</v>
      </c>
      <c r="G432" s="14">
        <f>SUM(G422:G431)</f>
        <v>0</v>
      </c>
    </row>
    <row r="433" spans="5:7">
      <c r="E433" s="16" t="s">
        <v>359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FC3-0137-419E-8583-E033C038134F}">
  <dimension ref="A1:D7"/>
  <sheetViews>
    <sheetView workbookViewId="0"/>
  </sheetViews>
  <sheetFormatPr defaultRowHeight="13.2"/>
  <cols>
    <col min="1" max="1" width="31.5546875" customWidth="1"/>
    <col min="2" max="2" width="63.44140625" bestFit="1" customWidth="1"/>
    <col min="3" max="3" width="15.33203125" bestFit="1" customWidth="1"/>
    <col min="4" max="4" width="14.6640625" customWidth="1"/>
  </cols>
  <sheetData>
    <row r="1" spans="1:4">
      <c r="A1" s="40" t="s">
        <v>376</v>
      </c>
      <c r="B1" s="40" t="s">
        <v>377</v>
      </c>
      <c r="C1" s="40" t="s">
        <v>378</v>
      </c>
      <c r="D1" s="40"/>
    </row>
    <row r="2" spans="1:4">
      <c r="A2" s="40" t="s">
        <v>383</v>
      </c>
      <c r="B2" s="40" t="s">
        <v>97</v>
      </c>
      <c r="C2" s="40" t="s">
        <v>472</v>
      </c>
      <c r="D2" s="40"/>
    </row>
    <row r="3" spans="1:4">
      <c r="A3" t="s">
        <v>408</v>
      </c>
      <c r="B3" t="s">
        <v>183</v>
      </c>
      <c r="C3" s="40" t="s">
        <v>472</v>
      </c>
    </row>
    <row r="4" spans="1:4">
      <c r="A4" t="s">
        <v>473</v>
      </c>
      <c r="B4" t="s">
        <v>183</v>
      </c>
      <c r="C4" s="40" t="s">
        <v>472</v>
      </c>
    </row>
    <row r="5" spans="1:4">
      <c r="A5" t="s">
        <v>474</v>
      </c>
      <c r="B5" t="s">
        <v>42</v>
      </c>
      <c r="C5" s="40" t="s">
        <v>472</v>
      </c>
    </row>
    <row r="6" spans="1:4">
      <c r="A6" t="s">
        <v>474</v>
      </c>
      <c r="B6" t="s">
        <v>475</v>
      </c>
      <c r="C6" s="40" t="s">
        <v>472</v>
      </c>
    </row>
    <row r="7" spans="1:4">
      <c r="A7" t="s">
        <v>425</v>
      </c>
      <c r="B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3.2"/>
  <sheetData>
    <row r="1" spans="1:1" ht="20.25" customHeight="1">
      <c r="A1" s="34" t="s">
        <v>322</v>
      </c>
    </row>
    <row r="16" spans="1:1" ht="20.25" customHeight="1">
      <c r="A16" s="34" t="s">
        <v>326</v>
      </c>
    </row>
    <row r="31" spans="1:1" ht="20.25" customHeight="1">
      <c r="A31" s="34" t="s">
        <v>332</v>
      </c>
    </row>
    <row r="46" spans="1:1" ht="20.25" customHeight="1">
      <c r="A46" s="34" t="s">
        <v>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2"/>
  <sheetViews>
    <sheetView workbookViewId="0">
      <selection activeCell="A8" sqref="A8"/>
    </sheetView>
  </sheetViews>
  <sheetFormatPr defaultRowHeight="13.2"/>
  <cols>
    <col min="1" max="1" width="28.33203125" customWidth="1"/>
    <col min="2" max="2" width="25.6640625" customWidth="1"/>
    <col min="3" max="3" width="26.33203125" customWidth="1"/>
    <col min="4" max="4" width="26.88671875" customWidth="1"/>
  </cols>
  <sheetData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379</v>
      </c>
    </row>
    <row r="5" spans="1:6">
      <c r="A5" t="s">
        <v>380</v>
      </c>
      <c r="B5" t="s">
        <v>117</v>
      </c>
      <c r="C5" t="s">
        <v>117</v>
      </c>
      <c r="D5" t="s">
        <v>117</v>
      </c>
    </row>
    <row r="6" spans="1:6">
      <c r="A6" t="s">
        <v>381</v>
      </c>
      <c r="B6" t="s">
        <v>118</v>
      </c>
      <c r="C6" t="s">
        <v>118</v>
      </c>
      <c r="D6" t="s">
        <v>117</v>
      </c>
      <c r="E6">
        <v>18750000</v>
      </c>
      <c r="F6">
        <v>137750000</v>
      </c>
    </row>
    <row r="7" spans="1:6">
      <c r="A7" t="s">
        <v>382</v>
      </c>
      <c r="B7" t="s">
        <v>119</v>
      </c>
      <c r="C7" t="s">
        <v>119</v>
      </c>
      <c r="D7" t="s">
        <v>117</v>
      </c>
      <c r="E7">
        <v>66218000</v>
      </c>
    </row>
    <row r="8" spans="1:6">
      <c r="A8" t="s">
        <v>383</v>
      </c>
      <c r="B8" t="s">
        <v>97</v>
      </c>
      <c r="C8" t="s">
        <v>97</v>
      </c>
      <c r="D8" t="s">
        <v>117</v>
      </c>
      <c r="E8">
        <v>81000</v>
      </c>
      <c r="F8">
        <v>107000</v>
      </c>
    </row>
    <row r="9" spans="1:6">
      <c r="A9" t="s">
        <v>384</v>
      </c>
      <c r="B9" t="s">
        <v>135</v>
      </c>
      <c r="C9" t="s">
        <v>135</v>
      </c>
      <c r="D9" t="s">
        <v>117</v>
      </c>
      <c r="E9">
        <v>3802000</v>
      </c>
      <c r="F9">
        <v>2735000</v>
      </c>
    </row>
    <row r="10" spans="1:6">
      <c r="A10" t="s">
        <v>385</v>
      </c>
      <c r="B10" t="s">
        <v>12</v>
      </c>
      <c r="C10" t="s">
        <v>12</v>
      </c>
      <c r="D10" t="s">
        <v>117</v>
      </c>
      <c r="E10">
        <v>88851000</v>
      </c>
      <c r="F10">
        <v>140592000</v>
      </c>
    </row>
    <row r="11" spans="1:6">
      <c r="A11" t="s">
        <v>386</v>
      </c>
      <c r="B11" t="s">
        <v>387</v>
      </c>
      <c r="C11" t="s">
        <v>84</v>
      </c>
      <c r="D11" t="s">
        <v>80</v>
      </c>
      <c r="E11">
        <v>9443000</v>
      </c>
      <c r="F11">
        <v>1374000</v>
      </c>
    </row>
    <row r="12" spans="1:6">
      <c r="A12" t="s">
        <v>388</v>
      </c>
      <c r="B12" t="s">
        <v>389</v>
      </c>
      <c r="C12" t="s">
        <v>92</v>
      </c>
      <c r="D12" t="s">
        <v>80</v>
      </c>
      <c r="E12">
        <v>43042000</v>
      </c>
      <c r="F12">
        <v>3977000</v>
      </c>
    </row>
    <row r="13" spans="1:6">
      <c r="A13" t="s">
        <v>390</v>
      </c>
      <c r="B13" t="s">
        <v>390</v>
      </c>
      <c r="C13" t="s">
        <v>91</v>
      </c>
      <c r="D13" t="s">
        <v>80</v>
      </c>
      <c r="E13">
        <v>32466000</v>
      </c>
      <c r="F13">
        <v>32466000</v>
      </c>
    </row>
    <row r="14" spans="1:6">
      <c r="A14" t="s">
        <v>391</v>
      </c>
      <c r="B14" t="s">
        <v>114</v>
      </c>
      <c r="C14" t="s">
        <v>114</v>
      </c>
      <c r="D14" t="s">
        <v>80</v>
      </c>
      <c r="E14">
        <v>597000</v>
      </c>
      <c r="F14">
        <v>357000</v>
      </c>
    </row>
    <row r="15" spans="1:6">
      <c r="A15" t="s">
        <v>392</v>
      </c>
      <c r="D15" t="s">
        <v>80</v>
      </c>
      <c r="E15">
        <v>174399000</v>
      </c>
      <c r="F15">
        <v>178766000</v>
      </c>
    </row>
    <row r="16" spans="1:6">
      <c r="A16" t="s">
        <v>393</v>
      </c>
      <c r="D16" t="s">
        <v>80</v>
      </c>
    </row>
    <row r="17" spans="1:6">
      <c r="A17" t="s">
        <v>394</v>
      </c>
      <c r="B17" t="s">
        <v>142</v>
      </c>
      <c r="C17" t="s">
        <v>142</v>
      </c>
      <c r="D17" t="s">
        <v>142</v>
      </c>
    </row>
    <row r="18" spans="1:6">
      <c r="A18" t="s">
        <v>395</v>
      </c>
      <c r="B18" t="s">
        <v>395</v>
      </c>
      <c r="C18" t="s">
        <v>164</v>
      </c>
      <c r="D18" t="s">
        <v>142</v>
      </c>
      <c r="E18">
        <v>6122000</v>
      </c>
      <c r="F18">
        <v>1881000</v>
      </c>
    </row>
    <row r="19" spans="1:6">
      <c r="A19" t="s">
        <v>366</v>
      </c>
      <c r="B19" t="s">
        <v>396</v>
      </c>
      <c r="C19" t="s">
        <v>162</v>
      </c>
      <c r="D19" t="s">
        <v>142</v>
      </c>
      <c r="E19">
        <v>3936000</v>
      </c>
      <c r="F19">
        <v>512000</v>
      </c>
    </row>
    <row r="20" spans="1:6">
      <c r="A20" t="s">
        <v>397</v>
      </c>
      <c r="B20" t="s">
        <v>396</v>
      </c>
      <c r="C20" t="s">
        <v>162</v>
      </c>
      <c r="D20" t="s">
        <v>142</v>
      </c>
      <c r="E20">
        <v>10000000</v>
      </c>
    </row>
    <row r="21" spans="1:6">
      <c r="A21" t="s">
        <v>398</v>
      </c>
      <c r="B21" t="s">
        <v>399</v>
      </c>
      <c r="C21" t="s">
        <v>163</v>
      </c>
      <c r="D21" t="s">
        <v>142</v>
      </c>
      <c r="E21">
        <v>296000</v>
      </c>
      <c r="F21">
        <v>3214000</v>
      </c>
    </row>
    <row r="22" spans="1:6">
      <c r="A22" t="s">
        <v>400</v>
      </c>
      <c r="B22" t="s">
        <v>13</v>
      </c>
      <c r="C22" t="s">
        <v>13</v>
      </c>
      <c r="D22" t="s">
        <v>142</v>
      </c>
      <c r="E22">
        <v>20354000</v>
      </c>
      <c r="F22">
        <v>5607000</v>
      </c>
    </row>
    <row r="23" spans="1:6">
      <c r="A23" t="s">
        <v>401</v>
      </c>
      <c r="B23" t="s">
        <v>173</v>
      </c>
      <c r="C23" t="s">
        <v>173</v>
      </c>
      <c r="D23" t="s">
        <v>166</v>
      </c>
      <c r="E23">
        <v>20000000</v>
      </c>
    </row>
    <row r="24" spans="1:6">
      <c r="A24" t="s">
        <v>402</v>
      </c>
      <c r="B24" t="s">
        <v>173</v>
      </c>
      <c r="C24" t="s">
        <v>173</v>
      </c>
      <c r="D24" t="s">
        <v>166</v>
      </c>
      <c r="F24">
        <v>3061000</v>
      </c>
    </row>
    <row r="25" spans="1:6">
      <c r="A25" t="s">
        <v>403</v>
      </c>
      <c r="B25" t="s">
        <v>165</v>
      </c>
      <c r="C25" t="s">
        <v>165</v>
      </c>
      <c r="D25" t="s">
        <v>166</v>
      </c>
      <c r="E25">
        <v>40354000</v>
      </c>
      <c r="F25">
        <v>8668000</v>
      </c>
    </row>
    <row r="26" spans="1:6">
      <c r="A26" t="s">
        <v>404</v>
      </c>
      <c r="B26" t="s">
        <v>181</v>
      </c>
      <c r="C26" t="s">
        <v>181</v>
      </c>
      <c r="D26" t="s">
        <v>166</v>
      </c>
    </row>
    <row r="27" spans="1:6">
      <c r="A27" t="s">
        <v>405</v>
      </c>
      <c r="B27" t="s">
        <v>182</v>
      </c>
      <c r="C27" t="s">
        <v>182</v>
      </c>
      <c r="D27" t="s">
        <v>166</v>
      </c>
    </row>
    <row r="28" spans="1:6">
      <c r="A28" t="s">
        <v>406</v>
      </c>
      <c r="B28" t="s">
        <v>183</v>
      </c>
      <c r="C28" t="s">
        <v>183</v>
      </c>
      <c r="D28" t="s">
        <v>182</v>
      </c>
    </row>
    <row r="29" spans="1:6">
      <c r="A29" t="s">
        <v>407</v>
      </c>
      <c r="D29" t="s">
        <v>182</v>
      </c>
      <c r="E29">
        <v>479000</v>
      </c>
      <c r="F29">
        <v>469000</v>
      </c>
    </row>
    <row r="30" spans="1:6">
      <c r="A30" t="s">
        <v>408</v>
      </c>
      <c r="B30" t="s">
        <v>183</v>
      </c>
      <c r="C30" t="s">
        <v>183</v>
      </c>
      <c r="D30" t="s">
        <v>182</v>
      </c>
      <c r="E30">
        <v>543754000</v>
      </c>
      <c r="F30">
        <v>529421000</v>
      </c>
    </row>
    <row r="31" spans="1:6">
      <c r="A31" t="s">
        <v>409</v>
      </c>
      <c r="B31" t="s">
        <v>189</v>
      </c>
      <c r="C31" t="s">
        <v>189</v>
      </c>
      <c r="D31" t="s">
        <v>182</v>
      </c>
      <c r="E31">
        <v>-410188000</v>
      </c>
      <c r="F31">
        <v>-359792000</v>
      </c>
    </row>
    <row r="32" spans="1:6">
      <c r="A32" t="s">
        <v>410</v>
      </c>
      <c r="B32" t="s">
        <v>197</v>
      </c>
      <c r="C32" t="s">
        <v>197</v>
      </c>
      <c r="D32" t="s">
        <v>182</v>
      </c>
      <c r="E32">
        <v>134045000</v>
      </c>
      <c r="F32">
        <v>170098000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8"/>
  <sheetViews>
    <sheetView workbookViewId="0">
      <selection activeCell="C15" sqref="C15"/>
    </sheetView>
  </sheetViews>
  <sheetFormatPr defaultRowHeight="13.2"/>
  <cols>
    <col min="1" max="1" width="23.6640625" customWidth="1"/>
    <col min="2" max="2" width="26.6640625" customWidth="1"/>
    <col min="3" max="3" width="22.33203125" customWidth="1"/>
    <col min="4" max="4" width="21.664062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411</v>
      </c>
      <c r="B3" t="s">
        <v>412</v>
      </c>
      <c r="C3" t="s">
        <v>26</v>
      </c>
      <c r="D3" t="s">
        <v>412</v>
      </c>
    </row>
    <row r="4" spans="1:7">
      <c r="A4" t="s">
        <v>413</v>
      </c>
      <c r="B4" t="s">
        <v>412</v>
      </c>
      <c r="C4" t="s">
        <v>26</v>
      </c>
      <c r="D4" t="s">
        <v>412</v>
      </c>
      <c r="E4">
        <v>2796000</v>
      </c>
    </row>
    <row r="5" spans="1:7">
      <c r="A5" t="s">
        <v>414</v>
      </c>
      <c r="B5" t="s">
        <v>412</v>
      </c>
      <c r="C5" t="s">
        <v>26</v>
      </c>
      <c r="D5" t="s">
        <v>412</v>
      </c>
      <c r="F5">
        <v>602000</v>
      </c>
      <c r="G5">
        <v>602000</v>
      </c>
    </row>
    <row r="6" spans="1:7">
      <c r="A6" t="s">
        <v>415</v>
      </c>
      <c r="B6" t="s">
        <v>412</v>
      </c>
      <c r="C6" t="s">
        <v>26</v>
      </c>
      <c r="D6" t="s">
        <v>412</v>
      </c>
      <c r="E6">
        <v>202000</v>
      </c>
      <c r="F6">
        <v>235000</v>
      </c>
      <c r="G6">
        <v>287000</v>
      </c>
    </row>
    <row r="7" spans="1:7">
      <c r="A7" t="s">
        <v>416</v>
      </c>
      <c r="B7" t="s">
        <v>45</v>
      </c>
      <c r="C7" t="s">
        <v>45</v>
      </c>
      <c r="D7" t="s">
        <v>412</v>
      </c>
      <c r="E7">
        <v>-2998000</v>
      </c>
      <c r="F7">
        <v>-837000</v>
      </c>
      <c r="G7">
        <v>889000</v>
      </c>
    </row>
    <row r="8" spans="1:7">
      <c r="A8" t="s">
        <v>417</v>
      </c>
      <c r="B8" t="s">
        <v>41</v>
      </c>
      <c r="C8" t="s">
        <v>41</v>
      </c>
      <c r="D8" t="s">
        <v>412</v>
      </c>
    </row>
    <row r="9" spans="1:7">
      <c r="A9" t="s">
        <v>418</v>
      </c>
      <c r="B9" t="s">
        <v>37</v>
      </c>
      <c r="C9" t="s">
        <v>37</v>
      </c>
      <c r="D9" t="s">
        <v>412</v>
      </c>
      <c r="E9">
        <v>38698000</v>
      </c>
      <c r="F9">
        <v>16989000</v>
      </c>
      <c r="G9">
        <v>10655000</v>
      </c>
    </row>
    <row r="10" spans="1:7">
      <c r="A10" t="s">
        <v>419</v>
      </c>
      <c r="B10" t="s">
        <v>36</v>
      </c>
      <c r="C10" t="s">
        <v>36</v>
      </c>
      <c r="D10" t="s">
        <v>412</v>
      </c>
      <c r="E10">
        <v>20106000</v>
      </c>
      <c r="F10">
        <v>10943000</v>
      </c>
      <c r="G10">
        <v>13290000</v>
      </c>
    </row>
    <row r="11" spans="1:7">
      <c r="A11" t="s">
        <v>420</v>
      </c>
      <c r="B11" t="s">
        <v>42</v>
      </c>
      <c r="C11" t="s">
        <v>42</v>
      </c>
      <c r="D11" t="s">
        <v>412</v>
      </c>
      <c r="E11">
        <v>2360000</v>
      </c>
      <c r="F11">
        <v>741000</v>
      </c>
      <c r="G11">
        <v>825000</v>
      </c>
    </row>
    <row r="12" spans="1:7">
      <c r="A12" t="s">
        <v>421</v>
      </c>
      <c r="B12" t="s">
        <v>45</v>
      </c>
      <c r="C12" t="s">
        <v>45</v>
      </c>
      <c r="D12" t="s">
        <v>412</v>
      </c>
      <c r="E12">
        <v>61164000</v>
      </c>
      <c r="F12">
        <v>28673000</v>
      </c>
      <c r="G12">
        <v>24770000</v>
      </c>
    </row>
    <row r="13" spans="1:7">
      <c r="A13" t="s">
        <v>422</v>
      </c>
      <c r="B13" t="s">
        <v>423</v>
      </c>
      <c r="C13" t="s">
        <v>46</v>
      </c>
      <c r="D13" t="s">
        <v>412</v>
      </c>
      <c r="E13">
        <v>-58166000</v>
      </c>
      <c r="F13">
        <v>-27836000</v>
      </c>
      <c r="G13">
        <v>-23881000</v>
      </c>
    </row>
    <row r="14" spans="1:7">
      <c r="A14" t="s">
        <v>424</v>
      </c>
      <c r="B14" t="s">
        <v>54</v>
      </c>
      <c r="C14" t="s">
        <v>54</v>
      </c>
      <c r="D14" t="s">
        <v>412</v>
      </c>
      <c r="E14">
        <v>1506000</v>
      </c>
      <c r="F14">
        <v>525000</v>
      </c>
      <c r="G14">
        <v>2014000</v>
      </c>
    </row>
    <row r="15" spans="1:7">
      <c r="A15" t="s">
        <v>425</v>
      </c>
      <c r="B15" t="s">
        <v>426</v>
      </c>
      <c r="C15" t="s">
        <v>56</v>
      </c>
      <c r="D15" t="s">
        <v>412</v>
      </c>
      <c r="E15">
        <v>-11000</v>
      </c>
      <c r="F15">
        <v>-8000</v>
      </c>
      <c r="G15">
        <v>-6000</v>
      </c>
    </row>
    <row r="16" spans="1:7">
      <c r="A16" t="s">
        <v>427</v>
      </c>
      <c r="B16" t="s">
        <v>66</v>
      </c>
      <c r="C16" t="s">
        <v>66</v>
      </c>
      <c r="D16" t="s">
        <v>412</v>
      </c>
      <c r="E16">
        <v>-56671000</v>
      </c>
      <c r="F16">
        <v>-27319000</v>
      </c>
      <c r="G16">
        <v>-21873000</v>
      </c>
    </row>
    <row r="17" spans="1:7">
      <c r="A17" t="s">
        <v>428</v>
      </c>
      <c r="D17" t="s">
        <v>412</v>
      </c>
      <c r="E17">
        <v>-119</v>
      </c>
      <c r="F17">
        <v>-66</v>
      </c>
      <c r="G17">
        <v>-64</v>
      </c>
    </row>
    <row r="18" spans="1:7">
      <c r="A18" t="s">
        <v>429</v>
      </c>
      <c r="D18" t="s">
        <v>412</v>
      </c>
      <c r="E18">
        <v>47528248</v>
      </c>
      <c r="F18">
        <v>41636752</v>
      </c>
      <c r="G18">
        <v>34180253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45"/>
  <sheetViews>
    <sheetView topLeftCell="A7" workbookViewId="0">
      <selection activeCell="B24" sqref="B24"/>
    </sheetView>
  </sheetViews>
  <sheetFormatPr defaultRowHeight="13.2"/>
  <cols>
    <col min="1" max="1" width="24" customWidth="1"/>
    <col min="2" max="2" width="25.6640625" customWidth="1"/>
    <col min="3" max="3" width="26.6640625" customWidth="1"/>
    <col min="4" max="4" width="24.88671875" customWidth="1"/>
  </cols>
  <sheetData>
    <row r="3" spans="1:7">
      <c r="E3">
        <v>2018</v>
      </c>
      <c r="F3">
        <v>2017</v>
      </c>
      <c r="G3">
        <v>2016</v>
      </c>
    </row>
    <row r="4" spans="1:7">
      <c r="A4" t="s">
        <v>430</v>
      </c>
      <c r="B4" t="s">
        <v>233</v>
      </c>
      <c r="C4" t="s">
        <v>233</v>
      </c>
      <c r="D4" t="s">
        <v>431</v>
      </c>
    </row>
    <row r="5" spans="1:7">
      <c r="A5" t="s">
        <v>427</v>
      </c>
      <c r="B5" t="s">
        <v>234</v>
      </c>
      <c r="C5" t="s">
        <v>234</v>
      </c>
      <c r="D5" t="s">
        <v>431</v>
      </c>
      <c r="E5">
        <v>-56671000</v>
      </c>
      <c r="F5">
        <v>-27319000</v>
      </c>
      <c r="G5">
        <v>-21873000</v>
      </c>
    </row>
    <row r="6" spans="1:7">
      <c r="A6" t="s">
        <v>432</v>
      </c>
      <c r="D6" t="s">
        <v>431</v>
      </c>
    </row>
    <row r="7" spans="1:7">
      <c r="A7" t="s">
        <v>420</v>
      </c>
      <c r="B7" t="s">
        <v>238</v>
      </c>
      <c r="C7" t="s">
        <v>238</v>
      </c>
      <c r="D7" t="s">
        <v>431</v>
      </c>
      <c r="E7">
        <v>2360000</v>
      </c>
      <c r="F7">
        <v>741000</v>
      </c>
      <c r="G7">
        <v>825000</v>
      </c>
    </row>
    <row r="8" spans="1:7">
      <c r="A8" t="s">
        <v>433</v>
      </c>
      <c r="B8" t="s">
        <v>250</v>
      </c>
      <c r="C8" t="s">
        <v>250</v>
      </c>
      <c r="D8" t="s">
        <v>431</v>
      </c>
      <c r="E8">
        <v>8178000</v>
      </c>
      <c r="F8">
        <v>4644000</v>
      </c>
      <c r="G8">
        <v>4829000</v>
      </c>
    </row>
    <row r="9" spans="1:7">
      <c r="A9" t="s">
        <v>434</v>
      </c>
      <c r="B9" t="s">
        <v>250</v>
      </c>
      <c r="C9" t="s">
        <v>250</v>
      </c>
      <c r="D9" t="s">
        <v>431</v>
      </c>
      <c r="E9">
        <v>688000</v>
      </c>
      <c r="F9">
        <v>1272000</v>
      </c>
      <c r="G9">
        <v>3432000</v>
      </c>
    </row>
    <row r="10" spans="1:7">
      <c r="A10" t="s">
        <v>435</v>
      </c>
      <c r="B10" t="s">
        <v>246</v>
      </c>
      <c r="C10" t="s">
        <v>246</v>
      </c>
      <c r="D10" t="s">
        <v>431</v>
      </c>
      <c r="E10">
        <v>-626000</v>
      </c>
    </row>
    <row r="11" spans="1:7">
      <c r="A11" t="s">
        <v>436</v>
      </c>
      <c r="B11" t="s">
        <v>246</v>
      </c>
      <c r="C11" t="s">
        <v>246</v>
      </c>
      <c r="D11" t="s">
        <v>431</v>
      </c>
      <c r="F11">
        <v>-127000</v>
      </c>
    </row>
    <row r="12" spans="1:7">
      <c r="A12" t="s">
        <v>437</v>
      </c>
      <c r="B12" t="s">
        <v>253</v>
      </c>
      <c r="C12" t="s">
        <v>253</v>
      </c>
      <c r="D12" t="s">
        <v>431</v>
      </c>
    </row>
    <row r="13" spans="1:7">
      <c r="A13" t="s">
        <v>383</v>
      </c>
      <c r="B13" t="s">
        <v>264</v>
      </c>
      <c r="C13" t="s">
        <v>264</v>
      </c>
      <c r="D13" t="s">
        <v>431</v>
      </c>
      <c r="E13">
        <v>26000</v>
      </c>
      <c r="F13">
        <v>17000</v>
      </c>
      <c r="G13">
        <v>-9000</v>
      </c>
    </row>
    <row r="14" spans="1:7">
      <c r="A14" t="s">
        <v>384</v>
      </c>
      <c r="B14" t="s">
        <v>266</v>
      </c>
      <c r="C14" t="s">
        <v>266</v>
      </c>
      <c r="D14" t="s">
        <v>431</v>
      </c>
      <c r="E14">
        <v>-1067000</v>
      </c>
      <c r="F14">
        <v>-2580000</v>
      </c>
      <c r="G14">
        <v>160000</v>
      </c>
    </row>
    <row r="15" spans="1:7">
      <c r="A15" t="s">
        <v>438</v>
      </c>
      <c r="B15" t="s">
        <v>278</v>
      </c>
      <c r="C15" t="s">
        <v>278</v>
      </c>
      <c r="D15" t="s">
        <v>431</v>
      </c>
      <c r="E15">
        <v>40000</v>
      </c>
      <c r="F15">
        <v>-11000</v>
      </c>
      <c r="G15">
        <v>-4000</v>
      </c>
    </row>
    <row r="16" spans="1:7">
      <c r="A16" t="s">
        <v>439</v>
      </c>
      <c r="B16" t="s">
        <v>275</v>
      </c>
      <c r="C16" t="s">
        <v>275</v>
      </c>
      <c r="D16" t="s">
        <v>431</v>
      </c>
      <c r="E16">
        <v>7665000</v>
      </c>
      <c r="F16">
        <v>-1301000</v>
      </c>
      <c r="G16">
        <v>2819000</v>
      </c>
    </row>
    <row r="17" spans="1:7">
      <c r="A17" t="s">
        <v>440</v>
      </c>
      <c r="B17" t="s">
        <v>279</v>
      </c>
      <c r="C17" t="s">
        <v>279</v>
      </c>
      <c r="D17" t="s">
        <v>431</v>
      </c>
      <c r="G17">
        <v>-2591000</v>
      </c>
    </row>
    <row r="18" spans="1:7">
      <c r="A18" t="s">
        <v>441</v>
      </c>
      <c r="B18" t="s">
        <v>271</v>
      </c>
      <c r="C18" t="s">
        <v>271</v>
      </c>
      <c r="D18" t="s">
        <v>431</v>
      </c>
      <c r="E18">
        <v>296000</v>
      </c>
      <c r="F18">
        <v>2009000</v>
      </c>
      <c r="G18">
        <v>-602000</v>
      </c>
    </row>
    <row r="19" spans="1:7">
      <c r="A19" t="s">
        <v>442</v>
      </c>
      <c r="B19" t="s">
        <v>287</v>
      </c>
      <c r="C19" t="s">
        <v>287</v>
      </c>
      <c r="D19" t="s">
        <v>431</v>
      </c>
      <c r="E19">
        <v>-39111000</v>
      </c>
      <c r="F19">
        <v>-22655000</v>
      </c>
      <c r="G19">
        <v>-13014000</v>
      </c>
    </row>
    <row r="20" spans="1:7">
      <c r="A20" t="s">
        <v>443</v>
      </c>
      <c r="B20" t="s">
        <v>233</v>
      </c>
      <c r="C20" t="s">
        <v>233</v>
      </c>
      <c r="D20" t="s">
        <v>444</v>
      </c>
    </row>
    <row r="21" spans="1:7">
      <c r="A21" t="s">
        <v>445</v>
      </c>
      <c r="B21" t="s">
        <v>289</v>
      </c>
      <c r="C21" t="s">
        <v>289</v>
      </c>
      <c r="D21" t="s">
        <v>444</v>
      </c>
      <c r="E21">
        <v>-9243000</v>
      </c>
      <c r="F21">
        <v>-860000</v>
      </c>
      <c r="G21">
        <v>-519000</v>
      </c>
    </row>
    <row r="22" spans="1:7">
      <c r="A22" t="s">
        <v>446</v>
      </c>
      <c r="B22" t="s">
        <v>292</v>
      </c>
      <c r="C22" t="s">
        <v>292</v>
      </c>
      <c r="D22" t="s">
        <v>444</v>
      </c>
      <c r="E22">
        <v>-10251000</v>
      </c>
    </row>
    <row r="23" spans="1:7">
      <c r="A23" t="s">
        <v>447</v>
      </c>
      <c r="B23" t="s">
        <v>292</v>
      </c>
      <c r="C23" t="s">
        <v>292</v>
      </c>
      <c r="D23" t="s">
        <v>444</v>
      </c>
      <c r="E23">
        <v>-136092000</v>
      </c>
    </row>
    <row r="24" spans="1:7">
      <c r="A24" t="s">
        <v>448</v>
      </c>
      <c r="B24" t="s">
        <v>293</v>
      </c>
      <c r="C24" t="s">
        <v>293</v>
      </c>
      <c r="D24" t="s">
        <v>444</v>
      </c>
      <c r="E24">
        <v>70500000</v>
      </c>
    </row>
    <row r="25" spans="1:7">
      <c r="A25" t="s">
        <v>449</v>
      </c>
      <c r="B25" t="s">
        <v>298</v>
      </c>
      <c r="C25" t="s">
        <v>298</v>
      </c>
      <c r="D25" t="s">
        <v>444</v>
      </c>
      <c r="E25">
        <v>-85086000</v>
      </c>
      <c r="F25">
        <v>-860000</v>
      </c>
      <c r="G25">
        <v>-519000</v>
      </c>
    </row>
    <row r="26" spans="1:7">
      <c r="A26" t="s">
        <v>450</v>
      </c>
      <c r="B26" t="s">
        <v>299</v>
      </c>
      <c r="C26" t="s">
        <v>299</v>
      </c>
      <c r="D26" t="s">
        <v>451</v>
      </c>
    </row>
    <row r="27" spans="1:7">
      <c r="A27" t="s">
        <v>452</v>
      </c>
      <c r="B27" t="s">
        <v>300</v>
      </c>
      <c r="C27" t="s">
        <v>300</v>
      </c>
      <c r="D27" t="s">
        <v>451</v>
      </c>
      <c r="E27">
        <v>3233000</v>
      </c>
      <c r="F27">
        <v>885000</v>
      </c>
    </row>
    <row r="28" spans="1:7">
      <c r="A28" t="s">
        <v>453</v>
      </c>
      <c r="B28" t="s">
        <v>300</v>
      </c>
      <c r="C28" t="s">
        <v>300</v>
      </c>
      <c r="D28" t="s">
        <v>451</v>
      </c>
      <c r="E28">
        <v>2244000</v>
      </c>
      <c r="F28">
        <v>344000</v>
      </c>
      <c r="G28">
        <v>350000</v>
      </c>
    </row>
    <row r="29" spans="1:7">
      <c r="A29" t="s">
        <v>454</v>
      </c>
      <c r="D29" t="s">
        <v>451</v>
      </c>
      <c r="F29">
        <v>86174000</v>
      </c>
    </row>
    <row r="30" spans="1:7">
      <c r="A30" t="s">
        <v>455</v>
      </c>
      <c r="B30" t="s">
        <v>300</v>
      </c>
      <c r="C30" t="s">
        <v>300</v>
      </c>
      <c r="D30" t="s">
        <v>451</v>
      </c>
      <c r="F30">
        <v>5000000</v>
      </c>
    </row>
    <row r="31" spans="1:7">
      <c r="A31" t="s">
        <v>456</v>
      </c>
      <c r="B31" t="s">
        <v>300</v>
      </c>
      <c r="C31" t="s">
        <v>300</v>
      </c>
      <c r="D31" t="s">
        <v>451</v>
      </c>
      <c r="G31">
        <v>41068000</v>
      </c>
    </row>
    <row r="32" spans="1:7">
      <c r="A32" t="s">
        <v>457</v>
      </c>
      <c r="B32" t="s">
        <v>300</v>
      </c>
      <c r="C32" t="s">
        <v>300</v>
      </c>
      <c r="D32" t="s">
        <v>451</v>
      </c>
      <c r="G32">
        <v>969000</v>
      </c>
    </row>
    <row r="33" spans="1:7">
      <c r="A33" t="s">
        <v>458</v>
      </c>
      <c r="B33" t="s">
        <v>300</v>
      </c>
      <c r="C33" t="s">
        <v>300</v>
      </c>
      <c r="D33" t="s">
        <v>451</v>
      </c>
      <c r="G33">
        <v>150000</v>
      </c>
    </row>
    <row r="34" spans="1:7">
      <c r="A34" t="s">
        <v>459</v>
      </c>
      <c r="B34" t="s">
        <v>313</v>
      </c>
      <c r="C34" t="s">
        <v>313</v>
      </c>
      <c r="D34" t="s">
        <v>451</v>
      </c>
      <c r="E34">
        <v>5477000</v>
      </c>
      <c r="F34">
        <v>92403000</v>
      </c>
      <c r="G34">
        <v>42537000</v>
      </c>
    </row>
    <row r="35" spans="1:7">
      <c r="A35" t="s">
        <v>460</v>
      </c>
      <c r="B35" t="s">
        <v>461</v>
      </c>
      <c r="C35" t="s">
        <v>314</v>
      </c>
      <c r="D35" t="s">
        <v>451</v>
      </c>
      <c r="E35">
        <v>-118720000</v>
      </c>
      <c r="F35">
        <v>68888000</v>
      </c>
      <c r="G35">
        <v>29004000</v>
      </c>
    </row>
    <row r="36" spans="1:7">
      <c r="A36" t="s">
        <v>462</v>
      </c>
      <c r="B36" t="s">
        <v>463</v>
      </c>
      <c r="C36" t="s">
        <v>317</v>
      </c>
      <c r="D36" t="s">
        <v>451</v>
      </c>
      <c r="E36">
        <v>138030000</v>
      </c>
      <c r="F36">
        <v>69142000</v>
      </c>
      <c r="G36">
        <v>40138000</v>
      </c>
    </row>
    <row r="37" spans="1:7">
      <c r="A37" t="s">
        <v>464</v>
      </c>
      <c r="B37" t="s">
        <v>318</v>
      </c>
      <c r="C37" t="s">
        <v>318</v>
      </c>
      <c r="D37" t="s">
        <v>451</v>
      </c>
      <c r="E37">
        <v>19310000</v>
      </c>
      <c r="F37">
        <v>138030000</v>
      </c>
      <c r="G37">
        <v>69142000</v>
      </c>
    </row>
    <row r="38" spans="1:7">
      <c r="A38" t="s">
        <v>465</v>
      </c>
      <c r="D38" t="s">
        <v>451</v>
      </c>
    </row>
    <row r="39" spans="1:7">
      <c r="A39" t="s">
        <v>381</v>
      </c>
      <c r="B39" t="s">
        <v>463</v>
      </c>
      <c r="C39" t="s">
        <v>317</v>
      </c>
      <c r="D39" t="s">
        <v>451</v>
      </c>
      <c r="E39">
        <v>18750000</v>
      </c>
      <c r="F39">
        <v>137750000</v>
      </c>
      <c r="G39">
        <v>69142000</v>
      </c>
    </row>
    <row r="40" spans="1:7">
      <c r="A40" t="s">
        <v>466</v>
      </c>
      <c r="D40" t="s">
        <v>451</v>
      </c>
      <c r="E40">
        <v>560000</v>
      </c>
      <c r="F40">
        <v>280000</v>
      </c>
    </row>
    <row r="41" spans="1:7">
      <c r="A41" t="s">
        <v>467</v>
      </c>
      <c r="B41" t="s">
        <v>463</v>
      </c>
      <c r="C41" t="s">
        <v>317</v>
      </c>
      <c r="D41" t="s">
        <v>451</v>
      </c>
      <c r="E41">
        <v>19310000</v>
      </c>
      <c r="F41">
        <v>138030000</v>
      </c>
      <c r="G41">
        <v>69142000</v>
      </c>
    </row>
    <row r="42" spans="1:7">
      <c r="A42" t="s">
        <v>468</v>
      </c>
      <c r="B42" t="s">
        <v>292</v>
      </c>
      <c r="C42" t="s">
        <v>292</v>
      </c>
      <c r="D42" t="s">
        <v>444</v>
      </c>
      <c r="E42">
        <v>30000000</v>
      </c>
    </row>
    <row r="43" spans="1:7">
      <c r="A43" t="s">
        <v>469</v>
      </c>
      <c r="D43" t="s">
        <v>451</v>
      </c>
      <c r="F43">
        <v>4000000</v>
      </c>
    </row>
    <row r="44" spans="1:7">
      <c r="A44" t="s">
        <v>470</v>
      </c>
      <c r="D44" t="s">
        <v>451</v>
      </c>
    </row>
    <row r="45" spans="1:7">
      <c r="A45" t="s">
        <v>471</v>
      </c>
      <c r="D45" t="s">
        <v>451</v>
      </c>
      <c r="G45">
        <v>2452000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02D00A-B4B3-4067-9B22-F3FF2B4154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D0E3D1-512C-4FFD-865A-50A4510ECB1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831482-B3C1-4324-BBFA-755E5B99FD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mappingTemplate</vt:lpstr>
      <vt:lpstr>Ratios</vt:lpstr>
      <vt:lpstr>bs</vt:lpstr>
      <vt:lpstr>pl</vt:lpstr>
      <vt:lpstr>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RiskAnalyst</dc:creator>
  <cp:keywords/>
  <dc:description/>
  <cp:lastModifiedBy>Niyoshi Aithal</cp:lastModifiedBy>
  <cp:revision/>
  <dcterms:created xsi:type="dcterms:W3CDTF">2019-04-04T09:01:00Z</dcterms:created>
  <dcterms:modified xsi:type="dcterms:W3CDTF">2021-09-23T08:17:35Z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