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CogNext\GroundTruth\PDFs &amp; Excels\"/>
    </mc:Choice>
  </mc:AlternateContent>
  <bookViews>
    <workbookView xWindow="0" yWindow="0" windowWidth="10440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113" i="1" l="1"/>
  <c r="F113" i="1"/>
  <c r="G46" i="1"/>
  <c r="F52" i="1"/>
  <c r="G36" i="1"/>
  <c r="F36" i="1"/>
  <c r="G432" i="1" l="1"/>
  <c r="G433" i="1" s="1"/>
  <c r="F432" i="1"/>
  <c r="F433" i="1" s="1"/>
  <c r="G417" i="1"/>
  <c r="G418" i="1" s="1"/>
  <c r="F417" i="1"/>
  <c r="F418" i="1" s="1"/>
  <c r="F409" i="1"/>
  <c r="F410" i="1" s="1"/>
  <c r="G397" i="1"/>
  <c r="G409" i="1" s="1"/>
  <c r="G410" i="1" s="1"/>
  <c r="F397" i="1"/>
  <c r="M382" i="1"/>
  <c r="L382" i="1"/>
  <c r="O381" i="1"/>
  <c r="N381" i="1"/>
  <c r="M381" i="1"/>
  <c r="L381" i="1"/>
  <c r="K381" i="1"/>
  <c r="J381" i="1"/>
  <c r="G381" i="1"/>
  <c r="F381" i="1"/>
  <c r="K377" i="1"/>
  <c r="J377" i="1"/>
  <c r="M376" i="1"/>
  <c r="L376" i="1"/>
  <c r="O375" i="1"/>
  <c r="N375" i="1"/>
  <c r="M375" i="1"/>
  <c r="L375" i="1"/>
  <c r="K375" i="1"/>
  <c r="J375" i="1"/>
  <c r="G375" i="1"/>
  <c r="F375" i="1"/>
  <c r="I373" i="1"/>
  <c r="H373" i="1"/>
  <c r="M371" i="1"/>
  <c r="L371" i="1"/>
  <c r="H371" i="1"/>
  <c r="O370" i="1"/>
  <c r="N370" i="1"/>
  <c r="J370" i="1"/>
  <c r="I369" i="1"/>
  <c r="H369" i="1"/>
  <c r="N368" i="1"/>
  <c r="K368" i="1"/>
  <c r="J368" i="1"/>
  <c r="F368" i="1"/>
  <c r="L366" i="1"/>
  <c r="H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F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G297" i="1"/>
  <c r="G319" i="1" s="1"/>
  <c r="G326" i="1" s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O227" i="1"/>
  <c r="N227" i="1"/>
  <c r="M227" i="1"/>
  <c r="L227" i="1"/>
  <c r="K227" i="1"/>
  <c r="J227" i="1"/>
  <c r="I227" i="1"/>
  <c r="H227" i="1"/>
  <c r="G227" i="1"/>
  <c r="F227" i="1"/>
  <c r="F11" i="1" s="1"/>
  <c r="O210" i="1"/>
  <c r="N210" i="1"/>
  <c r="M210" i="1"/>
  <c r="L210" i="1"/>
  <c r="K210" i="1"/>
  <c r="J210" i="1"/>
  <c r="I210" i="1"/>
  <c r="H210" i="1"/>
  <c r="G210" i="1"/>
  <c r="F210" i="1"/>
  <c r="O189" i="1"/>
  <c r="N189" i="1"/>
  <c r="M189" i="1"/>
  <c r="L189" i="1"/>
  <c r="K189" i="1"/>
  <c r="J189" i="1"/>
  <c r="I189" i="1"/>
  <c r="H189" i="1"/>
  <c r="G189" i="1"/>
  <c r="G9" i="1" s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G161" i="1" s="1"/>
  <c r="G8" i="1" s="1"/>
  <c r="F140" i="1"/>
  <c r="F161" i="1" s="1"/>
  <c r="F8" i="1" s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G12" i="1" s="1"/>
  <c r="F98" i="1"/>
  <c r="F100" i="1" s="1"/>
  <c r="F128" i="1" s="1"/>
  <c r="F7" i="1" s="1"/>
  <c r="O83" i="1"/>
  <c r="N83" i="1"/>
  <c r="M83" i="1"/>
  <c r="L83" i="1"/>
  <c r="K83" i="1"/>
  <c r="J83" i="1"/>
  <c r="I83" i="1"/>
  <c r="H83" i="1"/>
  <c r="O71" i="1"/>
  <c r="O373" i="1" s="1"/>
  <c r="N71" i="1"/>
  <c r="N372" i="1" s="1"/>
  <c r="M71" i="1"/>
  <c r="M373" i="1" s="1"/>
  <c r="L71" i="1"/>
  <c r="L372" i="1" s="1"/>
  <c r="K71" i="1"/>
  <c r="K373" i="1" s="1"/>
  <c r="J71" i="1"/>
  <c r="J372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8" i="1" s="1"/>
  <c r="I44" i="1"/>
  <c r="I370" i="1" s="1"/>
  <c r="H44" i="1"/>
  <c r="H370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J369" i="1" s="1"/>
  <c r="I30" i="1"/>
  <c r="H30" i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N366" i="1" s="1"/>
  <c r="M12" i="1"/>
  <c r="L12" i="1"/>
  <c r="K12" i="1"/>
  <c r="K366" i="1" s="1"/>
  <c r="J12" i="1"/>
  <c r="J366" i="1" s="1"/>
  <c r="I12" i="1"/>
  <c r="I366" i="1" s="1"/>
  <c r="H12" i="1"/>
  <c r="O11" i="1"/>
  <c r="N11" i="1"/>
  <c r="M11" i="1"/>
  <c r="L11" i="1"/>
  <c r="L373" i="1" s="1"/>
  <c r="K11" i="1"/>
  <c r="J11" i="1"/>
  <c r="I11" i="1"/>
  <c r="H11" i="1"/>
  <c r="G11" i="1"/>
  <c r="O10" i="1"/>
  <c r="N10" i="1"/>
  <c r="N377" i="1" s="1"/>
  <c r="M10" i="1"/>
  <c r="L10" i="1"/>
  <c r="K10" i="1"/>
  <c r="J10" i="1"/>
  <c r="I10" i="1"/>
  <c r="H10" i="1"/>
  <c r="G10" i="1"/>
  <c r="F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L6" i="1"/>
  <c r="K6" i="1"/>
  <c r="K371" i="1" s="1"/>
  <c r="J6" i="1"/>
  <c r="J371" i="1" s="1"/>
  <c r="I6" i="1"/>
  <c r="I371" i="1" s="1"/>
  <c r="H6" i="1"/>
  <c r="H365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12" i="1" l="1"/>
  <c r="F376" i="1" s="1"/>
  <c r="F384" i="1"/>
  <c r="F13" i="1"/>
  <c r="F377" i="1"/>
  <c r="F353" i="1"/>
  <c r="F355" i="1" s="1"/>
  <c r="F357" i="1" s="1"/>
  <c r="F385" i="1"/>
  <c r="G366" i="1"/>
  <c r="G384" i="1"/>
  <c r="G13" i="1"/>
  <c r="G14" i="1" s="1"/>
  <c r="G377" i="1"/>
  <c r="G376" i="1"/>
  <c r="G353" i="1"/>
  <c r="G355" i="1" s="1"/>
  <c r="G357" i="1" s="1"/>
  <c r="G385" i="1"/>
  <c r="F383" i="1"/>
  <c r="F382" i="1"/>
  <c r="G383" i="1"/>
  <c r="G382" i="1"/>
  <c r="H378" i="1"/>
  <c r="J383" i="1"/>
  <c r="H384" i="1"/>
  <c r="M366" i="1"/>
  <c r="I378" i="1"/>
  <c r="K383" i="1"/>
  <c r="I384" i="1"/>
  <c r="L368" i="1"/>
  <c r="J373" i="1"/>
  <c r="H375" i="1"/>
  <c r="N376" i="1"/>
  <c r="L377" i="1"/>
  <c r="H381" i="1"/>
  <c r="N382" i="1"/>
  <c r="J384" i="1"/>
  <c r="K372" i="1"/>
  <c r="I365" i="1"/>
  <c r="M368" i="1"/>
  <c r="M372" i="1"/>
  <c r="I375" i="1"/>
  <c r="O376" i="1"/>
  <c r="M377" i="1"/>
  <c r="K378" i="1"/>
  <c r="I381" i="1"/>
  <c r="O382" i="1"/>
  <c r="K384" i="1"/>
  <c r="G363" i="1"/>
  <c r="O368" i="1"/>
  <c r="O372" i="1"/>
  <c r="I376" i="1"/>
  <c r="O377" i="1"/>
  <c r="M378" i="1"/>
  <c r="I382" i="1"/>
  <c r="H376" i="1"/>
  <c r="L378" i="1"/>
  <c r="H382" i="1"/>
  <c r="F44" i="1"/>
  <c r="H363" i="1"/>
  <c r="N373" i="1"/>
  <c r="G44" i="1"/>
  <c r="I363" i="1"/>
  <c r="F370" i="1" l="1"/>
  <c r="F59" i="1"/>
  <c r="F67" i="1" s="1"/>
  <c r="F71" i="1" s="1"/>
  <c r="F378" i="1"/>
  <c r="G378" i="1"/>
  <c r="G59" i="1"/>
  <c r="G67" i="1" s="1"/>
  <c r="G71" i="1" s="1"/>
  <c r="G370" i="1"/>
  <c r="F14" i="1"/>
  <c r="F366" i="1"/>
  <c r="G373" i="1" l="1"/>
  <c r="G83" i="1"/>
  <c r="G6" i="1"/>
  <c r="G372" i="1"/>
  <c r="F372" i="1"/>
  <c r="F373" i="1"/>
  <c r="F83" i="1"/>
  <c r="F6" i="1"/>
  <c r="G371" i="1" l="1"/>
  <c r="G365" i="1"/>
  <c r="F365" i="1"/>
  <c r="F371" i="1"/>
</calcChain>
</file>

<file path=xl/sharedStrings.xml><?xml version="1.0" encoding="utf-8"?>
<sst xmlns="http://schemas.openxmlformats.org/spreadsheetml/2006/main" count="845" uniqueCount="515">
  <si>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</si>
  <si>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</si>
  <si>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</si>
  <si>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</si>
  <si>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</si>
  <si>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</si>
  <si>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</si>
  <si>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</si>
  <si>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</si>
  <si>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</si>
  <si>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</si>
  <si>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</si>
  <si>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</si>
  <si>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</si>
  <si>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</si>
  <si>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</si>
  <si>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</si>
  <si>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</si>
  <si>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</si>
  <si>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</si>
  <si>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</si>
  <si>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</si>
  <si>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</si>
  <si>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</si>
  <si>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</si>
  <si>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</si>
  <si>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</si>
  <si>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</si>
  <si>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</si>
  <si>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</si>
  <si>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</si>
  <si>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</si>
  <si>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</si>
  <si>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</si>
  <si>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</si>
  <si>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</si>
  <si>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</si>
  <si>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</si>
  <si>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</si>
  <si>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</si>
  <si>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</si>
  <si>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</si>
  <si>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</si>
  <si>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</si>
  <si>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</si>
  <si>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</si>
  <si>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</si>
  <si>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</si>
  <si>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</si>
  <si>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</si>
  <si>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</si>
  <si>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</si>
  <si>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</si>
  <si>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</si>
  <si>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</si>
  <si>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</si>
  <si>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</si>
  <si>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</si>
  <si>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</si>
  <si>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</si>
  <si>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</si>
  <si>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</si>
  <si>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</si>
  <si>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</si>
  <si>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</si>
  <si>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</si>
  <si>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</si>
  <si>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</si>
  <si>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</si>
  <si>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</si>
  <si>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</si>
  <si>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</si>
  <si>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</si>
  <si>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</si>
  <si>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</si>
  <si>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</si>
  <si>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</si>
  <si>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</si>
  <si>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</si>
  <si>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</si>
  <si>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</si>
  <si>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</si>
  <si>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</si>
  <si>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</si>
  <si>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</si>
  <si>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</si>
  <si>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</si>
  <si>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</si>
  <si>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</si>
  <si>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</si>
  <si>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</si>
  <si>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</si>
  <si>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</si>
  <si>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</si>
  <si>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</si>
  <si>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</si>
  <si>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</si>
  <si>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</si>
  <si>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</si>
  <si>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</si>
  <si>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</si>
  <si>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</si>
  <si>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</si>
  <si>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</si>
  <si>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</si>
  <si>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</si>
  <si>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</si>
  <si>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</si>
  <si>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</si>
  <si>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</si>
  <si>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</si>
  <si>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</si>
  <si>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</si>
  <si>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</si>
  <si>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</si>
  <si>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</si>
  <si>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</si>
  <si>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</si>
  <si>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</si>
  <si>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</si>
  <si>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</si>
  <si>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</si>
  <si>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</si>
  <si>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</si>
  <si>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</si>
  <si>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</si>
  <si>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</si>
  <si>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</si>
  <si>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</si>
  <si>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</si>
  <si>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</si>
  <si>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</si>
  <si>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</si>
  <si>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</si>
  <si>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</si>
  <si>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</si>
  <si>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</si>
  <si>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</si>
  <si>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</si>
  <si>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</si>
  <si>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</si>
  <si>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</si>
  <si>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</si>
  <si>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</si>
  <si>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</si>
  <si>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</si>
  <si>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</si>
  <si>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</si>
  <si>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</si>
  <si>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</si>
  <si>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</si>
  <si>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</si>
  <si>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</si>
  <si>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</si>
  <si>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</si>
  <si>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</si>
  <si>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</si>
  <si>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</si>
  <si>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</si>
  <si>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</si>
  <si>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</si>
  <si>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</si>
  <si>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</si>
  <si>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</si>
  <si>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</si>
  <si>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</si>
  <si>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</si>
  <si>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</si>
  <si>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</si>
  <si>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</si>
  <si>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</si>
  <si>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</si>
  <si>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</si>
  <si>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</si>
  <si>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</si>
  <si>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</si>
  <si>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</si>
  <si>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</si>
  <si>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</si>
  <si>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</si>
  <si>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</si>
  <si>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</si>
  <si>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</si>
  <si>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</si>
  <si>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</si>
  <si>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</si>
  <si>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</si>
  <si>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</si>
  <si>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</si>
  <si>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</si>
  <si>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</si>
  <si>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</si>
  <si>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</si>
  <si>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</si>
  <si>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</si>
  <si>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</si>
  <si>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</si>
  <si>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</si>
  <si>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</si>
  <si>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</si>
  <si>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</si>
  <si>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</si>
  <si>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</si>
  <si>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</si>
  <si>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</si>
  <si>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</si>
  <si>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</si>
  <si>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</si>
  <si>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</si>
  <si>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</si>
  <si>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</si>
  <si>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</si>
  <si>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</si>
  <si>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</si>
  <si>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</si>
  <si>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</si>
  <si>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</si>
  <si>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</si>
  <si>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</si>
  <si>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</si>
  <si>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</si>
  <si>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</si>
  <si>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</si>
  <si>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</si>
  <si>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</si>
  <si>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</si>
  <si>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</si>
  <si>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</si>
  <si>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</si>
  <si>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</si>
  <si>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</si>
  <si>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</si>
  <si>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</si>
  <si>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</si>
  <si>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</si>
  <si>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</si>
  <si>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</si>
  <si>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</si>
  <si>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</si>
  <si>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</si>
  <si>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</si>
  <si>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</si>
  <si>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</si>
  <si>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</si>
  <si>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</si>
  <si>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</si>
  <si>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</si>
  <si>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</si>
  <si>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</si>
  <si>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</si>
  <si>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</si>
  <si>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</si>
  <si>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</si>
  <si>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</si>
  <si>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</si>
  <si>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</si>
  <si>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</si>
  <si>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</si>
  <si>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</si>
  <si>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</si>
  <si>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</si>
  <si>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</si>
  <si>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</si>
  <si>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</si>
  <si>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</si>
  <si>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</si>
  <si>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</si>
  <si>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</si>
  <si>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</si>
  <si>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</si>
  <si>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</si>
  <si>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</si>
  <si>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</si>
  <si>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</si>
  <si>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</si>
  <si>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</si>
  <si>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</si>
  <si>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</si>
  <si>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</si>
  <si>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</si>
  <si>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</si>
  <si>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</si>
  <si>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</si>
  <si>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</si>
  <si>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</si>
  <si>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</si>
  <si>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</si>
  <si>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</si>
  <si>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</si>
  <si>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</si>
  <si>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</si>
  <si>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</si>
  <si>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</si>
  <si>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</si>
  <si>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</si>
  <si>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</si>
  <si>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</si>
  <si>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</si>
  <si>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</si>
  <si>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</si>
  <si>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</si>
  <si>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</si>
  <si>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</si>
  <si>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</si>
  <si>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</si>
  <si>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</si>
  <si>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</si>
  <si>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</si>
  <si>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</si>
  <si>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</si>
  <si>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</si>
  <si>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</si>
  <si>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</si>
  <si>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</si>
  <si>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</si>
  <si>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</si>
  <si>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</si>
  <si>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</si>
  <si>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</si>
  <si>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</si>
  <si>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</si>
  <si>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</si>
  <si>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</si>
  <si>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</si>
  <si>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</si>
  <si>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</si>
  <si>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</si>
  <si>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</si>
  <si>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</si>
  <si>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</si>
  <si>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</si>
  <si>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</si>
  <si>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</si>
  <si>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</si>
  <si>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</si>
  <si>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</si>
  <si>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</si>
  <si>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</si>
  <si>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</si>
  <si>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</si>
  <si>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</si>
  <si>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</si>
  <si>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</si>
  <si>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</si>
  <si>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</si>
  <si>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</si>
  <si>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</si>
  <si>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</si>
  <si>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</si>
  <si>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</si>
  <si>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</si>
  <si>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</si>
  <si>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</si>
  <si>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</si>
  <si>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</si>
  <si>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</si>
  <si>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</si>
  <si>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</si>
  <si>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</si>
  <si>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</si>
  <si>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</si>
  <si>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</si>
  <si>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</si>
  <si>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</si>
  <si>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</si>
  <si>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</si>
  <si>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</si>
  <si>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</si>
  <si>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</si>
  <si>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</si>
  <si>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</si>
  <si>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</si>
  <si>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</si>
  <si>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</si>
  <si>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ASSETS</t>
  </si>
  <si>
    <t>Current assets:</t>
  </si>
  <si>
    <t>Cash and cash equivalents</t>
  </si>
  <si>
    <t>Trading securities - debt</t>
  </si>
  <si>
    <t>Trading securities - equity</t>
  </si>
  <si>
    <t>Accounts receivable</t>
  </si>
  <si>
    <t>Prepaid expenses and other current assets</t>
  </si>
  <si>
    <t>Total current assets</t>
  </si>
  <si>
    <t>Investment at fair value (1)</t>
  </si>
  <si>
    <t>Other investments(1)</t>
  </si>
  <si>
    <t>Patents, net of accumulated amortization</t>
  </si>
  <si>
    <t>Other Intangibles</t>
  </si>
  <si>
    <t>Other non-current assets</t>
  </si>
  <si>
    <t>LIABILITIES AND STOCKHOLDERS EQUITY</t>
  </si>
  <si>
    <t>Current liabilities:</t>
  </si>
  <si>
    <t>Accounts payable and accrued expenses</t>
  </si>
  <si>
    <t>Accruals</t>
  </si>
  <si>
    <t>Royalties and contingent legal fees payable</t>
  </si>
  <si>
    <t>Total current liabilities</t>
  </si>
  <si>
    <t>Other liabilities</t>
  </si>
  <si>
    <t>Total liabilities</t>
  </si>
  <si>
    <t>Commitments and contingencies (Note 10)</t>
  </si>
  <si>
    <t>Stockholders equity:</t>
  </si>
  <si>
    <t>Preferred stock, par value $0.001 per share; 10,000,000 shares authorized; no shares issued or outstanding</t>
  </si>
  <si>
    <t>Common stock, par value $0.001 per share; 100,000,000 shares authorized; 49,639,319 shares issued and outstanding as of December 31, 2018 and 50,639,926 shares issued and outstanding as of December 31, 2017</t>
  </si>
  <si>
    <t>Treasury stock, at cost, 2,919,828 and 1,729,408 shares as of December 31, 2018 and 2017</t>
  </si>
  <si>
    <t>Treasury Stock</t>
  </si>
  <si>
    <t>Additional paid-in capital</t>
  </si>
  <si>
    <t>Accumulated comprehensive loss</t>
  </si>
  <si>
    <t>Accumulated deficit</t>
  </si>
  <si>
    <t>Total Acacia Research Corporation stockholders equity</t>
  </si>
  <si>
    <t>Noncontrolling interests in operating subsidiaries</t>
  </si>
  <si>
    <t>Total stockholders equity</t>
  </si>
  <si>
    <t>Revenues</t>
  </si>
  <si>
    <t>Revenue</t>
  </si>
  <si>
    <t>Portfolio operations:</t>
  </si>
  <si>
    <t>Inventor royalties</t>
  </si>
  <si>
    <t>Contingent legal fees</t>
  </si>
  <si>
    <t>Patent acquisition expenses</t>
  </si>
  <si>
    <t>Litigation and licensing expenses - patents</t>
  </si>
  <si>
    <t>Amortization of patents</t>
  </si>
  <si>
    <t>Amortisation of assets</t>
  </si>
  <si>
    <t>Impairment of patent-related intangible assets</t>
  </si>
  <si>
    <t>Other portfolio expenses</t>
  </si>
  <si>
    <t>Total portfolio operations</t>
  </si>
  <si>
    <t>Net loss</t>
  </si>
  <si>
    <t>General and administrative expenses (including non-cash stock compensation expense (credit) of ($317) in 2018 and $8,885 in 2017)</t>
  </si>
  <si>
    <t>Operating loss</t>
  </si>
  <si>
    <t>Operating Loss</t>
  </si>
  <si>
    <t>Other income (expense):</t>
  </si>
  <si>
    <t>Change in fair value of investment, net (1)</t>
  </si>
  <si>
    <t>Loss on sale of investment(1)</t>
  </si>
  <si>
    <t>Gain on Disposals</t>
  </si>
  <si>
    <t>Gain on conversion of loans and accrued interest (1)</t>
  </si>
  <si>
    <t>Gain on exercise of Primary Warrant(1)</t>
  </si>
  <si>
    <t>Equity in losses of investee(1)</t>
  </si>
  <si>
    <t>Other income (expense)</t>
  </si>
  <si>
    <t>Interest income and other</t>
  </si>
  <si>
    <t>Other Income - Net profit (loss)</t>
  </si>
  <si>
    <t>Total other income (expense)</t>
  </si>
  <si>
    <t>Income (loss) from operations before provision for income taxes</t>
  </si>
  <si>
    <t>Profit before Zakat and Income tax</t>
  </si>
  <si>
    <t>Provision for income taxes</t>
  </si>
  <si>
    <t>Net income (loss) including noncontrolling interests in subsidiaries</t>
  </si>
  <si>
    <t>Net (income) loss attributable to noncontrolling interests in subsidiaries</t>
  </si>
  <si>
    <t>Net income (loss) attributable to Acacia Research Corporation</t>
  </si>
  <si>
    <t>Net income (loss) attributable to common stockholders - basic and diluted</t>
  </si>
  <si>
    <t>Share of profit or loss from associates, JVs</t>
  </si>
  <si>
    <t>Basic and diluted income (loss) per common share</t>
  </si>
  <si>
    <t>Weighted-average number of shares outstanding, basic</t>
  </si>
  <si>
    <t>ACACIA RESEARCH CORPORATION</t>
  </si>
  <si>
    <t>(In thousands)</t>
  </si>
  <si>
    <t>Other comprehensive income (loss):</t>
  </si>
  <si>
    <t>Total Other Comprehensive Income</t>
  </si>
  <si>
    <t>Unrealized gain (loss) on short-term investments, net of tax of $0</t>
  </si>
  <si>
    <t>Unrealized gain (loss) on foreign currency translation, net of tax of $0</t>
  </si>
  <si>
    <t>Add: reclassification adjustment for (gains) losses included in net income (loss)</t>
  </si>
  <si>
    <t>Total other comprehensive income (loss)</t>
  </si>
  <si>
    <t>Total Other Comprehensive Income (Loss)</t>
  </si>
  <si>
    <t>Comprehensive income (loss) attributable to noncontrolling interests</t>
  </si>
  <si>
    <t>Comprehensive income (loss) attributable to Acacia Research Corporation</t>
  </si>
  <si>
    <t>Cash flows from operating activities:</t>
  </si>
  <si>
    <t>Operating Activities</t>
  </si>
  <si>
    <t>Adjustments to reconcile net income (loss) including noncontrolling interests in subsidiaries to net cash</t>
  </si>
  <si>
    <t>provided by operating activities:</t>
  </si>
  <si>
    <t>Gain on conversion of loans and accrued interest</t>
  </si>
  <si>
    <t>Gain on exercise of Primary Warrant</t>
  </si>
  <si>
    <t>Change in fair value of investment, net</t>
  </si>
  <si>
    <t>Loss on sale of investment</t>
  </si>
  <si>
    <t>Depreciation and amortization</t>
  </si>
  <si>
    <t>Non-cash stock compensation</t>
  </si>
  <si>
    <t>Other</t>
  </si>
  <si>
    <t>Changes in assets and liabilities:</t>
  </si>
  <si>
    <t>Prepaid expenses and other assets</t>
  </si>
  <si>
    <t>Net cash provided by operating activities</t>
  </si>
  <si>
    <t>Cash flows from investing activities:</t>
  </si>
  <si>
    <t>Investing Activities</t>
  </si>
  <si>
    <t>Investment in Investees</t>
  </si>
  <si>
    <t>Sale of investment</t>
  </si>
  <si>
    <t>Advances to Investee (Note 6)</t>
  </si>
  <si>
    <t>Purchases of property and equipment</t>
  </si>
  <si>
    <t>Purchases of short-term investments</t>
  </si>
  <si>
    <t>Sales and maturities of short-term investments</t>
  </si>
  <si>
    <t>Net cash used in investing activities</t>
  </si>
  <si>
    <t>Cash flows from financing activities:</t>
  </si>
  <si>
    <t>Financing Activities</t>
  </si>
  <si>
    <t>Repurchase of common stock</t>
  </si>
  <si>
    <t>Proceeds from the exercise of stock options</t>
  </si>
  <si>
    <t>Repurchases of restricted common stock</t>
  </si>
  <si>
    <t>Net cash provided by (used in) financing activities</t>
  </si>
  <si>
    <t>Decrease in cash and cash equivalents</t>
  </si>
  <si>
    <t>Cash and cash equivalents and restricted cash, beginning</t>
  </si>
  <si>
    <t>Cash and cash equivalents at beginning of period</t>
  </si>
  <si>
    <t>Original Line Item in the pdf</t>
  </si>
  <si>
    <t>Line item in the accounts Tamplate into which Originalline item is mapped</t>
  </si>
  <si>
    <t>Sign</t>
  </si>
  <si>
    <t xml:space="preserve">Person mapping </t>
  </si>
  <si>
    <t>Niyoshi Aithal</t>
  </si>
  <si>
    <t>inventor royalties</t>
  </si>
  <si>
    <t>salaries and wages</t>
  </si>
  <si>
    <t>contingent legal fees</t>
  </si>
  <si>
    <t>other operating expenses</t>
  </si>
  <si>
    <t>patent acquisition expenses</t>
  </si>
  <si>
    <t>litigation and licensing expenses - patents</t>
  </si>
  <si>
    <t>amortization of patents</t>
  </si>
  <si>
    <t>amortisation</t>
  </si>
  <si>
    <t>impairment of patent-related intangible assets</t>
  </si>
  <si>
    <t>impairment</t>
  </si>
  <si>
    <t>other portfolio expenses</t>
  </si>
  <si>
    <t>administrative expenses</t>
  </si>
  <si>
    <t>general and administrative expenses</t>
  </si>
  <si>
    <t>Equity in losses of investee</t>
  </si>
  <si>
    <t>nterest income and other</t>
  </si>
  <si>
    <t>other income (expenses)</t>
  </si>
  <si>
    <t>current taxation</t>
  </si>
  <si>
    <t>provision for income taxes</t>
  </si>
  <si>
    <t>minority interest</t>
  </si>
  <si>
    <t>long term investments</t>
  </si>
  <si>
    <t>investment at fair value</t>
  </si>
  <si>
    <t>other investments</t>
  </si>
  <si>
    <t>other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</si>
</sst>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3" fontId="0" fillId="0" borderId="0"/>
    <xf numFmtId="9" fontId="5" fillId="0" borderId="0"/>
  </cellStyleXfs>
  <cellXfs count="46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0" applyFont="1" applyAlignment="1">
      <alignment horizontal="center" vertical="center" wrapText="1"/>
    </xf>
    <xf numFmtId="3" fontId="4" fillId="0" borderId="0" xfId="0" applyFont="1"/>
    <xf numFmtId="3" fontId="4" fillId="0" borderId="0" xfId="0" applyFont="1" applyAlignment="1">
      <alignment horizontal="center" vertical="center"/>
    </xf>
    <xf numFmtId="3" fontId="4" fillId="0" borderId="0" xfId="0" applyFont="1" applyAlignment="1">
      <alignment horizontal="center"/>
    </xf>
    <xf numFmtId="3" fontId="0" fillId="0" borderId="0" xfId="0" applyAlignment="1">
      <alignment horizontal="center"/>
    </xf>
    <xf numFmtId="3" fontId="0" fillId="12" borderId="0" xfId="0" applyFill="1"/>
    <xf numFmtId="3" fontId="0" fillId="13" borderId="0" xfId="0" applyFill="1"/>
  </cellXfs>
  <cellStyles count="2">
    <cellStyle name="Normal" xfId="0" builtinId="0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E10-4E73-BC21-0F48060A907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453-426A-8F64-8C742D4BD0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162-41ED-B1B2-90A00C0EF17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9E2-4766-ADBD-146AB492D6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B21-4D65-A69E-7BE4EC4A0C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F51-4D14-BC8E-E45B36CC89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BD9-4D4B-9832-D4C646F935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198-4835-A16C-411BEEFB39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662-497F-8748-60AA8F2315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B45-4659-9EED-53150190E7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CEA-4F82-9FE3-BE4288D95F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348-45CF-BA3A-7F4840926C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5F5-47DC-A1C2-EFEE15DF85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30D-471E-ADB8-B9DAFD4DE7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215-4E58-B166-99AF0B7167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zoomScale="110" zoomScaleNormal="110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43.5703125" style="1" customWidth="1"/>
    <col min="6" max="7" width="14.7109375" style="38" customWidth="1"/>
    <col min="8" max="15" width="0" hidden="1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-105029</v>
      </c>
      <c r="G6" s="7">
        <f t="shared" ref="G6:O6" si="1">IF(G4=$BF$1,"",G71)</f>
        <v>22180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22477</v>
      </c>
      <c r="G7" s="7">
        <f t="shared" ref="G7:O7" si="2">IF(G4=$BF$1,"",G128)</f>
        <v>169073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201472</v>
      </c>
      <c r="G8" s="7">
        <f t="shared" ref="G8:O8" si="3">IF(G4=$BF$1,"",G161)</f>
        <v>139695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31035</v>
      </c>
      <c r="G9" s="7">
        <f t="shared" ref="G9:O9" si="4">IF(G4=$BF$1,"",G189)</f>
        <v>9557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1674</v>
      </c>
      <c r="G10" s="7">
        <f t="shared" ref="G10:O10" si="5">IF(G4=$BF$1,"",G210)</f>
        <v>3552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191240</v>
      </c>
      <c r="G11" s="7">
        <f t="shared" ref="G11:O11" si="6">IF(G4=$BF$1,"",G227)</f>
        <v>295659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223949</v>
      </c>
      <c r="G12" s="35">
        <f t="shared" ref="G12:O12" si="7">IF(G4=$BF$1,"",SUM(G7:G8))</f>
        <v>308768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223949</v>
      </c>
      <c r="G13" s="35">
        <f t="shared" ref="G13:O13" si="8">IF(G4=$BF$1,"",SUM(G9:G11))</f>
        <v>308768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v>131506</v>
      </c>
      <c r="G24">
        <v>65402</v>
      </c>
    </row>
    <row r="25" spans="5:16">
      <c r="E25" s="1" t="s">
        <v>27</v>
      </c>
      <c r="F25"/>
      <c r="G25"/>
      <c r="P25" s="44"/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131506</v>
      </c>
      <c r="G30" s="7">
        <f>IF(G4=$BF$1,"",G24-G25+ABS(G26)-G27-G28-G29)</f>
        <v>65402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6">
      <c r="E31" s="12" t="s">
        <v>33</v>
      </c>
    </row>
    <row r="32" spans="5:16">
      <c r="E32" s="1" t="s">
        <v>34</v>
      </c>
      <c r="F32" s="38">
        <v>35168</v>
      </c>
      <c r="G32" s="38">
        <v>4952</v>
      </c>
      <c r="P32" s="44"/>
    </row>
    <row r="33" spans="5:16">
      <c r="E33" s="1" t="s">
        <v>35</v>
      </c>
    </row>
    <row r="34" spans="5:16">
      <c r="E34" s="1" t="s">
        <v>36</v>
      </c>
      <c r="F34">
        <v>18850</v>
      </c>
      <c r="G34">
        <v>27219</v>
      </c>
      <c r="P34" s="44"/>
    </row>
    <row r="35" spans="5:16">
      <c r="E35" s="1" t="s">
        <v>37</v>
      </c>
    </row>
    <row r="36" spans="5:16">
      <c r="E36" s="1" t="s">
        <v>38</v>
      </c>
      <c r="F36">
        <f>31501+4000+8866+2602</f>
        <v>46969</v>
      </c>
      <c r="G36">
        <f>16682+18219+1200</f>
        <v>36101</v>
      </c>
      <c r="P36" s="44"/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  <c r="F41">
        <v>27120</v>
      </c>
      <c r="G41">
        <v>22154</v>
      </c>
    </row>
    <row r="42" spans="5:16">
      <c r="E42" s="1" t="s">
        <v>44</v>
      </c>
      <c r="F42">
        <v>28210</v>
      </c>
      <c r="G42">
        <v>2248</v>
      </c>
    </row>
    <row r="43" spans="5:16">
      <c r="E43" s="6" t="s">
        <v>45</v>
      </c>
      <c r="F43" s="7">
        <f>F32+F33+F34+F35+F36+F37+F38+F39+F40+F41+F42</f>
        <v>156317</v>
      </c>
      <c r="G43" s="7">
        <f>G32+G33+G34+G35+G36+G37+G38+G39+G40+G41+G42</f>
        <v>92674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45"/>
    </row>
    <row r="44" spans="5:16">
      <c r="E44" s="6" t="s">
        <v>46</v>
      </c>
      <c r="F44" s="7">
        <f>F30+F31-F43</f>
        <v>-24811</v>
      </c>
      <c r="G44" s="7">
        <f>IF(G4=$BF$1,"",G30+G31-G43)</f>
        <v>-27272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45"/>
    </row>
    <row r="45" spans="5:16">
      <c r="E45" s="1" t="s">
        <v>47</v>
      </c>
      <c r="F45"/>
      <c r="G45"/>
      <c r="P45" s="44"/>
    </row>
    <row r="46" spans="5:16">
      <c r="E46" s="1" t="s">
        <v>48</v>
      </c>
      <c r="F46">
        <v>0</v>
      </c>
      <c r="G46">
        <f>2671+4616</f>
        <v>7287</v>
      </c>
      <c r="P46" s="44"/>
    </row>
    <row r="47" spans="5:16">
      <c r="E47" s="1" t="s">
        <v>49</v>
      </c>
    </row>
    <row r="48" spans="5:16">
      <c r="E48" s="1" t="s">
        <v>50</v>
      </c>
      <c r="F48" s="38">
        <v>969</v>
      </c>
      <c r="G48" s="38">
        <v>1605</v>
      </c>
      <c r="P48" s="44"/>
    </row>
    <row r="49" spans="5:16">
      <c r="E49" s="1" t="s">
        <v>51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 s="38">
        <f>-59103-19095</f>
        <v>-78198</v>
      </c>
      <c r="G52" s="38">
        <v>42239</v>
      </c>
      <c r="P52" s="44"/>
    </row>
    <row r="53" spans="5:16">
      <c r="E53" s="1" t="s">
        <v>55</v>
      </c>
    </row>
    <row r="54" spans="5:16">
      <c r="E54" s="1" t="s">
        <v>56</v>
      </c>
      <c r="F54">
        <v>-1629</v>
      </c>
      <c r="G54">
        <v>1000</v>
      </c>
      <c r="P54" s="44"/>
    </row>
    <row r="55" spans="5:16">
      <c r="E55" s="1" t="s">
        <v>57</v>
      </c>
    </row>
    <row r="56" spans="5:16">
      <c r="E56" s="1" t="s">
        <v>58</v>
      </c>
      <c r="G56" s="38">
        <v>220</v>
      </c>
      <c r="P56" s="44"/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-103669</v>
      </c>
      <c r="G59" s="7">
        <f>IF(G4=$BF$1,"",G44+G45+G46+G47+G48-G49-G50-G51+G52-G53+G54+G55-G56+G57+G58)</f>
        <v>24639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5"/>
    </row>
    <row r="60" spans="5:16">
      <c r="E60" s="1" t="s">
        <v>62</v>
      </c>
      <c r="F60">
        <v>1179</v>
      </c>
      <c r="G60">
        <v>2955</v>
      </c>
      <c r="P60" s="44"/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-104848</v>
      </c>
      <c r="G67" s="7">
        <f>IF(G4=$BF$1,"",SUM(G59,-G60,-ABS(G61),-G62,-G66))</f>
        <v>21684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45"/>
    </row>
    <row r="68" spans="5:16">
      <c r="E68" s="1" t="s">
        <v>67</v>
      </c>
      <c r="F68">
        <v>-181</v>
      </c>
      <c r="G68">
        <v>496</v>
      </c>
      <c r="P68" s="44"/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-105029</v>
      </c>
      <c r="G71" s="7">
        <f t="shared" ref="G71:O71" si="14">IF(G4=$BF$1,"",SUM(G67:G70))</f>
        <v>22180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  <c r="P71" s="45"/>
    </row>
    <row r="72" spans="5:16">
      <c r="E72" s="12"/>
    </row>
    <row r="74" spans="5:16">
      <c r="E74" s="1" t="s">
        <v>71</v>
      </c>
    </row>
    <row r="75" spans="5:16">
      <c r="E75" s="1" t="s">
        <v>72</v>
      </c>
      <c r="F75"/>
      <c r="G75"/>
      <c r="P75" s="44"/>
    </row>
    <row r="76" spans="5:16">
      <c r="E76" s="1" t="s">
        <v>73</v>
      </c>
    </row>
    <row r="77" spans="5:16">
      <c r="E77" s="1" t="s">
        <v>74</v>
      </c>
    </row>
    <row r="81" spans="5:15">
      <c r="E81" s="1" t="s">
        <v>75</v>
      </c>
    </row>
    <row r="82" spans="5:15">
      <c r="E82" s="1" t="s">
        <v>76</v>
      </c>
    </row>
    <row r="83" spans="5:15">
      <c r="E83" s="6" t="s">
        <v>77</v>
      </c>
      <c r="F83" s="7">
        <f>SUM(F71:F82)</f>
        <v>-105029</v>
      </c>
      <c r="G83" s="7">
        <f t="shared" ref="G83:O83" si="15">IF(G4=$BF$1,"",SUM(G71:G82))</f>
        <v>22180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5">
      <c r="E84" s="1" t="s">
        <v>78</v>
      </c>
    </row>
    <row r="85" spans="5:15">
      <c r="E85" s="1" t="s">
        <v>79</v>
      </c>
    </row>
    <row r="88" spans="5:15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5">
      <c r="E89" s="1" t="s">
        <v>81</v>
      </c>
    </row>
    <row r="90" spans="5:15">
      <c r="E90" s="1" t="s">
        <v>82</v>
      </c>
    </row>
    <row r="91" spans="5:15">
      <c r="E91" s="1" t="s">
        <v>83</v>
      </c>
    </row>
    <row r="92" spans="5:15">
      <c r="E92" s="12" t="s">
        <v>84</v>
      </c>
    </row>
    <row r="93" spans="5:15">
      <c r="E93" s="1" t="s">
        <v>85</v>
      </c>
    </row>
    <row r="94" spans="5:15">
      <c r="E94" s="1" t="s">
        <v>86</v>
      </c>
    </row>
    <row r="95" spans="5:15">
      <c r="E95" s="1" t="s">
        <v>87</v>
      </c>
    </row>
    <row r="96" spans="5:15">
      <c r="E96" s="12"/>
    </row>
    <row r="98" spans="5:15">
      <c r="E98" s="6" t="s">
        <v>88</v>
      </c>
      <c r="F98" s="7">
        <f>F89+F90+F91+F92+F93+F94+F95+F96</f>
        <v>0</v>
      </c>
      <c r="G98" s="7">
        <f>IF(G4=$BF$1,"",G89+G90+G91+G92+G93+G94+G95+G96)</f>
        <v>0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</row>
    <row r="99" spans="5:15">
      <c r="E99" s="1" t="s">
        <v>89</v>
      </c>
    </row>
    <row r="100" spans="5:15">
      <c r="E100" s="6" t="s">
        <v>90</v>
      </c>
      <c r="F100" s="7">
        <f>F98+F99</f>
        <v>0</v>
      </c>
      <c r="G100" s="7">
        <f t="shared" ref="G100:O100" si="17">IF(G4=$BF$1,"",G98+G99)</f>
        <v>0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</row>
    <row r="101" spans="5:15">
      <c r="E101" s="1" t="s">
        <v>91</v>
      </c>
    </row>
    <row r="102" spans="5:15">
      <c r="E102" s="1" t="s">
        <v>92</v>
      </c>
      <c r="F102">
        <v>6587</v>
      </c>
      <c r="G102">
        <v>61917</v>
      </c>
    </row>
    <row r="103" spans="5:15">
      <c r="E103" s="1" t="s">
        <v>93</v>
      </c>
    </row>
    <row r="104" spans="5:15">
      <c r="E104" s="6" t="s">
        <v>94</v>
      </c>
      <c r="F104" s="7">
        <f>F101+F102+F103</f>
        <v>6587</v>
      </c>
      <c r="G104" s="7">
        <f t="shared" ref="G104:O104" si="18">IF(G4=$BF$1,"",G101+G102+G103)</f>
        <v>61917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5">
      <c r="E105" s="1" t="s">
        <v>95</v>
      </c>
    </row>
    <row r="106" spans="5:15">
      <c r="E106" s="1" t="s">
        <v>96</v>
      </c>
    </row>
    <row r="107" spans="5:15">
      <c r="E107" s="1" t="s">
        <v>97</v>
      </c>
    </row>
    <row r="108" spans="5:15">
      <c r="E108" s="1" t="s">
        <v>98</v>
      </c>
    </row>
    <row r="109" spans="5:15">
      <c r="E109" s="1" t="s">
        <v>99</v>
      </c>
    </row>
    <row r="110" spans="5:15">
      <c r="E110" s="1" t="s">
        <v>100</v>
      </c>
    </row>
    <row r="111" spans="5:15">
      <c r="E111" s="1" t="s">
        <v>101</v>
      </c>
    </row>
    <row r="112" spans="5:15">
      <c r="E112" s="1" t="s">
        <v>102</v>
      </c>
    </row>
    <row r="113" spans="5:16">
      <c r="E113" s="1" t="s">
        <v>103</v>
      </c>
      <c r="F113">
        <f>8195+7459</f>
        <v>15654</v>
      </c>
      <c r="G113">
        <f>2195+104754</f>
        <v>106949</v>
      </c>
      <c r="P113" s="44"/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 ht="25.5">
      <c r="E118" s="1" t="s">
        <v>108</v>
      </c>
    </row>
    <row r="122" spans="5:16" ht="25.5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  <c r="F125">
        <v>236</v>
      </c>
      <c r="G125">
        <v>207</v>
      </c>
    </row>
    <row r="126" spans="5:16">
      <c r="E126" s="1" t="s">
        <v>113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22477</v>
      </c>
      <c r="G128" s="7">
        <f t="shared" ref="G128:O128" si="19">IF(G4=$BF$1,"",G100+SUM(G104:G126))</f>
        <v>169073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45"/>
    </row>
    <row r="129" spans="5:15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5">
      <c r="E130" s="1" t="s">
        <v>117</v>
      </c>
      <c r="F130">
        <v>128809</v>
      </c>
      <c r="G130">
        <v>136604</v>
      </c>
    </row>
    <row r="131" spans="5:15">
      <c r="E131" s="1" t="s">
        <v>118</v>
      </c>
      <c r="F131">
        <v>36654</v>
      </c>
      <c r="G131">
        <v>0</v>
      </c>
    </row>
    <row r="132" spans="5:15">
      <c r="E132" s="1" t="s">
        <v>119</v>
      </c>
    </row>
    <row r="133" spans="5:15">
      <c r="E133" s="1" t="s">
        <v>120</v>
      </c>
    </row>
    <row r="134" spans="5:15">
      <c r="E134" s="1" t="s">
        <v>95</v>
      </c>
    </row>
    <row r="135" spans="5:15">
      <c r="E135" s="1" t="s">
        <v>96</v>
      </c>
    </row>
    <row r="136" spans="5:15">
      <c r="E136" s="1" t="s">
        <v>121</v>
      </c>
    </row>
    <row r="140" spans="5:15">
      <c r="E140" s="6" t="s">
        <v>122</v>
      </c>
      <c r="F140" s="7">
        <f>F130+F131+F132+F133+F134+F135+F136+F139</f>
        <v>165463</v>
      </c>
      <c r="G140" s="7">
        <f t="shared" ref="G140:O140" si="20">IF(G4=$BF$1,"",G130+G131+G132+G133+G134+G135+G136+G139)</f>
        <v>136604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5">
      <c r="E141" s="1" t="s">
        <v>123</v>
      </c>
    </row>
    <row r="142" spans="5:15">
      <c r="E142" s="1" t="s">
        <v>124</v>
      </c>
    </row>
    <row r="143" spans="5:15">
      <c r="E143" s="1" t="s">
        <v>125</v>
      </c>
    </row>
    <row r="144" spans="5:15">
      <c r="E144" s="1" t="s">
        <v>126</v>
      </c>
    </row>
    <row r="145" spans="5:15">
      <c r="E145" s="6" t="s">
        <v>127</v>
      </c>
      <c r="F145" s="7">
        <f>F141+F142+F143+F144</f>
        <v>0</v>
      </c>
      <c r="G145" s="7">
        <f t="shared" ref="G145:O145" si="21">IF(G4=$BF$1,"",G141+G142+G143+G144)</f>
        <v>0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5">
      <c r="E146" s="1" t="s">
        <v>128</v>
      </c>
    </row>
    <row r="147" spans="5:15">
      <c r="E147" s="1" t="s">
        <v>129</v>
      </c>
    </row>
    <row r="148" spans="5:15">
      <c r="E148" s="1" t="s">
        <v>130</v>
      </c>
    </row>
    <row r="149" spans="5:15">
      <c r="E149" s="1" t="s">
        <v>131</v>
      </c>
    </row>
    <row r="150" spans="5:15">
      <c r="E150" s="1" t="s">
        <v>132</v>
      </c>
    </row>
    <row r="151" spans="5:15">
      <c r="E151" s="1" t="s">
        <v>133</v>
      </c>
    </row>
    <row r="154" spans="5:15">
      <c r="E154" s="12" t="s">
        <v>134</v>
      </c>
      <c r="F154">
        <v>3125</v>
      </c>
      <c r="G154">
        <v>2938</v>
      </c>
    </row>
    <row r="155" spans="5:15">
      <c r="E155" s="1" t="s">
        <v>135</v>
      </c>
    </row>
    <row r="156" spans="5:15">
      <c r="E156" s="12" t="s">
        <v>136</v>
      </c>
    </row>
    <row r="157" spans="5:15">
      <c r="E157" s="12" t="s">
        <v>137</v>
      </c>
      <c r="F157">
        <v>32884</v>
      </c>
      <c r="G157">
        <v>153</v>
      </c>
    </row>
    <row r="158" spans="5:15">
      <c r="E158" s="1" t="s">
        <v>138</v>
      </c>
    </row>
    <row r="159" spans="5:15">
      <c r="E159" s="1" t="s">
        <v>139</v>
      </c>
    </row>
    <row r="160" spans="5:15">
      <c r="E160" s="6" t="s">
        <v>140</v>
      </c>
      <c r="F160" s="7">
        <f>F146+F147+F148+F149+F150+F151+F152+F153+F154+F155+F156+F157+F158+F159</f>
        <v>36009</v>
      </c>
      <c r="G160" s="7">
        <f>IF(G4=$BF$1,"",G146+G147+G148+G149+G150+G151+G152+G153+G154+G155+G156+G157+G158+G159)</f>
        <v>3091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201472</v>
      </c>
      <c r="G161" s="7">
        <f t="shared" ref="G161:O161" si="22">IF(G4=$BF$1,"",G140+G145+G160)</f>
        <v>139695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5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</row>
    <row r="173" spans="5:16">
      <c r="E173" s="1" t="s">
        <v>152</v>
      </c>
    </row>
    <row r="174" spans="5:16" ht="25.5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>
        <v>8347</v>
      </c>
      <c r="G184">
        <v>7956</v>
      </c>
    </row>
    <row r="185" spans="5:16">
      <c r="E185" s="12" t="s">
        <v>162</v>
      </c>
    </row>
    <row r="187" spans="5:16">
      <c r="E187" s="1" t="s">
        <v>163</v>
      </c>
      <c r="F187">
        <v>22688</v>
      </c>
      <c r="G187">
        <v>1601</v>
      </c>
    </row>
    <row r="188" spans="5:16">
      <c r="E188" s="1" t="s">
        <v>164</v>
      </c>
      <c r="F188"/>
      <c r="G188"/>
      <c r="P188" s="44"/>
    </row>
    <row r="189" spans="5:16">
      <c r="E189" s="6" t="s">
        <v>13</v>
      </c>
      <c r="F189" s="7">
        <f>SUM(F163:F188)</f>
        <v>31035</v>
      </c>
      <c r="G189" s="7">
        <f t="shared" ref="G189:O189" si="23">IF(G4=$BF$1,"",SUM(G163:G188))</f>
        <v>9557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5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5">
      <c r="E193" s="1" t="s">
        <v>168</v>
      </c>
    </row>
    <row r="194" spans="5:5">
      <c r="E194" s="1" t="s">
        <v>169</v>
      </c>
    </row>
    <row r="195" spans="5:5">
      <c r="E195" s="1" t="s">
        <v>170</v>
      </c>
    </row>
    <row r="196" spans="5:5">
      <c r="E196" s="1" t="s">
        <v>171</v>
      </c>
    </row>
    <row r="197" spans="5:5">
      <c r="E197" s="1" t="s">
        <v>172</v>
      </c>
    </row>
    <row r="198" spans="5:5">
      <c r="E198" s="1" t="s">
        <v>173</v>
      </c>
    </row>
    <row r="199" spans="5:5" ht="25.5">
      <c r="E199" s="1" t="s">
        <v>174</v>
      </c>
    </row>
    <row r="200" spans="5:5">
      <c r="E200" s="1" t="s">
        <v>175</v>
      </c>
    </row>
    <row r="201" spans="5:5">
      <c r="E201" s="1" t="s">
        <v>176</v>
      </c>
    </row>
    <row r="202" spans="5:5">
      <c r="E202" s="1" t="s">
        <v>177</v>
      </c>
    </row>
    <row r="203" spans="5:5">
      <c r="E203" s="1" t="s">
        <v>178</v>
      </c>
    </row>
    <row r="204" spans="5:5">
      <c r="E204" s="1" t="s">
        <v>55</v>
      </c>
    </row>
    <row r="205" spans="5:5">
      <c r="E205" s="1" t="s">
        <v>67</v>
      </c>
    </row>
    <row r="206" spans="5:5">
      <c r="E206" s="12" t="s">
        <v>179</v>
      </c>
    </row>
    <row r="209" spans="5:16">
      <c r="E209" s="1" t="s">
        <v>180</v>
      </c>
      <c r="F209">
        <v>1674</v>
      </c>
      <c r="G209">
        <v>3552</v>
      </c>
      <c r="P209" s="44"/>
    </row>
    <row r="210" spans="5:16">
      <c r="E210" s="6" t="s">
        <v>14</v>
      </c>
      <c r="F210" s="7">
        <f>SUM(F191:F209)</f>
        <v>1674</v>
      </c>
      <c r="G210" s="7">
        <f t="shared" ref="G210:O210" si="24">IF(G4=$BF$1,"",SUM(G191:G209))</f>
        <v>3552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45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v>651206</v>
      </c>
      <c r="G212">
        <v>649047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-422541</v>
      </c>
      <c r="G217">
        <v>-320018</v>
      </c>
    </row>
    <row r="218" spans="5:16">
      <c r="E218" s="1" t="s">
        <v>188</v>
      </c>
    </row>
    <row r="219" spans="5:16">
      <c r="E219" s="1" t="s">
        <v>189</v>
      </c>
      <c r="F219">
        <v>0</v>
      </c>
      <c r="G219">
        <v>-88</v>
      </c>
    </row>
    <row r="220" spans="5:16">
      <c r="E220" s="1" t="s">
        <v>190</v>
      </c>
    </row>
    <row r="221" spans="5:16">
      <c r="E221" s="1" t="s">
        <v>67</v>
      </c>
      <c r="F221">
        <v>1847</v>
      </c>
      <c r="G221">
        <v>1358</v>
      </c>
    </row>
    <row r="222" spans="5:16">
      <c r="E222" s="1" t="s">
        <v>191</v>
      </c>
    </row>
    <row r="223" spans="5:16">
      <c r="E223" s="1" t="s">
        <v>192</v>
      </c>
      <c r="F223">
        <v>-39272</v>
      </c>
      <c r="G223">
        <v>-34640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191240</v>
      </c>
      <c r="G227" s="7">
        <f t="shared" ref="G227:O227" si="25">IF(G4=$BF$1,"",SUM(G212:G226))</f>
        <v>295659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5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/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-104848</v>
      </c>
      <c r="G267">
        <v>21684</v>
      </c>
    </row>
    <row r="268" spans="5:15">
      <c r="E268" s="1" t="s">
        <v>233</v>
      </c>
    </row>
    <row r="269" spans="5:15" ht="25.5">
      <c r="E269" s="1" t="s">
        <v>234</v>
      </c>
    </row>
    <row r="270" spans="5:15" ht="25.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27145</v>
      </c>
      <c r="G271">
        <v>22243</v>
      </c>
    </row>
    <row r="272" spans="5:15">
      <c r="E272" s="1" t="s">
        <v>237</v>
      </c>
    </row>
    <row r="273" spans="5:7" ht="25.5" customHeight="1">
      <c r="E273" s="1" t="s">
        <v>238</v>
      </c>
    </row>
    <row r="274" spans="5:7">
      <c r="E274" s="1" t="s">
        <v>239</v>
      </c>
    </row>
    <row r="275" spans="5:7" ht="25.5" customHeight="1">
      <c r="E275" s="1" t="s">
        <v>240</v>
      </c>
      <c r="F275">
        <v>28210</v>
      </c>
      <c r="G275">
        <v>2248</v>
      </c>
    </row>
    <row r="276" spans="5:7">
      <c r="E276" s="1" t="s">
        <v>241</v>
      </c>
      <c r="F276">
        <v>59103</v>
      </c>
      <c r="G276">
        <v>-49526</v>
      </c>
    </row>
    <row r="277" spans="5:7" ht="25.5" customHeight="1">
      <c r="E277" s="1" t="s">
        <v>242</v>
      </c>
    </row>
    <row r="278" spans="5:7">
      <c r="E278" s="1" t="s">
        <v>243</v>
      </c>
    </row>
    <row r="279" spans="5:7">
      <c r="E279" s="1" t="s">
        <v>244</v>
      </c>
      <c r="F279">
        <v>19095</v>
      </c>
      <c r="G279">
        <v>0</v>
      </c>
    </row>
    <row r="280" spans="5:7" ht="25.5" customHeight="1">
      <c r="E280" s="1" t="s">
        <v>245</v>
      </c>
    </row>
    <row r="281" spans="5:7" ht="25.5" customHeight="1">
      <c r="E281" s="1" t="s">
        <v>246</v>
      </c>
    </row>
    <row r="284" spans="5:7">
      <c r="E284" s="1" t="s">
        <v>247</v>
      </c>
    </row>
    <row r="285" spans="5:7" ht="25.5">
      <c r="E285" s="1" t="s">
        <v>248</v>
      </c>
      <c r="F285">
        <v>-317</v>
      </c>
      <c r="G285">
        <v>8885</v>
      </c>
    </row>
    <row r="286" spans="5:7" ht="25.5" customHeight="1">
      <c r="E286" s="1" t="s">
        <v>249</v>
      </c>
    </row>
    <row r="287" spans="5:7">
      <c r="E287" s="1" t="s">
        <v>250</v>
      </c>
    </row>
    <row r="288" spans="5:7">
      <c r="E288" s="1" t="s">
        <v>251</v>
      </c>
      <c r="F288">
        <v>564</v>
      </c>
      <c r="G288">
        <v>-374</v>
      </c>
    </row>
    <row r="289" spans="5:15">
      <c r="E289" s="12" t="s">
        <v>252</v>
      </c>
    </row>
    <row r="290" spans="5:15">
      <c r="E290" s="12" t="s">
        <v>253</v>
      </c>
    </row>
    <row r="291" spans="5:15" ht="25.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133800</v>
      </c>
      <c r="G296" s="7">
        <f>IF(G4=$BF$1,"",G271+G272+G273+G274+G275+G276+G277+G278+G279+G280+G281+G282+G283+G284+G285+G286+G287+G288+G289+G290+G291+G292+G293+G294+G295)</f>
        <v>-16524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 ht="25.5">
      <c r="E297" s="6" t="s">
        <v>259</v>
      </c>
      <c r="F297" s="7">
        <f>MIN(F267,F268,F269)+F296</f>
        <v>28952</v>
      </c>
      <c r="G297" s="7">
        <f t="shared" ref="G297:O297" si="27">IF(G4=$BF$1,"",MIN(F267,F268,F269)+F296)</f>
        <v>28952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</row>
    <row r="300" spans="5:15" ht="25.5">
      <c r="E300" s="1" t="s">
        <v>262</v>
      </c>
    </row>
    <row r="301" spans="5:15" ht="25.5">
      <c r="E301" s="1" t="s">
        <v>263</v>
      </c>
    </row>
    <row r="302" spans="5:15" ht="25.5" customHeight="1">
      <c r="E302" s="1" t="s">
        <v>264</v>
      </c>
      <c r="F302">
        <v>-208</v>
      </c>
      <c r="G302">
        <v>-135</v>
      </c>
    </row>
    <row r="303" spans="5:15" ht="25.5">
      <c r="E303" s="1" t="s">
        <v>265</v>
      </c>
      <c r="F303">
        <v>-28189</v>
      </c>
      <c r="G303">
        <v>26597</v>
      </c>
    </row>
    <row r="305" spans="5:15" ht="25.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</row>
    <row r="310" spans="5:15" ht="25.5">
      <c r="E310" s="1" t="s">
        <v>270</v>
      </c>
    </row>
    <row r="311" spans="5:15" ht="25.5">
      <c r="E311" s="1" t="s">
        <v>271</v>
      </c>
    </row>
    <row r="312" spans="5:15" ht="25.5">
      <c r="E312" s="1" t="s">
        <v>272</v>
      </c>
    </row>
    <row r="313" spans="5:15" ht="25.5">
      <c r="E313" s="1" t="s">
        <v>273</v>
      </c>
      <c r="F313">
        <v>963</v>
      </c>
      <c r="G313">
        <v>-6349</v>
      </c>
    </row>
    <row r="314" spans="5:15">
      <c r="E314" s="1" t="s">
        <v>274</v>
      </c>
    </row>
    <row r="315" spans="5:15">
      <c r="E315" s="1" t="s">
        <v>275</v>
      </c>
    </row>
    <row r="316" spans="5:15">
      <c r="E316" s="1" t="s">
        <v>276</v>
      </c>
    </row>
    <row r="317" spans="5:15">
      <c r="E317" s="1" t="s">
        <v>277</v>
      </c>
      <c r="F317">
        <v>19359</v>
      </c>
      <c r="G317">
        <v>-12307</v>
      </c>
    </row>
    <row r="318" spans="5:15" ht="25.5">
      <c r="E318" s="6" t="s">
        <v>278</v>
      </c>
      <c r="F318" s="7">
        <f>F299+F300+F301+F302+F303+F304+F305+F306+F307+F308+F309+F310+F311+F312+F313+F314+F315+F316+F317</f>
        <v>-8075</v>
      </c>
      <c r="G318" s="7">
        <f>IF(G4=$BF$1,"",G299+G300+G301+G302+G303+G304+G305+G306+G307+G308+G309+G310+G311+G312+G313+G314+G315+G316+G317)</f>
        <v>7806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20877</v>
      </c>
      <c r="G319" s="7">
        <f t="shared" ref="G319:O319" si="28">IF(G4=$BF$1,"",G297+G318)</f>
        <v>36758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 ht="25.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 ht="25.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20877</v>
      </c>
      <c r="G326" s="7">
        <f t="shared" ref="G326:O326" si="30">IF(G4=$BF$1,"",G325+G319)</f>
        <v>36758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-34</v>
      </c>
      <c r="G328">
        <v>-2</v>
      </c>
    </row>
    <row r="329" spans="5:15">
      <c r="E329" s="1" t="s">
        <v>288</v>
      </c>
    </row>
    <row r="330" spans="5:15">
      <c r="E330" s="1" t="s">
        <v>289</v>
      </c>
    </row>
    <row r="331" spans="5:15" ht="25.5">
      <c r="E331" s="1" t="s">
        <v>290</v>
      </c>
      <c r="F331">
        <v>-109769</v>
      </c>
      <c r="G331">
        <v>-483902</v>
      </c>
    </row>
    <row r="332" spans="5:15">
      <c r="E332" s="12" t="s">
        <v>291</v>
      </c>
      <c r="F332">
        <v>85737</v>
      </c>
      <c r="G332">
        <v>467790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 ht="25.5">
      <c r="E336" s="12" t="s">
        <v>295</v>
      </c>
    </row>
    <row r="337" spans="5:15">
      <c r="E337" s="6" t="s">
        <v>296</v>
      </c>
      <c r="F337" s="7">
        <f>SUM(F328:F336)</f>
        <v>-24066</v>
      </c>
      <c r="G337" s="7">
        <f>IF(G4=$BF$1,"",SUM(G328:G336))</f>
        <v>-16114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-4606</v>
      </c>
      <c r="G339">
        <v>700</v>
      </c>
    </row>
    <row r="340" spans="5:15">
      <c r="E340" s="1" t="s">
        <v>299</v>
      </c>
    </row>
    <row r="341" spans="5:15" ht="25.5">
      <c r="E341" s="12" t="s">
        <v>300</v>
      </c>
    </row>
    <row r="342" spans="5:15">
      <c r="E342" s="1" t="s">
        <v>301</v>
      </c>
    </row>
    <row r="343" spans="5:15">
      <c r="E343" s="1" t="s">
        <v>302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-4606</v>
      </c>
      <c r="G352" s="7">
        <f>IF(G4=$BF$1,"",SUM(G339:G351))</f>
        <v>700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-7795</v>
      </c>
      <c r="G353" s="7">
        <f t="shared" ref="G353:O353" si="33">IF(G4=$BF$1,"",G326+G337+G352)</f>
        <v>21344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 ht="25.5">
      <c r="E354" s="1" t="s">
        <v>313</v>
      </c>
    </row>
    <row r="355" spans="5:15" ht="25.5">
      <c r="E355" s="6" t="s">
        <v>314</v>
      </c>
      <c r="F355" s="7">
        <f>F353+F354</f>
        <v>-7795</v>
      </c>
      <c r="G355" s="7">
        <f t="shared" ref="G355:O355" si="34">IF(G4=$BF$1,"",G353+G354)</f>
        <v>21344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136604</v>
      </c>
      <c r="G356">
        <v>139052</v>
      </c>
    </row>
    <row r="357" spans="5:15">
      <c r="E357" s="6" t="s">
        <v>316</v>
      </c>
      <c r="F357" s="7">
        <f>F355+F356</f>
        <v>128809</v>
      </c>
      <c r="G357" s="7">
        <f t="shared" ref="G357:O357" si="35">IF(G4=$BF$1,"",G355+G356)</f>
        <v>160396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1.0107336167089691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-5.7353020739404865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-0.27470139392683179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1</v>
      </c>
      <c r="G369" s="27">
        <f t="shared" si="41"/>
        <v>1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-0.18866819764877649</v>
      </c>
      <c r="G370" s="27">
        <f t="shared" si="42"/>
        <v>-0.4169903061068469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-0.79866317886636351</v>
      </c>
      <c r="G371" s="28">
        <f t="shared" si="43"/>
        <v>0.33913335983609066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-0.46898624240340436</v>
      </c>
      <c r="G372" s="27">
        <f t="shared" si="44"/>
        <v>7.183386879469375E-2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-0.54919995816774736</v>
      </c>
      <c r="G373" s="27">
        <f t="shared" si="45"/>
        <v>7.501885618229108E-2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0.1460555751532715</v>
      </c>
      <c r="G376" s="30">
        <f t="shared" si="47"/>
        <v>4.245582443776557E-2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0.17103639405982013</v>
      </c>
      <c r="G377" s="30">
        <f t="shared" si="48"/>
        <v>4.4338241014141293E-2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 t="str">
        <f t="shared" ref="F378:O378" si="49">IFERROR(F44/F49,"")</f>
        <v/>
      </c>
      <c r="G378" s="30" t="str">
        <f t="shared" si="49"/>
        <v/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6.491767359432898</v>
      </c>
      <c r="G382" s="32">
        <f t="shared" si="51"/>
        <v>14.617034634299467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6.491767359432898</v>
      </c>
      <c r="G383" s="32">
        <f t="shared" si="52"/>
        <v>14.617034634299467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5.3314966972772675</v>
      </c>
      <c r="G384" s="32">
        <f t="shared" si="53"/>
        <v>14.293606780370409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0.67269212179797</v>
      </c>
      <c r="G385" s="32">
        <f t="shared" si="54"/>
        <v>3.8461860416448674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128809</v>
      </c>
      <c r="G418" s="17">
        <f>G130-G417</f>
        <v>136604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/>
  </sheetViews>
  <sheetFormatPr defaultRowHeight="12.75"/>
  <cols>
    <col min="1" max="2" width="33.7109375" customWidth="1"/>
    <col min="3" max="3" width="12.7109375" style="43" customWidth="1"/>
    <col min="4" max="4" width="15.28515625" bestFit="1" customWidth="1"/>
    <col min="5" max="5" width="14.7109375" customWidth="1"/>
  </cols>
  <sheetData>
    <row r="1" spans="1:5" ht="33.75" customHeight="1">
      <c r="A1" s="39" t="s">
        <v>487</v>
      </c>
      <c r="B1" s="39" t="s">
        <v>488</v>
      </c>
      <c r="C1" s="39" t="s">
        <v>489</v>
      </c>
      <c r="D1" s="39" t="s">
        <v>490</v>
      </c>
      <c r="E1" s="40"/>
    </row>
    <row r="2" spans="1:5">
      <c r="A2" s="40" t="s">
        <v>492</v>
      </c>
      <c r="B2" s="40" t="s">
        <v>493</v>
      </c>
      <c r="C2" s="41">
        <v>0</v>
      </c>
      <c r="D2" s="40" t="s">
        <v>491</v>
      </c>
      <c r="E2" s="40"/>
    </row>
    <row r="3" spans="1:5">
      <c r="A3" s="40" t="s">
        <v>494</v>
      </c>
      <c r="B3" s="40" t="s">
        <v>495</v>
      </c>
      <c r="C3" s="42">
        <v>0</v>
      </c>
      <c r="D3" s="40" t="s">
        <v>491</v>
      </c>
    </row>
    <row r="4" spans="1:5">
      <c r="A4" s="40" t="s">
        <v>496</v>
      </c>
      <c r="B4" s="40" t="s">
        <v>495</v>
      </c>
      <c r="C4" s="42">
        <v>0</v>
      </c>
      <c r="D4" s="40" t="s">
        <v>491</v>
      </c>
    </row>
    <row r="5" spans="1:5">
      <c r="A5" s="40" t="s">
        <v>497</v>
      </c>
      <c r="B5" s="40" t="s">
        <v>495</v>
      </c>
      <c r="C5" s="42">
        <v>0</v>
      </c>
      <c r="D5" s="40" t="s">
        <v>491</v>
      </c>
    </row>
    <row r="6" spans="1:5">
      <c r="A6" s="40" t="s">
        <v>498</v>
      </c>
      <c r="B6" s="40" t="s">
        <v>499</v>
      </c>
      <c r="C6" s="42">
        <v>0</v>
      </c>
      <c r="D6" s="40" t="s">
        <v>491</v>
      </c>
    </row>
    <row r="7" spans="1:5">
      <c r="A7" s="40" t="s">
        <v>500</v>
      </c>
      <c r="B7" s="40" t="s">
        <v>501</v>
      </c>
      <c r="C7" s="42">
        <v>0</v>
      </c>
      <c r="D7" s="40" t="s">
        <v>491</v>
      </c>
    </row>
    <row r="8" spans="1:5">
      <c r="A8" s="40" t="s">
        <v>502</v>
      </c>
      <c r="B8" s="40" t="s">
        <v>495</v>
      </c>
      <c r="C8" s="42">
        <v>0</v>
      </c>
      <c r="D8" s="40" t="s">
        <v>491</v>
      </c>
    </row>
    <row r="9" spans="1:5">
      <c r="A9" s="40" t="s">
        <v>504</v>
      </c>
      <c r="B9" s="40" t="s">
        <v>503</v>
      </c>
      <c r="C9" s="42">
        <v>0</v>
      </c>
      <c r="D9" s="40" t="s">
        <v>491</v>
      </c>
    </row>
    <row r="10" spans="1:5">
      <c r="A10" t="s">
        <v>461</v>
      </c>
      <c r="B10" s="40" t="s">
        <v>54</v>
      </c>
      <c r="C10" s="42">
        <v>1</v>
      </c>
      <c r="D10" s="40" t="s">
        <v>491</v>
      </c>
    </row>
    <row r="11" spans="1:5">
      <c r="A11" t="s">
        <v>462</v>
      </c>
      <c r="B11" s="40" t="s">
        <v>54</v>
      </c>
      <c r="C11" s="42">
        <v>1</v>
      </c>
      <c r="D11" s="40" t="s">
        <v>491</v>
      </c>
    </row>
    <row r="12" spans="1:5">
      <c r="A12" t="s">
        <v>459</v>
      </c>
      <c r="B12" s="40" t="s">
        <v>48</v>
      </c>
      <c r="C12" s="42">
        <v>1</v>
      </c>
      <c r="D12" s="40" t="s">
        <v>491</v>
      </c>
    </row>
    <row r="13" spans="1:5">
      <c r="A13" t="s">
        <v>460</v>
      </c>
      <c r="B13" s="40" t="s">
        <v>48</v>
      </c>
      <c r="C13" s="42">
        <v>1</v>
      </c>
      <c r="D13" s="40" t="s">
        <v>491</v>
      </c>
    </row>
    <row r="14" spans="1:5">
      <c r="A14" t="s">
        <v>505</v>
      </c>
      <c r="B14" s="40" t="s">
        <v>58</v>
      </c>
      <c r="C14" s="42">
        <v>0</v>
      </c>
      <c r="D14" s="40" t="s">
        <v>491</v>
      </c>
    </row>
    <row r="15" spans="1:5">
      <c r="A15" t="s">
        <v>430</v>
      </c>
      <c r="B15" s="40" t="s">
        <v>507</v>
      </c>
      <c r="C15" s="42">
        <v>1</v>
      </c>
      <c r="D15" s="40" t="s">
        <v>491</v>
      </c>
    </row>
    <row r="16" spans="1:5">
      <c r="A16" t="s">
        <v>506</v>
      </c>
      <c r="B16" s="40" t="s">
        <v>50</v>
      </c>
      <c r="C16" s="42">
        <v>1</v>
      </c>
      <c r="D16" s="40" t="s">
        <v>491</v>
      </c>
    </row>
    <row r="17" spans="1:4">
      <c r="A17" s="40" t="s">
        <v>509</v>
      </c>
      <c r="B17" s="40" t="s">
        <v>508</v>
      </c>
      <c r="C17" s="42">
        <v>0</v>
      </c>
      <c r="D17" s="40" t="s">
        <v>491</v>
      </c>
    </row>
    <row r="18" spans="1:4">
      <c r="A18" t="s">
        <v>438</v>
      </c>
      <c r="B18" s="40" t="s">
        <v>510</v>
      </c>
      <c r="C18" s="42">
        <v>1</v>
      </c>
      <c r="D18" s="40" t="s">
        <v>491</v>
      </c>
    </row>
    <row r="19" spans="1:4">
      <c r="A19" s="40" t="s">
        <v>512</v>
      </c>
      <c r="B19" s="40" t="s">
        <v>511</v>
      </c>
      <c r="C19" s="42">
        <v>1</v>
      </c>
      <c r="D19" s="40" t="s">
        <v>491</v>
      </c>
    </row>
    <row r="20" spans="1:4">
      <c r="A20" s="40" t="s">
        <v>513</v>
      </c>
      <c r="B20" s="40" t="s">
        <v>511</v>
      </c>
      <c r="C20" s="42">
        <v>1</v>
      </c>
      <c r="D20" s="40" t="s">
        <v>491</v>
      </c>
    </row>
    <row r="21" spans="1:4">
      <c r="A21" s="40" t="s">
        <v>514</v>
      </c>
      <c r="B21" t="s">
        <v>180</v>
      </c>
      <c r="C21" s="42">
        <v>1</v>
      </c>
      <c r="D21" s="40" t="s">
        <v>491</v>
      </c>
    </row>
    <row r="22" spans="1:4">
      <c r="A22" s="40"/>
      <c r="C22" s="42"/>
      <c r="D22" s="40"/>
    </row>
    <row r="23" spans="1:4">
      <c r="A23" s="40"/>
      <c r="C23" s="42"/>
      <c r="D23" s="40"/>
    </row>
    <row r="24" spans="1:4">
      <c r="A24" s="40"/>
      <c r="C24" s="42"/>
      <c r="D24" s="40"/>
    </row>
    <row r="25" spans="1:4">
      <c r="A25" s="40"/>
      <c r="C25" s="42"/>
      <c r="D25" s="40"/>
    </row>
    <row r="26" spans="1:4">
      <c r="A26" s="40"/>
      <c r="C26" s="42"/>
      <c r="D26" s="40"/>
    </row>
    <row r="27" spans="1:4">
      <c r="A27" s="40"/>
      <c r="C27" s="42"/>
      <c r="D27" s="40"/>
    </row>
    <row r="28" spans="1:4">
      <c r="A28" s="40"/>
      <c r="C28" s="42"/>
      <c r="D28" s="40"/>
    </row>
    <row r="29" spans="1:4">
      <c r="A29" s="40"/>
      <c r="C29" s="42"/>
      <c r="D29" s="40"/>
    </row>
    <row r="30" spans="1:4">
      <c r="A30" s="40"/>
      <c r="C30" s="42"/>
      <c r="D30" s="40"/>
    </row>
    <row r="31" spans="1:4">
      <c r="C31" s="42"/>
      <c r="D31" s="40"/>
    </row>
    <row r="32" spans="1:4">
      <c r="C32" s="42"/>
      <c r="D32" s="40"/>
    </row>
    <row r="33" spans="3:4">
      <c r="C33" s="42"/>
      <c r="D33" s="40"/>
    </row>
    <row r="34" spans="3:4">
      <c r="C34" s="42"/>
      <c r="D34" s="40"/>
    </row>
    <row r="35" spans="3:4">
      <c r="C35" s="42"/>
      <c r="D35" s="40"/>
    </row>
    <row r="36" spans="3:4">
      <c r="C36" s="42"/>
      <c r="D36" s="40"/>
    </row>
    <row r="37" spans="3:4">
      <c r="C37" s="42"/>
      <c r="D37" s="40"/>
    </row>
    <row r="38" spans="3:4">
      <c r="C38" s="42"/>
      <c r="D38" s="40"/>
    </row>
    <row r="39" spans="3:4">
      <c r="C39" s="42"/>
      <c r="D39" s="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/>
  </sheetViews>
  <sheetFormatPr defaultRowHeight="12.75"/>
  <cols>
    <col min="1" max="4" width="25.7109375" customWidth="1"/>
  </cols>
  <sheetData>
    <row r="1" spans="1:6">
      <c r="E1">
        <v>2018</v>
      </c>
      <c r="F1">
        <v>2017</v>
      </c>
    </row>
    <row r="2" spans="1:6">
      <c r="A2" t="s">
        <v>374</v>
      </c>
    </row>
    <row r="3" spans="1:6">
      <c r="A3" t="s">
        <v>375</v>
      </c>
      <c r="B3" t="s">
        <v>116</v>
      </c>
      <c r="C3" t="s">
        <v>116</v>
      </c>
      <c r="D3" t="s">
        <v>116</v>
      </c>
    </row>
    <row r="4" spans="1:6">
      <c r="A4" t="s">
        <v>376</v>
      </c>
      <c r="B4" t="s">
        <v>117</v>
      </c>
      <c r="C4" t="s">
        <v>117</v>
      </c>
      <c r="D4" t="s">
        <v>116</v>
      </c>
      <c r="E4">
        <v>128809</v>
      </c>
      <c r="F4">
        <v>136604</v>
      </c>
    </row>
    <row r="5" spans="1:6">
      <c r="A5" t="s">
        <v>377</v>
      </c>
      <c r="B5" t="s">
        <v>118</v>
      </c>
      <c r="C5" t="s">
        <v>118</v>
      </c>
      <c r="D5" t="s">
        <v>116</v>
      </c>
      <c r="E5">
        <v>33642</v>
      </c>
    </row>
    <row r="6" spans="1:6">
      <c r="A6" t="s">
        <v>378</v>
      </c>
      <c r="B6" t="s">
        <v>118</v>
      </c>
      <c r="C6" t="s">
        <v>118</v>
      </c>
      <c r="D6" t="s">
        <v>116</v>
      </c>
      <c r="E6">
        <v>3012</v>
      </c>
    </row>
    <row r="7" spans="1:6">
      <c r="A7" t="s">
        <v>379</v>
      </c>
      <c r="B7" t="s">
        <v>352</v>
      </c>
      <c r="C7" t="s">
        <v>137</v>
      </c>
      <c r="D7" t="s">
        <v>116</v>
      </c>
      <c r="E7">
        <v>32884</v>
      </c>
      <c r="F7">
        <v>153</v>
      </c>
    </row>
    <row r="8" spans="1:6">
      <c r="A8" t="s">
        <v>380</v>
      </c>
      <c r="B8" t="s">
        <v>134</v>
      </c>
      <c r="C8" t="s">
        <v>134</v>
      </c>
      <c r="D8" t="s">
        <v>116</v>
      </c>
      <c r="E8">
        <v>3125</v>
      </c>
      <c r="F8">
        <v>2938</v>
      </c>
    </row>
    <row r="9" spans="1:6">
      <c r="A9" t="s">
        <v>381</v>
      </c>
      <c r="B9" t="s">
        <v>12</v>
      </c>
      <c r="C9" t="s">
        <v>12</v>
      </c>
      <c r="D9" t="s">
        <v>116</v>
      </c>
      <c r="E9">
        <v>201472</v>
      </c>
      <c r="F9">
        <v>139695</v>
      </c>
    </row>
    <row r="10" spans="1:6">
      <c r="A10" t="s">
        <v>382</v>
      </c>
      <c r="B10" t="s">
        <v>103</v>
      </c>
      <c r="C10" t="s">
        <v>103</v>
      </c>
      <c r="D10" t="s">
        <v>80</v>
      </c>
      <c r="E10">
        <v>7459</v>
      </c>
      <c r="F10">
        <v>104754</v>
      </c>
    </row>
    <row r="11" spans="1:6">
      <c r="A11" t="s">
        <v>383</v>
      </c>
      <c r="B11" t="s">
        <v>103</v>
      </c>
      <c r="C11" t="s">
        <v>103</v>
      </c>
      <c r="D11" t="s">
        <v>80</v>
      </c>
      <c r="E11">
        <v>8195</v>
      </c>
      <c r="F11">
        <v>2195</v>
      </c>
    </row>
    <row r="12" spans="1:6">
      <c r="A12" t="s">
        <v>384</v>
      </c>
      <c r="B12" t="s">
        <v>385</v>
      </c>
      <c r="C12" t="s">
        <v>92</v>
      </c>
      <c r="D12" t="s">
        <v>80</v>
      </c>
      <c r="E12">
        <v>6587</v>
      </c>
      <c r="F12">
        <v>61917</v>
      </c>
    </row>
    <row r="13" spans="1:6">
      <c r="A13" t="s">
        <v>386</v>
      </c>
      <c r="B13" t="s">
        <v>112</v>
      </c>
      <c r="C13" t="s">
        <v>112</v>
      </c>
      <c r="D13" t="s">
        <v>80</v>
      </c>
      <c r="E13">
        <v>236</v>
      </c>
      <c r="F13">
        <v>207</v>
      </c>
    </row>
    <row r="14" spans="1:6">
      <c r="D14" t="s">
        <v>80</v>
      </c>
      <c r="E14">
        <v>223949</v>
      </c>
      <c r="F14">
        <v>308768</v>
      </c>
    </row>
    <row r="15" spans="1:6">
      <c r="A15" t="s">
        <v>387</v>
      </c>
      <c r="D15" t="s">
        <v>80</v>
      </c>
    </row>
    <row r="16" spans="1:6">
      <c r="A16" t="s">
        <v>388</v>
      </c>
      <c r="B16" t="s">
        <v>141</v>
      </c>
      <c r="C16" t="s">
        <v>141</v>
      </c>
      <c r="D16" t="s">
        <v>141</v>
      </c>
    </row>
    <row r="17" spans="1:6">
      <c r="A17" t="s">
        <v>389</v>
      </c>
      <c r="B17" t="s">
        <v>390</v>
      </c>
      <c r="C17" t="s">
        <v>161</v>
      </c>
      <c r="D17" t="s">
        <v>141</v>
      </c>
      <c r="E17">
        <v>8347</v>
      </c>
      <c r="F17">
        <v>7956</v>
      </c>
    </row>
    <row r="18" spans="1:6">
      <c r="A18" t="s">
        <v>391</v>
      </c>
      <c r="B18" t="s">
        <v>163</v>
      </c>
      <c r="C18" t="s">
        <v>163</v>
      </c>
      <c r="D18" t="s">
        <v>141</v>
      </c>
      <c r="E18">
        <v>22688</v>
      </c>
      <c r="F18">
        <v>1601</v>
      </c>
    </row>
    <row r="19" spans="1:6">
      <c r="A19" t="s">
        <v>392</v>
      </c>
      <c r="B19" t="s">
        <v>13</v>
      </c>
      <c r="C19" t="s">
        <v>13</v>
      </c>
      <c r="D19" t="s">
        <v>141</v>
      </c>
      <c r="E19">
        <v>31035</v>
      </c>
      <c r="F19">
        <v>9557</v>
      </c>
    </row>
    <row r="20" spans="1:6">
      <c r="A20" t="s">
        <v>393</v>
      </c>
      <c r="B20" t="s">
        <v>164</v>
      </c>
      <c r="C20" t="s">
        <v>164</v>
      </c>
      <c r="D20" t="s">
        <v>141</v>
      </c>
      <c r="E20">
        <v>1674</v>
      </c>
      <c r="F20">
        <v>3552</v>
      </c>
    </row>
    <row r="21" spans="1:6">
      <c r="A21" t="s">
        <v>394</v>
      </c>
      <c r="B21" t="s">
        <v>164</v>
      </c>
      <c r="C21" t="s">
        <v>164</v>
      </c>
      <c r="D21" t="s">
        <v>141</v>
      </c>
      <c r="E21">
        <v>32709</v>
      </c>
      <c r="F21">
        <v>13109</v>
      </c>
    </row>
    <row r="22" spans="1:6">
      <c r="A22" t="s">
        <v>395</v>
      </c>
      <c r="B22" t="s">
        <v>180</v>
      </c>
      <c r="C22" t="s">
        <v>180</v>
      </c>
      <c r="D22" t="s">
        <v>165</v>
      </c>
    </row>
    <row r="23" spans="1:6">
      <c r="A23" t="s">
        <v>396</v>
      </c>
      <c r="B23" t="s">
        <v>181</v>
      </c>
      <c r="C23" t="s">
        <v>181</v>
      </c>
      <c r="D23" t="s">
        <v>141</v>
      </c>
    </row>
    <row r="24" spans="1:6">
      <c r="A24" t="s">
        <v>397</v>
      </c>
      <c r="D24" t="s">
        <v>141</v>
      </c>
    </row>
    <row r="25" spans="1:6">
      <c r="A25" t="s">
        <v>398</v>
      </c>
      <c r="B25" t="s">
        <v>182</v>
      </c>
      <c r="C25" t="s">
        <v>182</v>
      </c>
      <c r="D25" t="s">
        <v>181</v>
      </c>
      <c r="E25">
        <v>50</v>
      </c>
      <c r="F25">
        <v>51</v>
      </c>
    </row>
    <row r="26" spans="1:6">
      <c r="A26" t="s">
        <v>399</v>
      </c>
      <c r="B26" t="s">
        <v>400</v>
      </c>
      <c r="C26" t="s">
        <v>192</v>
      </c>
      <c r="D26" t="s">
        <v>181</v>
      </c>
      <c r="E26">
        <v>-39272</v>
      </c>
      <c r="F26">
        <v>-34640</v>
      </c>
    </row>
    <row r="27" spans="1:6">
      <c r="A27" t="s">
        <v>401</v>
      </c>
      <c r="B27" t="s">
        <v>182</v>
      </c>
      <c r="C27" t="s">
        <v>182</v>
      </c>
      <c r="D27" t="s">
        <v>181</v>
      </c>
      <c r="E27">
        <v>651156</v>
      </c>
      <c r="F27">
        <v>648996</v>
      </c>
    </row>
    <row r="28" spans="1:6">
      <c r="A28" t="s">
        <v>402</v>
      </c>
      <c r="B28" t="s">
        <v>189</v>
      </c>
      <c r="C28" t="s">
        <v>189</v>
      </c>
      <c r="D28" t="s">
        <v>181</v>
      </c>
      <c r="F28">
        <v>-88</v>
      </c>
    </row>
    <row r="29" spans="1:6">
      <c r="A29" t="s">
        <v>403</v>
      </c>
      <c r="B29" t="s">
        <v>187</v>
      </c>
      <c r="C29" t="s">
        <v>187</v>
      </c>
      <c r="D29" t="s">
        <v>181</v>
      </c>
      <c r="E29">
        <v>-422541</v>
      </c>
      <c r="F29">
        <v>-320018</v>
      </c>
    </row>
    <row r="30" spans="1:6">
      <c r="A30" t="s">
        <v>404</v>
      </c>
      <c r="D30" t="s">
        <v>181</v>
      </c>
      <c r="E30">
        <v>189393</v>
      </c>
      <c r="F30">
        <v>294301</v>
      </c>
    </row>
    <row r="31" spans="1:6">
      <c r="A31" t="s">
        <v>405</v>
      </c>
      <c r="B31" t="s">
        <v>67</v>
      </c>
      <c r="C31" t="s">
        <v>67</v>
      </c>
      <c r="D31" t="s">
        <v>181</v>
      </c>
      <c r="E31">
        <v>1847</v>
      </c>
      <c r="F31">
        <v>1358</v>
      </c>
    </row>
    <row r="32" spans="1:6">
      <c r="A32" t="s">
        <v>406</v>
      </c>
      <c r="B32" t="s">
        <v>195</v>
      </c>
      <c r="C32" t="s">
        <v>195</v>
      </c>
      <c r="D32" t="s">
        <v>181</v>
      </c>
      <c r="E32">
        <v>191240</v>
      </c>
      <c r="F32">
        <v>295659</v>
      </c>
    </row>
    <row r="33" spans="4:6">
      <c r="D33" t="s">
        <v>181</v>
      </c>
      <c r="E33">
        <v>223949</v>
      </c>
      <c r="F33">
        <v>308768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/>
  </sheetViews>
  <sheetFormatPr defaultRowHeight="12.75"/>
  <cols>
    <col min="1" max="4" width="25.7109375" customWidth="1"/>
  </cols>
  <sheetData>
    <row r="1" spans="1:6">
      <c r="E1">
        <v>2018</v>
      </c>
      <c r="F1">
        <v>2017</v>
      </c>
    </row>
    <row r="2" spans="1:6">
      <c r="A2" t="s">
        <v>407</v>
      </c>
      <c r="B2" t="s">
        <v>408</v>
      </c>
      <c r="C2" t="s">
        <v>26</v>
      </c>
      <c r="D2" t="s">
        <v>408</v>
      </c>
      <c r="E2">
        <v>131506</v>
      </c>
      <c r="F2">
        <v>65402</v>
      </c>
    </row>
    <row r="3" spans="1:6">
      <c r="A3" t="s">
        <v>409</v>
      </c>
      <c r="D3" t="s">
        <v>408</v>
      </c>
    </row>
    <row r="4" spans="1:6">
      <c r="A4" t="s">
        <v>410</v>
      </c>
      <c r="B4" t="s">
        <v>27</v>
      </c>
      <c r="C4" t="s">
        <v>27</v>
      </c>
      <c r="D4" t="s">
        <v>408</v>
      </c>
      <c r="E4">
        <v>35168</v>
      </c>
      <c r="F4">
        <v>4952</v>
      </c>
    </row>
    <row r="5" spans="1:6">
      <c r="A5" t="s">
        <v>411</v>
      </c>
      <c r="B5" t="s">
        <v>36</v>
      </c>
      <c r="C5" t="s">
        <v>36</v>
      </c>
      <c r="D5" t="s">
        <v>408</v>
      </c>
      <c r="E5">
        <v>31501</v>
      </c>
      <c r="F5">
        <v>16682</v>
      </c>
    </row>
    <row r="6" spans="1:6">
      <c r="A6" t="s">
        <v>412</v>
      </c>
      <c r="B6" t="s">
        <v>27</v>
      </c>
      <c r="C6" t="s">
        <v>27</v>
      </c>
      <c r="D6" t="s">
        <v>408</v>
      </c>
      <c r="E6">
        <v>4000</v>
      </c>
    </row>
    <row r="7" spans="1:6">
      <c r="A7" t="s">
        <v>413</v>
      </c>
      <c r="B7" t="s">
        <v>36</v>
      </c>
      <c r="C7" t="s">
        <v>36</v>
      </c>
      <c r="D7" t="s">
        <v>408</v>
      </c>
      <c r="E7">
        <v>8866</v>
      </c>
      <c r="F7">
        <v>18219</v>
      </c>
    </row>
    <row r="8" spans="1:6">
      <c r="A8" t="s">
        <v>414</v>
      </c>
      <c r="B8" t="s">
        <v>415</v>
      </c>
      <c r="C8" t="s">
        <v>43</v>
      </c>
      <c r="D8" t="s">
        <v>408</v>
      </c>
      <c r="E8">
        <v>27120</v>
      </c>
      <c r="F8">
        <v>22154</v>
      </c>
    </row>
    <row r="9" spans="1:6">
      <c r="A9" t="s">
        <v>416</v>
      </c>
      <c r="B9" t="s">
        <v>44</v>
      </c>
      <c r="C9" t="s">
        <v>44</v>
      </c>
      <c r="D9" t="s">
        <v>408</v>
      </c>
      <c r="E9">
        <v>28210</v>
      </c>
      <c r="F9">
        <v>2248</v>
      </c>
    </row>
    <row r="10" spans="1:6">
      <c r="A10" t="s">
        <v>417</v>
      </c>
      <c r="B10" t="s">
        <v>38</v>
      </c>
      <c r="C10" t="s">
        <v>38</v>
      </c>
      <c r="D10" t="s">
        <v>408</v>
      </c>
      <c r="E10">
        <v>2602</v>
      </c>
      <c r="F10">
        <v>1200</v>
      </c>
    </row>
    <row r="11" spans="1:6">
      <c r="A11" t="s">
        <v>418</v>
      </c>
      <c r="D11" t="s">
        <v>408</v>
      </c>
      <c r="E11">
        <v>137467</v>
      </c>
      <c r="F11">
        <v>65455</v>
      </c>
    </row>
    <row r="12" spans="1:6">
      <c r="A12" t="s">
        <v>419</v>
      </c>
      <c r="B12" t="s">
        <v>66</v>
      </c>
      <c r="C12" t="s">
        <v>66</v>
      </c>
      <c r="D12" t="s">
        <v>408</v>
      </c>
      <c r="E12">
        <v>-5961</v>
      </c>
      <c r="F12">
        <v>-53</v>
      </c>
    </row>
    <row r="13" spans="1:6">
      <c r="A13" t="s">
        <v>420</v>
      </c>
      <c r="B13" t="s">
        <v>36</v>
      </c>
      <c r="C13" t="s">
        <v>36</v>
      </c>
      <c r="D13" t="s">
        <v>408</v>
      </c>
      <c r="E13">
        <v>18850</v>
      </c>
      <c r="F13">
        <v>27219</v>
      </c>
    </row>
    <row r="14" spans="1:6">
      <c r="A14" t="s">
        <v>421</v>
      </c>
      <c r="B14" t="s">
        <v>422</v>
      </c>
      <c r="C14" t="s">
        <v>46</v>
      </c>
      <c r="D14" t="s">
        <v>408</v>
      </c>
      <c r="E14">
        <v>-24811</v>
      </c>
      <c r="F14">
        <v>-27272</v>
      </c>
    </row>
    <row r="15" spans="1:6">
      <c r="A15" t="s">
        <v>423</v>
      </c>
      <c r="B15" t="s">
        <v>56</v>
      </c>
      <c r="C15" t="s">
        <v>56</v>
      </c>
      <c r="D15" t="s">
        <v>408</v>
      </c>
    </row>
    <row r="16" spans="1:6">
      <c r="A16" t="s">
        <v>424</v>
      </c>
      <c r="B16" t="s">
        <v>72</v>
      </c>
      <c r="C16" t="s">
        <v>72</v>
      </c>
      <c r="D16" t="s">
        <v>408</v>
      </c>
      <c r="E16">
        <v>-59103</v>
      </c>
      <c r="F16">
        <v>42239</v>
      </c>
    </row>
    <row r="17" spans="1:6">
      <c r="A17" t="s">
        <v>425</v>
      </c>
      <c r="B17" t="s">
        <v>426</v>
      </c>
      <c r="C17" t="s">
        <v>47</v>
      </c>
      <c r="D17" t="s">
        <v>408</v>
      </c>
      <c r="E17">
        <v>-19095</v>
      </c>
    </row>
    <row r="18" spans="1:6">
      <c r="A18" t="s">
        <v>427</v>
      </c>
      <c r="B18" t="s">
        <v>56</v>
      </c>
      <c r="C18" t="s">
        <v>56</v>
      </c>
      <c r="D18" t="s">
        <v>408</v>
      </c>
      <c r="F18">
        <v>2671</v>
      </c>
    </row>
    <row r="19" spans="1:6">
      <c r="A19" t="s">
        <v>428</v>
      </c>
      <c r="B19" t="s">
        <v>56</v>
      </c>
      <c r="C19" t="s">
        <v>56</v>
      </c>
      <c r="D19" t="s">
        <v>408</v>
      </c>
      <c r="F19">
        <v>4616</v>
      </c>
    </row>
    <row r="20" spans="1:6">
      <c r="A20" t="s">
        <v>429</v>
      </c>
      <c r="B20" t="s">
        <v>56</v>
      </c>
      <c r="C20" t="s">
        <v>56</v>
      </c>
      <c r="D20" t="s">
        <v>408</v>
      </c>
      <c r="F20">
        <v>-220</v>
      </c>
    </row>
    <row r="21" spans="1:6">
      <c r="A21" t="s">
        <v>430</v>
      </c>
      <c r="B21" t="s">
        <v>56</v>
      </c>
      <c r="C21" t="s">
        <v>56</v>
      </c>
      <c r="D21" t="s">
        <v>408</v>
      </c>
      <c r="E21">
        <v>-1629</v>
      </c>
      <c r="F21">
        <v>1000</v>
      </c>
    </row>
    <row r="22" spans="1:6">
      <c r="A22" t="s">
        <v>431</v>
      </c>
      <c r="B22" t="s">
        <v>432</v>
      </c>
      <c r="C22" t="s">
        <v>56</v>
      </c>
      <c r="D22" t="s">
        <v>408</v>
      </c>
      <c r="E22">
        <v>969</v>
      </c>
      <c r="F22">
        <v>1605</v>
      </c>
    </row>
    <row r="23" spans="1:6">
      <c r="A23" t="s">
        <v>433</v>
      </c>
      <c r="B23" t="s">
        <v>56</v>
      </c>
      <c r="C23" t="s">
        <v>56</v>
      </c>
      <c r="D23" t="s">
        <v>408</v>
      </c>
      <c r="E23">
        <v>-78858</v>
      </c>
      <c r="F23">
        <v>51911</v>
      </c>
    </row>
    <row r="24" spans="1:6">
      <c r="A24" t="s">
        <v>434</v>
      </c>
      <c r="B24" t="s">
        <v>435</v>
      </c>
      <c r="C24" t="s">
        <v>61</v>
      </c>
      <c r="D24" t="s">
        <v>408</v>
      </c>
      <c r="E24">
        <v>-103669</v>
      </c>
      <c r="F24">
        <v>24639</v>
      </c>
    </row>
    <row r="25" spans="1:6">
      <c r="A25" t="s">
        <v>436</v>
      </c>
      <c r="B25" t="s">
        <v>62</v>
      </c>
      <c r="C25" t="s">
        <v>62</v>
      </c>
      <c r="D25" t="s">
        <v>408</v>
      </c>
      <c r="E25">
        <v>-1179</v>
      </c>
      <c r="F25">
        <v>-2955</v>
      </c>
    </row>
    <row r="26" spans="1:6">
      <c r="A26" t="s">
        <v>437</v>
      </c>
      <c r="D26" t="s">
        <v>408</v>
      </c>
      <c r="E26">
        <v>-104848</v>
      </c>
      <c r="F26">
        <v>21684</v>
      </c>
    </row>
    <row r="27" spans="1:6">
      <c r="A27" t="s">
        <v>438</v>
      </c>
      <c r="D27" t="s">
        <v>408</v>
      </c>
      <c r="E27">
        <v>-181</v>
      </c>
      <c r="F27">
        <v>496</v>
      </c>
    </row>
    <row r="28" spans="1:6">
      <c r="A28" t="s">
        <v>439</v>
      </c>
      <c r="B28" t="s">
        <v>67</v>
      </c>
      <c r="C28" t="s">
        <v>67</v>
      </c>
      <c r="D28" t="s">
        <v>408</v>
      </c>
      <c r="E28">
        <v>-105029</v>
      </c>
      <c r="F28">
        <v>22180</v>
      </c>
    </row>
    <row r="29" spans="1:6">
      <c r="A29" t="s">
        <v>440</v>
      </c>
      <c r="B29" t="s">
        <v>441</v>
      </c>
      <c r="C29" t="s">
        <v>67</v>
      </c>
      <c r="D29" t="s">
        <v>408</v>
      </c>
      <c r="E29">
        <v>-105029</v>
      </c>
      <c r="F29">
        <v>22147</v>
      </c>
    </row>
    <row r="30" spans="1:6">
      <c r="A30" t="s">
        <v>442</v>
      </c>
      <c r="D30" t="s">
        <v>408</v>
      </c>
      <c r="E30">
        <v>-210</v>
      </c>
      <c r="F30">
        <v>44</v>
      </c>
    </row>
    <row r="31" spans="1:6">
      <c r="A31" t="s">
        <v>443</v>
      </c>
      <c r="D31" t="s">
        <v>408</v>
      </c>
      <c r="E31">
        <v>49969062</v>
      </c>
      <c r="F31">
        <v>50495119</v>
      </c>
    </row>
    <row r="32" spans="1:6">
      <c r="A32" t="s">
        <v>444</v>
      </c>
      <c r="D32" t="s">
        <v>408</v>
      </c>
    </row>
    <row r="33" spans="1:6">
      <c r="D33" t="s">
        <v>408</v>
      </c>
    </row>
    <row r="34" spans="1:6">
      <c r="D34" t="s">
        <v>408</v>
      </c>
    </row>
    <row r="35" spans="1:6">
      <c r="A35" t="s">
        <v>445</v>
      </c>
      <c r="D35" t="s">
        <v>408</v>
      </c>
    </row>
    <row r="36" spans="1:6">
      <c r="D36" t="s">
        <v>408</v>
      </c>
      <c r="E36">
        <v>2018</v>
      </c>
    </row>
    <row r="37" spans="1:6">
      <c r="A37" t="s">
        <v>437</v>
      </c>
      <c r="D37" t="s">
        <v>408</v>
      </c>
      <c r="E37">
        <v>-104848</v>
      </c>
      <c r="F37">
        <v>21684</v>
      </c>
    </row>
    <row r="38" spans="1:6">
      <c r="A38" t="s">
        <v>446</v>
      </c>
      <c r="B38" t="s">
        <v>447</v>
      </c>
      <c r="C38" t="s">
        <v>447</v>
      </c>
      <c r="D38" t="s">
        <v>408</v>
      </c>
    </row>
    <row r="39" spans="1:6">
      <c r="A39" t="s">
        <v>448</v>
      </c>
      <c r="B39" t="s">
        <v>426</v>
      </c>
      <c r="C39" t="s">
        <v>47</v>
      </c>
      <c r="D39" t="s">
        <v>408</v>
      </c>
      <c r="F39">
        <v>-40</v>
      </c>
    </row>
    <row r="40" spans="1:6">
      <c r="A40" t="s">
        <v>449</v>
      </c>
      <c r="B40" t="s">
        <v>48</v>
      </c>
      <c r="C40" t="s">
        <v>48</v>
      </c>
      <c r="D40" t="s">
        <v>408</v>
      </c>
      <c r="E40">
        <v>88</v>
      </c>
      <c r="F40">
        <v>58</v>
      </c>
    </row>
    <row r="41" spans="1:6">
      <c r="A41" t="s">
        <v>450</v>
      </c>
      <c r="D41" t="s">
        <v>408</v>
      </c>
      <c r="F41">
        <v>-30</v>
      </c>
    </row>
    <row r="42" spans="1:6">
      <c r="A42" t="s">
        <v>451</v>
      </c>
      <c r="B42" t="s">
        <v>452</v>
      </c>
      <c r="C42" t="s">
        <v>447</v>
      </c>
      <c r="D42" t="s">
        <v>408</v>
      </c>
      <c r="E42">
        <v>-104760</v>
      </c>
      <c r="F42">
        <v>21672</v>
      </c>
    </row>
    <row r="43" spans="1:6">
      <c r="A43" t="s">
        <v>453</v>
      </c>
      <c r="D43" t="s">
        <v>408</v>
      </c>
      <c r="E43">
        <v>-181</v>
      </c>
      <c r="F43">
        <v>496</v>
      </c>
    </row>
    <row r="44" spans="1:6">
      <c r="A44" t="s">
        <v>454</v>
      </c>
      <c r="D44" t="s">
        <v>408</v>
      </c>
      <c r="E44">
        <v>-104941</v>
      </c>
      <c r="F44">
        <v>22168</v>
      </c>
    </row>
    <row r="45" spans="1:6">
      <c r="D45" t="s">
        <v>408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/>
  </sheetViews>
  <sheetFormatPr defaultRowHeight="12.75"/>
  <cols>
    <col min="1" max="4" width="25.7109375" customWidth="1"/>
  </cols>
  <sheetData>
    <row r="1" spans="1:6">
      <c r="E1">
        <v>2018</v>
      </c>
      <c r="F1">
        <v>2017</v>
      </c>
    </row>
    <row r="2" spans="1:6">
      <c r="A2" t="s">
        <v>455</v>
      </c>
      <c r="B2" t="s">
        <v>231</v>
      </c>
      <c r="C2" t="s">
        <v>231</v>
      </c>
      <c r="D2" t="s">
        <v>456</v>
      </c>
    </row>
    <row r="3" spans="1:6">
      <c r="A3" t="s">
        <v>437</v>
      </c>
      <c r="B3" t="s">
        <v>232</v>
      </c>
      <c r="C3" t="s">
        <v>232</v>
      </c>
      <c r="D3" t="s">
        <v>456</v>
      </c>
      <c r="E3">
        <v>-104848</v>
      </c>
      <c r="F3">
        <v>21684</v>
      </c>
    </row>
    <row r="4" spans="1:6">
      <c r="A4" t="s">
        <v>457</v>
      </c>
      <c r="B4" t="s">
        <v>232</v>
      </c>
      <c r="C4" t="s">
        <v>232</v>
      </c>
      <c r="D4" t="s">
        <v>456</v>
      </c>
    </row>
    <row r="5" spans="1:6">
      <c r="A5" t="s">
        <v>458</v>
      </c>
      <c r="B5" t="s">
        <v>231</v>
      </c>
      <c r="C5" t="s">
        <v>231</v>
      </c>
      <c r="D5" t="s">
        <v>456</v>
      </c>
    </row>
    <row r="6" spans="1:6">
      <c r="A6" t="s">
        <v>459</v>
      </c>
      <c r="B6" t="s">
        <v>241</v>
      </c>
      <c r="C6" t="s">
        <v>241</v>
      </c>
      <c r="D6" t="s">
        <v>456</v>
      </c>
      <c r="F6">
        <v>-2671</v>
      </c>
    </row>
    <row r="7" spans="1:6">
      <c r="A7" t="s">
        <v>460</v>
      </c>
      <c r="B7" t="s">
        <v>241</v>
      </c>
      <c r="C7" t="s">
        <v>241</v>
      </c>
      <c r="D7" t="s">
        <v>456</v>
      </c>
      <c r="F7">
        <v>-4616</v>
      </c>
    </row>
    <row r="8" spans="1:6">
      <c r="A8" t="s">
        <v>461</v>
      </c>
      <c r="B8" t="s">
        <v>241</v>
      </c>
      <c r="C8" t="s">
        <v>241</v>
      </c>
      <c r="D8" t="s">
        <v>456</v>
      </c>
      <c r="E8">
        <v>59103</v>
      </c>
      <c r="F8">
        <v>-42239</v>
      </c>
    </row>
    <row r="9" spans="1:6">
      <c r="A9" t="s">
        <v>462</v>
      </c>
      <c r="B9" t="s">
        <v>244</v>
      </c>
      <c r="C9" t="s">
        <v>244</v>
      </c>
      <c r="D9" t="s">
        <v>456</v>
      </c>
      <c r="E9">
        <v>19095</v>
      </c>
    </row>
    <row r="10" spans="1:6">
      <c r="A10" t="s">
        <v>463</v>
      </c>
      <c r="B10" t="s">
        <v>236</v>
      </c>
      <c r="C10" t="s">
        <v>236</v>
      </c>
      <c r="D10" t="s">
        <v>456</v>
      </c>
      <c r="E10">
        <v>27145</v>
      </c>
      <c r="F10">
        <v>22243</v>
      </c>
    </row>
    <row r="11" spans="1:6">
      <c r="A11" t="s">
        <v>464</v>
      </c>
      <c r="B11" t="s">
        <v>248</v>
      </c>
      <c r="C11" t="s">
        <v>248</v>
      </c>
      <c r="D11" t="s">
        <v>456</v>
      </c>
      <c r="E11">
        <v>-317</v>
      </c>
      <c r="F11">
        <v>8885</v>
      </c>
    </row>
    <row r="12" spans="1:6">
      <c r="A12" t="s">
        <v>416</v>
      </c>
      <c r="B12" t="s">
        <v>240</v>
      </c>
      <c r="C12" t="s">
        <v>240</v>
      </c>
      <c r="D12" t="s">
        <v>456</v>
      </c>
      <c r="E12">
        <v>28210</v>
      </c>
      <c r="F12">
        <v>2248</v>
      </c>
    </row>
    <row r="13" spans="1:6">
      <c r="A13" t="s">
        <v>465</v>
      </c>
      <c r="B13" t="s">
        <v>251</v>
      </c>
      <c r="C13" t="s">
        <v>251</v>
      </c>
      <c r="D13" t="s">
        <v>456</v>
      </c>
      <c r="E13">
        <v>564</v>
      </c>
      <c r="F13">
        <v>-374</v>
      </c>
    </row>
    <row r="14" spans="1:6">
      <c r="A14" t="s">
        <v>466</v>
      </c>
      <c r="D14" t="s">
        <v>456</v>
      </c>
    </row>
    <row r="15" spans="1:6">
      <c r="A15" t="s">
        <v>379</v>
      </c>
      <c r="B15" t="s">
        <v>265</v>
      </c>
      <c r="C15" t="s">
        <v>265</v>
      </c>
      <c r="D15" t="s">
        <v>456</v>
      </c>
      <c r="E15">
        <v>-28189</v>
      </c>
      <c r="F15">
        <v>26597</v>
      </c>
    </row>
    <row r="16" spans="1:6">
      <c r="A16" t="s">
        <v>467</v>
      </c>
      <c r="B16" t="s">
        <v>264</v>
      </c>
      <c r="C16" t="s">
        <v>264</v>
      </c>
      <c r="D16" t="s">
        <v>456</v>
      </c>
      <c r="E16">
        <v>-208</v>
      </c>
      <c r="F16">
        <v>-135</v>
      </c>
    </row>
    <row r="17" spans="1:6">
      <c r="A17" t="s">
        <v>389</v>
      </c>
      <c r="B17" t="s">
        <v>273</v>
      </c>
      <c r="C17" t="s">
        <v>273</v>
      </c>
      <c r="D17" t="s">
        <v>456</v>
      </c>
      <c r="E17">
        <v>963</v>
      </c>
      <c r="F17">
        <v>-6349</v>
      </c>
    </row>
    <row r="18" spans="1:6">
      <c r="A18" t="s">
        <v>391</v>
      </c>
      <c r="B18" t="s">
        <v>277</v>
      </c>
      <c r="C18" t="s">
        <v>277</v>
      </c>
      <c r="D18" t="s">
        <v>456</v>
      </c>
      <c r="E18">
        <v>19359</v>
      </c>
      <c r="F18">
        <v>-12307</v>
      </c>
    </row>
    <row r="19" spans="1:6">
      <c r="A19" t="s">
        <v>468</v>
      </c>
      <c r="B19" t="s">
        <v>285</v>
      </c>
      <c r="C19" t="s">
        <v>285</v>
      </c>
      <c r="D19" t="s">
        <v>456</v>
      </c>
      <c r="E19">
        <v>20877</v>
      </c>
      <c r="F19">
        <v>12966</v>
      </c>
    </row>
    <row r="20" spans="1:6">
      <c r="A20" t="s">
        <v>469</v>
      </c>
      <c r="B20" t="s">
        <v>286</v>
      </c>
      <c r="C20" t="s">
        <v>286</v>
      </c>
      <c r="D20" t="s">
        <v>470</v>
      </c>
    </row>
    <row r="21" spans="1:6">
      <c r="A21" t="s">
        <v>471</v>
      </c>
      <c r="B21" t="s">
        <v>290</v>
      </c>
      <c r="C21" t="s">
        <v>290</v>
      </c>
      <c r="D21" t="s">
        <v>470</v>
      </c>
      <c r="E21">
        <v>-7000</v>
      </c>
      <c r="F21">
        <v>-31514</v>
      </c>
    </row>
    <row r="22" spans="1:6">
      <c r="A22" t="s">
        <v>472</v>
      </c>
      <c r="B22" t="s">
        <v>291</v>
      </c>
      <c r="C22" t="s">
        <v>291</v>
      </c>
      <c r="D22" t="s">
        <v>470</v>
      </c>
      <c r="E22">
        <v>19097</v>
      </c>
    </row>
    <row r="23" spans="1:6">
      <c r="A23" t="s">
        <v>473</v>
      </c>
      <c r="B23" t="s">
        <v>290</v>
      </c>
      <c r="C23" t="s">
        <v>290</v>
      </c>
      <c r="D23" t="s">
        <v>470</v>
      </c>
      <c r="F23">
        <v>-4000</v>
      </c>
    </row>
    <row r="24" spans="1:6">
      <c r="A24" t="s">
        <v>474</v>
      </c>
      <c r="B24" t="s">
        <v>287</v>
      </c>
      <c r="C24" t="s">
        <v>287</v>
      </c>
      <c r="D24" t="s">
        <v>470</v>
      </c>
      <c r="E24">
        <v>-34</v>
      </c>
      <c r="F24">
        <v>-2</v>
      </c>
    </row>
    <row r="25" spans="1:6">
      <c r="A25" t="s">
        <v>475</v>
      </c>
      <c r="B25" t="s">
        <v>290</v>
      </c>
      <c r="C25" t="s">
        <v>290</v>
      </c>
      <c r="D25" t="s">
        <v>470</v>
      </c>
      <c r="E25">
        <v>-102769</v>
      </c>
      <c r="F25">
        <v>-448388</v>
      </c>
    </row>
    <row r="26" spans="1:6">
      <c r="A26" t="s">
        <v>476</v>
      </c>
      <c r="B26" t="s">
        <v>291</v>
      </c>
      <c r="C26" t="s">
        <v>291</v>
      </c>
      <c r="D26" t="s">
        <v>470</v>
      </c>
      <c r="E26">
        <v>66640</v>
      </c>
      <c r="F26">
        <v>467790</v>
      </c>
    </row>
    <row r="27" spans="1:6">
      <c r="A27" t="s">
        <v>477</v>
      </c>
      <c r="B27" t="s">
        <v>296</v>
      </c>
      <c r="C27" t="s">
        <v>296</v>
      </c>
      <c r="D27" t="s">
        <v>470</v>
      </c>
      <c r="E27">
        <v>-24066</v>
      </c>
      <c r="F27">
        <v>-16114</v>
      </c>
    </row>
    <row r="28" spans="1:6">
      <c r="A28" t="s">
        <v>478</v>
      </c>
      <c r="B28" t="s">
        <v>297</v>
      </c>
      <c r="C28" t="s">
        <v>297</v>
      </c>
      <c r="D28" t="s">
        <v>479</v>
      </c>
    </row>
    <row r="29" spans="1:6">
      <c r="A29" t="s">
        <v>480</v>
      </c>
      <c r="B29" t="s">
        <v>298</v>
      </c>
      <c r="C29" t="s">
        <v>298</v>
      </c>
      <c r="D29" t="s">
        <v>479</v>
      </c>
      <c r="E29">
        <v>-4634</v>
      </c>
    </row>
    <row r="30" spans="1:6">
      <c r="A30" t="s">
        <v>481</v>
      </c>
      <c r="B30" t="s">
        <v>298</v>
      </c>
      <c r="C30" t="s">
        <v>298</v>
      </c>
      <c r="D30" t="s">
        <v>479</v>
      </c>
      <c r="E30">
        <v>257</v>
      </c>
      <c r="F30">
        <v>745</v>
      </c>
    </row>
    <row r="31" spans="1:6">
      <c r="A31" t="s">
        <v>482</v>
      </c>
      <c r="B31" t="s">
        <v>298</v>
      </c>
      <c r="C31" t="s">
        <v>298</v>
      </c>
      <c r="D31" t="s">
        <v>479</v>
      </c>
      <c r="E31">
        <v>-229</v>
      </c>
      <c r="F31">
        <v>-45</v>
      </c>
    </row>
    <row r="32" spans="1:6">
      <c r="A32" t="s">
        <v>483</v>
      </c>
      <c r="B32" t="s">
        <v>311</v>
      </c>
      <c r="C32" t="s">
        <v>311</v>
      </c>
      <c r="D32" t="s">
        <v>479</v>
      </c>
      <c r="E32">
        <v>-4606</v>
      </c>
      <c r="F32">
        <v>700</v>
      </c>
    </row>
    <row r="33" spans="1:6">
      <c r="A33" t="s">
        <v>484</v>
      </c>
      <c r="B33" t="s">
        <v>314</v>
      </c>
      <c r="C33" t="s">
        <v>314</v>
      </c>
      <c r="D33" t="s">
        <v>479</v>
      </c>
      <c r="E33">
        <v>-7795</v>
      </c>
      <c r="F33">
        <v>-2448</v>
      </c>
    </row>
    <row r="34" spans="1:6">
      <c r="A34" t="s">
        <v>485</v>
      </c>
      <c r="B34" t="s">
        <v>486</v>
      </c>
      <c r="C34" t="s">
        <v>315</v>
      </c>
      <c r="D34" t="s">
        <v>479</v>
      </c>
      <c r="E34">
        <v>136604</v>
      </c>
      <c r="F34">
        <v>139052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08337A-EE6A-4646-9718-23F736094A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A53E9A-8D5B-45E6-882E-9CD0B0D39B9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261524E-B60A-447C-8704-A7CD7487EF4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2021-12-04T04:24:45Z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