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Financial Spread Ground Truth\"/>
    </mc:Choice>
  </mc:AlternateContent>
  <xr:revisionPtr revIDLastSave="0" documentId="13_ncr:1_{157F305F-FFC8-4672-90C4-9874A4B20C6A}" xr6:coauthVersionLast="37" xr6:coauthVersionMax="37" xr10:uidLastSave="{00000000-0000-0000-0000-000000000000}"/>
  <bookViews>
    <workbookView xWindow="-120" yWindow="-120" windowWidth="20730" windowHeight="11310" xr2:uid="{00000000-000D-0000-FFFF-FFFF00000000}"/>
  </bookViews>
  <sheets>
    <sheet name="Accounts" sheetId="1" r:id="rId1"/>
    <sheet name="Ratios" sheetId="2" r:id="rId2"/>
    <sheet name="bs" sheetId="3" r:id="rId3"/>
    <sheet name="pl" sheetId="4" r:id="rId4"/>
    <sheet name="cf" sheetId="5" r:id="rId5"/>
    <sheet name="mappingTemplate" sheetId="6" r:id="rId6"/>
  </sheets>
  <calcPr calcId="179021"/>
</workbook>
</file>

<file path=xl/calcChain.xml><?xml version="1.0" encoding="utf-8"?>
<calcChain xmlns="http://schemas.openxmlformats.org/spreadsheetml/2006/main">
  <c r="F59" i="1" l="1"/>
  <c r="F67" i="1"/>
  <c r="G52" i="1" l="1"/>
  <c r="F52" i="1"/>
  <c r="F14" i="1" l="1"/>
  <c r="G212" i="1"/>
  <c r="F212" i="1"/>
  <c r="F227" i="1" s="1"/>
  <c r="F104" i="1"/>
  <c r="F98" i="1"/>
  <c r="F100" i="1" s="1"/>
  <c r="F43" i="1"/>
  <c r="F5" i="1"/>
  <c r="G5" i="1"/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P381" i="1"/>
  <c r="O381" i="1"/>
  <c r="N381" i="1"/>
  <c r="M381" i="1"/>
  <c r="L381" i="1"/>
  <c r="K381" i="1"/>
  <c r="P375" i="1"/>
  <c r="O375" i="1"/>
  <c r="N375" i="1"/>
  <c r="M375" i="1"/>
  <c r="L375" i="1"/>
  <c r="K375" i="1"/>
  <c r="P365" i="1"/>
  <c r="O365" i="1"/>
  <c r="N365" i="1"/>
  <c r="M365" i="1"/>
  <c r="L365" i="1"/>
  <c r="K365" i="1"/>
  <c r="P364" i="1"/>
  <c r="O364" i="1"/>
  <c r="N364" i="1"/>
  <c r="M364" i="1"/>
  <c r="L364" i="1"/>
  <c r="K364" i="1"/>
  <c r="J364" i="1"/>
  <c r="I364" i="1"/>
  <c r="G364" i="1"/>
  <c r="F364" i="1"/>
  <c r="P363" i="1"/>
  <c r="O363" i="1"/>
  <c r="N363" i="1"/>
  <c r="M363" i="1"/>
  <c r="L363" i="1"/>
  <c r="K363" i="1"/>
  <c r="P357" i="1"/>
  <c r="O357" i="1"/>
  <c r="N357" i="1"/>
  <c r="M357" i="1"/>
  <c r="L357" i="1"/>
  <c r="K357" i="1"/>
  <c r="J357" i="1"/>
  <c r="I357" i="1"/>
  <c r="P355" i="1"/>
  <c r="O355" i="1"/>
  <c r="N355" i="1"/>
  <c r="M355" i="1"/>
  <c r="L355" i="1"/>
  <c r="K355" i="1"/>
  <c r="J355" i="1"/>
  <c r="I355" i="1"/>
  <c r="P353" i="1"/>
  <c r="O353" i="1"/>
  <c r="N353" i="1"/>
  <c r="M353" i="1"/>
  <c r="L353" i="1"/>
  <c r="K353" i="1"/>
  <c r="J353" i="1"/>
  <c r="I353" i="1"/>
  <c r="P352" i="1"/>
  <c r="O352" i="1"/>
  <c r="N352" i="1"/>
  <c r="M352" i="1"/>
  <c r="L352" i="1"/>
  <c r="K352" i="1"/>
  <c r="J352" i="1"/>
  <c r="I352" i="1"/>
  <c r="G352" i="1"/>
  <c r="F352" i="1"/>
  <c r="P337" i="1"/>
  <c r="O337" i="1"/>
  <c r="N337" i="1"/>
  <c r="M337" i="1"/>
  <c r="L337" i="1"/>
  <c r="K337" i="1"/>
  <c r="J337" i="1"/>
  <c r="I337" i="1"/>
  <c r="G337" i="1"/>
  <c r="F337" i="1"/>
  <c r="P326" i="1"/>
  <c r="O326" i="1"/>
  <c r="N326" i="1"/>
  <c r="M326" i="1"/>
  <c r="L326" i="1"/>
  <c r="K326" i="1"/>
  <c r="J326" i="1"/>
  <c r="I326" i="1"/>
  <c r="P325" i="1"/>
  <c r="O325" i="1"/>
  <c r="N325" i="1"/>
  <c r="M325" i="1"/>
  <c r="L325" i="1"/>
  <c r="K325" i="1"/>
  <c r="J325" i="1"/>
  <c r="I325" i="1"/>
  <c r="G325" i="1"/>
  <c r="F325" i="1"/>
  <c r="P319" i="1"/>
  <c r="O319" i="1"/>
  <c r="N319" i="1"/>
  <c r="M319" i="1"/>
  <c r="L319" i="1"/>
  <c r="K319" i="1"/>
  <c r="J319" i="1"/>
  <c r="I319" i="1"/>
  <c r="P318" i="1"/>
  <c r="O318" i="1"/>
  <c r="N318" i="1"/>
  <c r="M318" i="1"/>
  <c r="L318" i="1"/>
  <c r="K318" i="1"/>
  <c r="J318" i="1"/>
  <c r="I318" i="1"/>
  <c r="G318" i="1"/>
  <c r="F318" i="1"/>
  <c r="P297" i="1"/>
  <c r="O297" i="1"/>
  <c r="N297" i="1"/>
  <c r="M297" i="1"/>
  <c r="L297" i="1"/>
  <c r="K297" i="1"/>
  <c r="J297" i="1"/>
  <c r="I297" i="1"/>
  <c r="G297" i="1"/>
  <c r="P296" i="1"/>
  <c r="O296" i="1"/>
  <c r="N296" i="1"/>
  <c r="M296" i="1"/>
  <c r="L296" i="1"/>
  <c r="K296" i="1"/>
  <c r="J296" i="1"/>
  <c r="I296" i="1"/>
  <c r="G296" i="1"/>
  <c r="F296" i="1"/>
  <c r="F297" i="1" s="1"/>
  <c r="P227" i="1"/>
  <c r="O227" i="1"/>
  <c r="N227" i="1"/>
  <c r="M227" i="1"/>
  <c r="L227" i="1"/>
  <c r="K227" i="1"/>
  <c r="J227" i="1"/>
  <c r="I227" i="1"/>
  <c r="G227" i="1"/>
  <c r="G11" i="1" s="1"/>
  <c r="F11" i="1"/>
  <c r="P210" i="1"/>
  <c r="O210" i="1"/>
  <c r="N210" i="1"/>
  <c r="M210" i="1"/>
  <c r="L210" i="1"/>
  <c r="K210" i="1"/>
  <c r="J210" i="1"/>
  <c r="I210" i="1"/>
  <c r="G210" i="1"/>
  <c r="G10" i="1" s="1"/>
  <c r="F210" i="1"/>
  <c r="F10" i="1" s="1"/>
  <c r="P189" i="1"/>
  <c r="O189" i="1"/>
  <c r="N189" i="1"/>
  <c r="M189" i="1"/>
  <c r="L189" i="1"/>
  <c r="K189" i="1"/>
  <c r="J189" i="1"/>
  <c r="I189" i="1"/>
  <c r="G189" i="1"/>
  <c r="G9" i="1" s="1"/>
  <c r="G384" i="1" s="1"/>
  <c r="F189" i="1"/>
  <c r="F9" i="1" s="1"/>
  <c r="F384" i="1" s="1"/>
  <c r="P161" i="1"/>
  <c r="O161" i="1"/>
  <c r="N161" i="1"/>
  <c r="M161" i="1"/>
  <c r="L161" i="1"/>
  <c r="K161" i="1"/>
  <c r="J161" i="1"/>
  <c r="I161" i="1"/>
  <c r="P160" i="1"/>
  <c r="O160" i="1"/>
  <c r="N160" i="1"/>
  <c r="M160" i="1"/>
  <c r="L160" i="1"/>
  <c r="K160" i="1"/>
  <c r="J160" i="1"/>
  <c r="I160" i="1"/>
  <c r="G160" i="1"/>
  <c r="F160" i="1"/>
  <c r="P145" i="1"/>
  <c r="O145" i="1"/>
  <c r="N145" i="1"/>
  <c r="M145" i="1"/>
  <c r="L145" i="1"/>
  <c r="K145" i="1"/>
  <c r="J145" i="1"/>
  <c r="I145" i="1"/>
  <c r="G145" i="1"/>
  <c r="F145" i="1"/>
  <c r="P140" i="1"/>
  <c r="O140" i="1"/>
  <c r="N140" i="1"/>
  <c r="M140" i="1"/>
  <c r="L140" i="1"/>
  <c r="K140" i="1"/>
  <c r="J140" i="1"/>
  <c r="I140" i="1"/>
  <c r="G140" i="1"/>
  <c r="F140" i="1"/>
  <c r="P128" i="1"/>
  <c r="O128" i="1"/>
  <c r="N128" i="1"/>
  <c r="M128" i="1"/>
  <c r="L128" i="1"/>
  <c r="K128" i="1"/>
  <c r="J128" i="1"/>
  <c r="I128" i="1"/>
  <c r="P104" i="1"/>
  <c r="O104" i="1"/>
  <c r="N104" i="1"/>
  <c r="M104" i="1"/>
  <c r="L104" i="1"/>
  <c r="K104" i="1"/>
  <c r="J104" i="1"/>
  <c r="I104" i="1"/>
  <c r="G104" i="1"/>
  <c r="P100" i="1"/>
  <c r="O100" i="1"/>
  <c r="N100" i="1"/>
  <c r="M100" i="1"/>
  <c r="L100" i="1"/>
  <c r="K100" i="1"/>
  <c r="J100" i="1"/>
  <c r="I100" i="1"/>
  <c r="P98" i="1"/>
  <c r="O98" i="1"/>
  <c r="N98" i="1"/>
  <c r="M98" i="1"/>
  <c r="L98" i="1"/>
  <c r="K98" i="1"/>
  <c r="J98" i="1"/>
  <c r="I98" i="1"/>
  <c r="G98" i="1"/>
  <c r="G100" i="1" s="1"/>
  <c r="F128" i="1"/>
  <c r="P83" i="1"/>
  <c r="O83" i="1"/>
  <c r="N83" i="1"/>
  <c r="M83" i="1"/>
  <c r="L83" i="1"/>
  <c r="K83" i="1"/>
  <c r="J83" i="1"/>
  <c r="I83" i="1"/>
  <c r="P71" i="1"/>
  <c r="O71" i="1"/>
  <c r="N71" i="1"/>
  <c r="M71" i="1"/>
  <c r="L71" i="1"/>
  <c r="K71" i="1"/>
  <c r="J71" i="1"/>
  <c r="I71" i="1"/>
  <c r="P67" i="1"/>
  <c r="O67" i="1"/>
  <c r="N67" i="1"/>
  <c r="M67" i="1"/>
  <c r="L67" i="1"/>
  <c r="K67" i="1"/>
  <c r="J67" i="1"/>
  <c r="I67" i="1"/>
  <c r="P59" i="1"/>
  <c r="O59" i="1"/>
  <c r="N59" i="1"/>
  <c r="M59" i="1"/>
  <c r="L59" i="1"/>
  <c r="K59" i="1"/>
  <c r="J59" i="1"/>
  <c r="I59" i="1"/>
  <c r="P44" i="1"/>
  <c r="P378" i="1" s="1"/>
  <c r="O44" i="1"/>
  <c r="O378" i="1" s="1"/>
  <c r="N44" i="1"/>
  <c r="N370" i="1" s="1"/>
  <c r="M44" i="1"/>
  <c r="M370" i="1" s="1"/>
  <c r="L44" i="1"/>
  <c r="L370" i="1" s="1"/>
  <c r="K44" i="1"/>
  <c r="K370" i="1" s="1"/>
  <c r="J44" i="1"/>
  <c r="J370" i="1" s="1"/>
  <c r="I44" i="1"/>
  <c r="I370" i="1" s="1"/>
  <c r="P43" i="1"/>
  <c r="O43" i="1"/>
  <c r="N43" i="1"/>
  <c r="M43" i="1"/>
  <c r="L43" i="1"/>
  <c r="K43" i="1"/>
  <c r="J43" i="1"/>
  <c r="I43" i="1"/>
  <c r="G43" i="1"/>
  <c r="P30" i="1"/>
  <c r="P369" i="1" s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G30" i="1"/>
  <c r="G369" i="1" s="1"/>
  <c r="F30" i="1"/>
  <c r="P14" i="1"/>
  <c r="O14" i="1"/>
  <c r="N14" i="1"/>
  <c r="M14" i="1"/>
  <c r="L14" i="1"/>
  <c r="K14" i="1"/>
  <c r="J14" i="1"/>
  <c r="I14" i="1"/>
  <c r="P13" i="1"/>
  <c r="O13" i="1"/>
  <c r="N13" i="1"/>
  <c r="M13" i="1"/>
  <c r="L13" i="1"/>
  <c r="K13" i="1"/>
  <c r="J13" i="1"/>
  <c r="I13" i="1"/>
  <c r="P12" i="1"/>
  <c r="P366" i="1" s="1"/>
  <c r="O12" i="1"/>
  <c r="N12" i="1"/>
  <c r="M12" i="1"/>
  <c r="L12" i="1"/>
  <c r="K12" i="1"/>
  <c r="J12" i="1"/>
  <c r="I12" i="1"/>
  <c r="P11" i="1"/>
  <c r="O11" i="1"/>
  <c r="N11" i="1"/>
  <c r="M11" i="1"/>
  <c r="L11" i="1"/>
  <c r="K11" i="1"/>
  <c r="J11" i="1"/>
  <c r="I11" i="1"/>
  <c r="P10" i="1"/>
  <c r="O10" i="1"/>
  <c r="N10" i="1"/>
  <c r="M10" i="1"/>
  <c r="L10" i="1"/>
  <c r="K10" i="1"/>
  <c r="J10" i="1"/>
  <c r="I10" i="1"/>
  <c r="P9" i="1"/>
  <c r="P384" i="1" s="1"/>
  <c r="O9" i="1"/>
  <c r="O384" i="1" s="1"/>
  <c r="N9" i="1"/>
  <c r="N384" i="1" s="1"/>
  <c r="M9" i="1"/>
  <c r="M384" i="1" s="1"/>
  <c r="L9" i="1"/>
  <c r="K9" i="1"/>
  <c r="J9" i="1"/>
  <c r="I9" i="1"/>
  <c r="P8" i="1"/>
  <c r="O8" i="1"/>
  <c r="N8" i="1"/>
  <c r="M8" i="1"/>
  <c r="L8" i="1"/>
  <c r="K8" i="1"/>
  <c r="J8" i="1"/>
  <c r="I8" i="1"/>
  <c r="P7" i="1"/>
  <c r="O7" i="1"/>
  <c r="N7" i="1"/>
  <c r="M7" i="1"/>
  <c r="L7" i="1"/>
  <c r="K7" i="1"/>
  <c r="J7" i="1"/>
  <c r="I7" i="1"/>
  <c r="P6" i="1"/>
  <c r="P371" i="1" s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I371" i="1" s="1"/>
  <c r="P5" i="1"/>
  <c r="O5" i="1"/>
  <c r="N5" i="1"/>
  <c r="M5" i="1"/>
  <c r="L5" i="1"/>
  <c r="K5" i="1"/>
  <c r="J5" i="1"/>
  <c r="J368" i="1" s="1"/>
  <c r="I5" i="1"/>
  <c r="I368" i="1" s="1"/>
  <c r="G368" i="1"/>
  <c r="F368" i="1"/>
  <c r="I383" i="1" l="1"/>
  <c r="J383" i="1"/>
  <c r="K366" i="1"/>
  <c r="F319" i="1"/>
  <c r="F369" i="1"/>
  <c r="F44" i="1"/>
  <c r="G128" i="1"/>
  <c r="G7" i="1" s="1"/>
  <c r="G12" i="1" s="1"/>
  <c r="N366" i="1"/>
  <c r="J366" i="1"/>
  <c r="O373" i="1"/>
  <c r="P385" i="1"/>
  <c r="P373" i="1"/>
  <c r="I385" i="1"/>
  <c r="P383" i="1"/>
  <c r="I372" i="1"/>
  <c r="F7" i="1"/>
  <c r="M366" i="1"/>
  <c r="K385" i="1"/>
  <c r="K382" i="1"/>
  <c r="I377" i="1"/>
  <c r="L366" i="1"/>
  <c r="F161" i="1"/>
  <c r="F8" i="1" s="1"/>
  <c r="F383" i="1" s="1"/>
  <c r="J385" i="1"/>
  <c r="J372" i="1"/>
  <c r="J377" i="1"/>
  <c r="G319" i="1"/>
  <c r="G326" i="1" s="1"/>
  <c r="G385" i="1" s="1"/>
  <c r="L385" i="1"/>
  <c r="L382" i="1"/>
  <c r="K373" i="1"/>
  <c r="M383" i="1"/>
  <c r="K376" i="1"/>
  <c r="O366" i="1"/>
  <c r="L373" i="1"/>
  <c r="M385" i="1"/>
  <c r="N383" i="1"/>
  <c r="N385" i="1"/>
  <c r="L376" i="1"/>
  <c r="M373" i="1"/>
  <c r="O383" i="1"/>
  <c r="I366" i="1"/>
  <c r="N373" i="1"/>
  <c r="G161" i="1"/>
  <c r="G8" i="1" s="1"/>
  <c r="G383" i="1" s="1"/>
  <c r="F326" i="1"/>
  <c r="F385" i="1" s="1"/>
  <c r="O385" i="1"/>
  <c r="F382" i="1"/>
  <c r="K368" i="1"/>
  <c r="O370" i="1"/>
  <c r="K372" i="1"/>
  <c r="I373" i="1"/>
  <c r="F375" i="1"/>
  <c r="M376" i="1"/>
  <c r="K377" i="1"/>
  <c r="I378" i="1"/>
  <c r="F381" i="1"/>
  <c r="M382" i="1"/>
  <c r="K383" i="1"/>
  <c r="I384" i="1"/>
  <c r="L368" i="1"/>
  <c r="P370" i="1"/>
  <c r="L372" i="1"/>
  <c r="J373" i="1"/>
  <c r="G375" i="1"/>
  <c r="N376" i="1"/>
  <c r="L377" i="1"/>
  <c r="J378" i="1"/>
  <c r="G381" i="1"/>
  <c r="N382" i="1"/>
  <c r="L383" i="1"/>
  <c r="J384" i="1"/>
  <c r="I365" i="1"/>
  <c r="M368" i="1"/>
  <c r="M372" i="1"/>
  <c r="I375" i="1"/>
  <c r="O376" i="1"/>
  <c r="M377" i="1"/>
  <c r="K378" i="1"/>
  <c r="I381" i="1"/>
  <c r="O382" i="1"/>
  <c r="K384" i="1"/>
  <c r="J365" i="1"/>
  <c r="N368" i="1"/>
  <c r="N372" i="1"/>
  <c r="J375" i="1"/>
  <c r="P376" i="1"/>
  <c r="N377" i="1"/>
  <c r="L378" i="1"/>
  <c r="J381" i="1"/>
  <c r="P382" i="1"/>
  <c r="L384" i="1"/>
  <c r="F363" i="1"/>
  <c r="O368" i="1"/>
  <c r="O372" i="1"/>
  <c r="I376" i="1"/>
  <c r="F377" i="1"/>
  <c r="O377" i="1"/>
  <c r="M378" i="1"/>
  <c r="I382" i="1"/>
  <c r="G363" i="1"/>
  <c r="P368" i="1"/>
  <c r="P372" i="1"/>
  <c r="J376" i="1"/>
  <c r="G377" i="1"/>
  <c r="P377" i="1"/>
  <c r="N378" i="1"/>
  <c r="J382" i="1"/>
  <c r="F13" i="1"/>
  <c r="I363" i="1"/>
  <c r="G13" i="1"/>
  <c r="G44" i="1"/>
  <c r="J363" i="1"/>
  <c r="G353" i="1" l="1"/>
  <c r="G355" i="1" s="1"/>
  <c r="G357" i="1" s="1"/>
  <c r="F12" i="1"/>
  <c r="F71" i="1"/>
  <c r="F83" i="1" s="1"/>
  <c r="F376" i="1"/>
  <c r="F353" i="1"/>
  <c r="F355" i="1" s="1"/>
  <c r="F357" i="1" s="1"/>
  <c r="G382" i="1"/>
  <c r="G366" i="1"/>
  <c r="G14" i="1"/>
  <c r="F378" i="1"/>
  <c r="F370" i="1"/>
  <c r="G376" i="1"/>
  <c r="G378" i="1"/>
  <c r="G370" i="1"/>
  <c r="G59" i="1"/>
  <c r="G67" i="1" s="1"/>
  <c r="G71" i="1" s="1"/>
  <c r="F366" i="1"/>
  <c r="F373" i="1" l="1"/>
  <c r="F372" i="1"/>
  <c r="F6" i="1"/>
  <c r="G373" i="1"/>
  <c r="G83" i="1"/>
  <c r="G372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<sst xmlns="http://schemas.openxmlformats.org/spreadsheetml/2006/main" count="941" uniqueCount="521">
  <si>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</si>
  <si>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</si>
  <si>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</si>
  <si>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</si>
  <si>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</si>
  <si>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</si>
  <si>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</si>
  <si>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</si>
  <si>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</si>
  <si>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</si>
  <si>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</si>
  <si>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</si>
  <si>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</si>
  <si>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</si>
  <si>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</si>
  <si>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</si>
  <si>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</si>
  <si>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</si>
  <si>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</si>
  <si>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</si>
  <si>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</si>
  <si>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</si>
  <si>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</si>
  <si>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</si>
  <si>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</si>
  <si>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</si>
  <si>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</si>
  <si>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</si>
  <si>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</si>
  <si>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</si>
  <si>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</si>
  <si>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</si>
  <si>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</si>
  <si>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</si>
  <si>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</si>
  <si>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</si>
  <si>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</si>
  <si>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</si>
  <si>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</si>
  <si>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</si>
  <si>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</si>
  <si>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</si>
  <si>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</si>
  <si>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</si>
  <si>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</si>
  <si>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</si>
  <si>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</si>
  <si>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</si>
  <si>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</si>
  <si>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</si>
  <si>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</si>
  <si>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</si>
  <si>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</si>
  <si>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</si>
  <si>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</si>
  <si>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</si>
  <si>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</si>
  <si>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</si>
  <si>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</si>
  <si>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</si>
  <si>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</si>
  <si>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</si>
  <si>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</si>
  <si>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</si>
  <si>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</si>
  <si>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</si>
  <si>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</si>
  <si>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</si>
  <si>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</si>
  <si>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</si>
  <si>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</si>
  <si>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</si>
  <si>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</si>
  <si>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</si>
  <si>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</si>
  <si>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</si>
  <si>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</si>
  <si>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</si>
  <si>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</si>
  <si>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</si>
  <si>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</si>
  <si>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</si>
  <si>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</si>
  <si>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</si>
  <si>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</si>
  <si>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</si>
  <si>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</si>
  <si>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</si>
  <si>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</si>
  <si>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</si>
  <si>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</si>
  <si>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</si>
  <si>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</si>
  <si>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</si>
  <si>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</si>
  <si>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</si>
  <si>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</si>
  <si>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</si>
  <si>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</si>
  <si>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</si>
  <si>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</si>
  <si>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</si>
  <si>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</si>
  <si>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</si>
  <si>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</si>
  <si>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</si>
  <si>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</si>
  <si>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</si>
  <si>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</si>
  <si>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</si>
  <si>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</si>
  <si>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</si>
  <si>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</si>
  <si>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</si>
  <si>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</si>
  <si>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</si>
  <si>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</si>
  <si>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</si>
  <si>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</si>
  <si>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</si>
  <si>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</si>
  <si>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</si>
  <si>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</si>
  <si>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</si>
  <si>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</si>
  <si>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</si>
  <si>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</si>
  <si>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</si>
  <si>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</si>
  <si>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</si>
  <si>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</si>
  <si>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</si>
  <si>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</si>
  <si>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</si>
  <si>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</si>
  <si>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</si>
  <si>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</si>
  <si>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</si>
  <si>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</si>
  <si>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</si>
  <si>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</si>
  <si>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</si>
  <si>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</si>
  <si>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</si>
  <si>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</si>
  <si>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</si>
  <si>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</si>
  <si>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</si>
  <si>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</si>
  <si>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</si>
  <si>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</si>
  <si>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</si>
  <si>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</si>
  <si>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</si>
  <si>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</si>
  <si>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</si>
  <si>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</si>
  <si>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</si>
  <si>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</si>
  <si>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</si>
  <si>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</si>
  <si>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</si>
  <si>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</si>
  <si>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</si>
  <si>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</si>
  <si>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</si>
  <si>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</si>
  <si>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</si>
  <si>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</si>
  <si>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</si>
  <si>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</si>
  <si>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</si>
  <si>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</si>
  <si>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</si>
  <si>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</si>
  <si>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</si>
  <si>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</si>
  <si>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</si>
  <si>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</si>
  <si>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</si>
  <si>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</si>
  <si>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</si>
  <si>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</si>
  <si>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</si>
  <si>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</si>
  <si>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</si>
  <si>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</si>
  <si>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</si>
  <si>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</si>
  <si>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</si>
  <si>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</si>
  <si>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</si>
  <si>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</si>
  <si>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</si>
  <si>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</si>
  <si>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</si>
  <si>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</si>
  <si>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</si>
  <si>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</si>
  <si>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</si>
  <si>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</si>
  <si>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</si>
  <si>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</si>
  <si>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</si>
  <si>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</si>
  <si>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</si>
  <si>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</si>
  <si>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</si>
  <si>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</si>
  <si>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</si>
  <si>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</si>
  <si>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</si>
  <si>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</si>
  <si>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</si>
  <si>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</si>
  <si>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</si>
  <si>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</si>
  <si>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</si>
  <si>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</si>
  <si>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</si>
  <si>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</si>
  <si>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</si>
  <si>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</si>
  <si>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</si>
  <si>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</si>
  <si>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</si>
  <si>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</si>
  <si>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</si>
  <si>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</si>
  <si>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</si>
  <si>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</si>
  <si>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</si>
  <si>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</si>
  <si>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</si>
  <si>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</si>
  <si>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</si>
  <si>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</si>
  <si>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</si>
  <si>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</si>
  <si>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</si>
  <si>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</si>
  <si>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</si>
  <si>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</si>
  <si>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</si>
  <si>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</si>
  <si>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</si>
  <si>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</si>
  <si>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</si>
  <si>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</si>
  <si>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</si>
  <si>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</si>
  <si>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</si>
  <si>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</si>
  <si>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</si>
  <si>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</si>
  <si>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</si>
  <si>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</si>
  <si>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</si>
  <si>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</si>
  <si>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</si>
  <si>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</si>
  <si>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</si>
  <si>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</si>
  <si>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</si>
  <si>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</si>
  <si>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</si>
  <si>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</si>
  <si>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</si>
  <si>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</si>
  <si>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</si>
  <si>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</si>
  <si>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</si>
  <si>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</si>
  <si>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</si>
  <si>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</si>
  <si>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</si>
  <si>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</si>
  <si>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</si>
  <si>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</si>
  <si>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</si>
  <si>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</si>
  <si>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</si>
  <si>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</si>
  <si>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</si>
  <si>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</si>
  <si>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</si>
  <si>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</si>
  <si>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</si>
  <si>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</si>
  <si>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</si>
  <si>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</si>
  <si>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</si>
  <si>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</si>
  <si>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</si>
  <si>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</si>
  <si>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</si>
  <si>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</si>
  <si>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</si>
  <si>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</si>
  <si>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</si>
  <si>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</si>
  <si>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</si>
  <si>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</si>
  <si>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</si>
  <si>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</si>
  <si>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</si>
  <si>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</si>
  <si>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</si>
  <si>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</si>
  <si>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</si>
  <si>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</si>
  <si>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</si>
  <si>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</si>
  <si>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</si>
  <si>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</si>
  <si>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</si>
  <si>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</si>
  <si>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</si>
  <si>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</si>
  <si>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</si>
  <si>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</si>
  <si>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</si>
  <si>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</si>
  <si>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</si>
  <si>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</si>
  <si>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</si>
  <si>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</si>
  <si>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</si>
  <si>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</si>
  <si>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</si>
  <si>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</si>
  <si>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</si>
  <si>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</si>
  <si>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</si>
  <si>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</si>
  <si>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</si>
  <si>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</si>
  <si>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</si>
  <si>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</si>
  <si>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</si>
  <si>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</si>
  <si>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</si>
  <si>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</si>
  <si>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</si>
  <si>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</si>
  <si>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</si>
  <si>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</si>
  <si>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</si>
  <si>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</si>
  <si>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</si>
  <si>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</si>
  <si>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</si>
  <si>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</si>
  <si>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</si>
  <si>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</si>
  <si>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</si>
  <si>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</si>
  <si>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</si>
  <si>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</si>
  <si>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</si>
  <si>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</si>
  <si>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</si>
  <si>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</si>
  <si>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</si>
  <si>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</si>
  <si>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</si>
  <si>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</si>
  <si>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</si>
  <si>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</si>
  <si>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</si>
  <si>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</si>
  <si>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</si>
  <si>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</si>
  <si>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</si>
  <si>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</si>
  <si>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</si>
  <si>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</si>
  <si>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Accounts receivable, net</t>
  </si>
  <si>
    <t>Other current assets</t>
  </si>
  <si>
    <t>Total current assets</t>
  </si>
  <si>
    <t>Property and equipment:</t>
  </si>
  <si>
    <t>Property and Equipment</t>
  </si>
  <si>
    <t>Land</t>
  </si>
  <si>
    <t>Building and improvements</t>
  </si>
  <si>
    <t>Equipment</t>
  </si>
  <si>
    <t>Construction in progress</t>
  </si>
  <si>
    <t>Less accumulated depreciation</t>
  </si>
  <si>
    <t>Property and equipment, net</t>
  </si>
  <si>
    <t>Goodwill</t>
  </si>
  <si>
    <t>Intangible assets, net</t>
  </si>
  <si>
    <t>Other Intangibles</t>
  </si>
  <si>
    <t>Deferred tax assets</t>
  </si>
  <si>
    <t>Derivative instrument assets</t>
  </si>
  <si>
    <t>Other assets</t>
  </si>
  <si>
    <t>Total assets</t>
  </si>
  <si>
    <t>LIABILITIES AND EQUITY</t>
  </si>
  <si>
    <t>Current liabilities:</t>
  </si>
  <si>
    <t>Current portion of long-term debt</t>
  </si>
  <si>
    <t>Accounts payable</t>
  </si>
  <si>
    <t>Accrued salaries and benefits</t>
  </si>
  <si>
    <t>Accruals</t>
  </si>
  <si>
    <t>Other accrued liabilities</t>
  </si>
  <si>
    <t>Total current liabilities</t>
  </si>
  <si>
    <t>Long-term debt</t>
  </si>
  <si>
    <t>Deferred tax liabilities</t>
  </si>
  <si>
    <t>Other liabilities</t>
  </si>
  <si>
    <t>Total liabilities</t>
  </si>
  <si>
    <t>Redeemable noncontrolling interests</t>
  </si>
  <si>
    <t>Equity:</t>
  </si>
  <si>
    <t>Preferred stock, $0.01 par value; 10,000,000 shares authorized,</t>
  </si>
  <si>
    <t>no shares issued</t>
  </si>
  <si>
    <t>Common stock, $0.01 par value; 180,000,000 shares authorized;</t>
  </si>
  <si>
    <t>87,444,473 and 87,060,114 issued and outstanding as of</t>
  </si>
  <si>
    <t>December 31, 2018 and 2017, respectively</t>
  </si>
  <si>
    <t>Additional paid-in capital</t>
  </si>
  <si>
    <t>Accumulated other comprehensive loss</t>
  </si>
  <si>
    <t>Retained earnings</t>
  </si>
  <si>
    <t>Total equity</t>
  </si>
  <si>
    <t>Other Income - net</t>
  </si>
  <si>
    <t>Total Other Comprehensive Loss</t>
  </si>
  <si>
    <t>Total Other Comprehensive Income</t>
  </si>
  <si>
    <t>Revenue before provision for doubtful accounts</t>
  </si>
  <si>
    <t>Revenue</t>
  </si>
  <si>
    <t>Provision for doubtful accounts</t>
  </si>
  <si>
    <t>Salaries, wages and benefits (including equity-based compensation expense of $22,001, $23,467 and $28,345, respectively)</t>
  </si>
  <si>
    <t>Professional fees</t>
  </si>
  <si>
    <t>Supplies</t>
  </si>
  <si>
    <t>Selling and distribution expenses</t>
  </si>
  <si>
    <t>Rents and leases</t>
  </si>
  <si>
    <t>Other operating expenses</t>
  </si>
  <si>
    <t>Depreciation and amortization</t>
  </si>
  <si>
    <t>Interest expense, net</t>
  </si>
  <si>
    <t>Debt extinguishment costs</t>
  </si>
  <si>
    <t>Legal settlements expense</t>
  </si>
  <si>
    <t>Loss on impairment</t>
  </si>
  <si>
    <t>Loss on divestiture</t>
  </si>
  <si>
    <t>Gain on foreign currency derivatives</t>
  </si>
  <si>
    <t>Transaction-related expenses</t>
  </si>
  <si>
    <t>Total expenses</t>
  </si>
  <si>
    <t>(Loss) income before income taxes</t>
  </si>
  <si>
    <t>Profit before Zakat</t>
  </si>
  <si>
    <t>Provision for income taxes</t>
  </si>
  <si>
    <t>Net (loss) income</t>
  </si>
  <si>
    <t>Net (income) loss attributable to noncontrolling interests</t>
  </si>
  <si>
    <t>Share of profit or loss from associates, JVs</t>
  </si>
  <si>
    <t>Net (loss) income attributable to Acadia Healthcare Company, Inc</t>
  </si>
  <si>
    <t>Earnings per share attributable to Acadia Healthcare Company,</t>
  </si>
  <si>
    <t>Inc. stockholders:</t>
  </si>
  <si>
    <t>Basic</t>
  </si>
  <si>
    <t>Diluted</t>
  </si>
  <si>
    <t>Weighted-average shares outstanding:</t>
  </si>
  <si>
    <t>Operating activities:</t>
  </si>
  <si>
    <t>Operating Activities</t>
  </si>
  <si>
    <t>Adjustments to reconcile net (loss) income to net cash provided by continuing</t>
  </si>
  <si>
    <t>operating activities:</t>
  </si>
  <si>
    <t>Amortization of debt issuance costs</t>
  </si>
  <si>
    <t>Equity-based compensation expense</t>
  </si>
  <si>
    <t>Deferred income taxes</t>
  </si>
  <si>
    <t>Interest income</t>
  </si>
  <si>
    <t>Other</t>
  </si>
  <si>
    <t>Change in operating assets and liabilities, net of effect of acquisitions:</t>
  </si>
  <si>
    <t>Accounts payable and other accrued liabilities</t>
  </si>
  <si>
    <t>Net cash provided by continuing operating activities</t>
  </si>
  <si>
    <t>Net cash used in discontinued operating activities</t>
  </si>
  <si>
    <t>Net cash provided by operating activities</t>
  </si>
  <si>
    <t>Investing activities:</t>
  </si>
  <si>
    <t>Investing Activities</t>
  </si>
  <si>
    <t>Cash paid for acquisitions, net of cash acquired</t>
  </si>
  <si>
    <t>Cash paid for capital expenditures</t>
  </si>
  <si>
    <t>Cash paid for real estate acquisitions</t>
  </si>
  <si>
    <t>Settlement of foreign currency derivatives</t>
  </si>
  <si>
    <t>Cash received on divestitures</t>
  </si>
  <si>
    <t>Net cash used in investing activities</t>
  </si>
  <si>
    <t>Financing activities:</t>
  </si>
  <si>
    <t>Financing Activities</t>
  </si>
  <si>
    <t>Borrowings on long-term debt</t>
  </si>
  <si>
    <t>Borrowings on revolving credit facility</t>
  </si>
  <si>
    <t>Principal payments on revolving credit facility</t>
  </si>
  <si>
    <t>Principal payments on long-term debt</t>
  </si>
  <si>
    <t>Repayment of assumed debt</t>
  </si>
  <si>
    <t>Repayment of long-term debt</t>
  </si>
  <si>
    <t>Payment of debt issuance costs</t>
  </si>
  <si>
    <t>Finance Costs</t>
  </si>
  <si>
    <t>Issuances of common stock, net</t>
  </si>
  <si>
    <t>Common stock withheld for minimum statutory taxes, net</t>
  </si>
  <si>
    <t>Net cash (used in) provided by financing activities</t>
  </si>
  <si>
    <t>Effect of exchange rate changes on cash</t>
  </si>
  <si>
    <t>Net (decrease) increase in cash and cash equivalents</t>
  </si>
  <si>
    <t>Net increase (decrease) in cash and cash equivalents</t>
  </si>
  <si>
    <t>Cash and cash equivalents at beginning of the period</t>
  </si>
  <si>
    <t>Cash and cash equivalents at beginning of period</t>
  </si>
  <si>
    <t>Cash and cash equivalents at end of the period</t>
  </si>
  <si>
    <t>Supplemental Cash Flow Information:</t>
  </si>
  <si>
    <t>Cash paid for interest</t>
  </si>
  <si>
    <t>Cash paid for income taxes</t>
  </si>
  <si>
    <t xml:space="preserve">Adjustment for Income Tax Paid </t>
  </si>
  <si>
    <t>Effect of acquisitions:</t>
  </si>
  <si>
    <t>Assets acquired, excluding cash</t>
  </si>
  <si>
    <t>Liabilities assumed</t>
  </si>
  <si>
    <t>Issuance of common stock in connection with acquisition</t>
  </si>
  <si>
    <t>Comments</t>
  </si>
  <si>
    <t>Original Line Item in the pdf</t>
  </si>
  <si>
    <t>Line item in the accounts Tamplate into which Originalline item is mapped</t>
  </si>
  <si>
    <t xml:space="preserve">Person mapping </t>
  </si>
  <si>
    <t>The logic could not differentiate between the Revenue field and the Total Revenue (double counting)</t>
  </si>
  <si>
    <t>In this case as per the notes I assume this figure ie Transaction-related expenses must be under Directors remuneration (not sure if this should be generalized in the mapping template)</t>
  </si>
  <si>
    <t>Carla</t>
  </si>
  <si>
    <t>For 2018-Please refer to mapping table , for 2017: since it is recorded under an expense account it must be positive</t>
  </si>
  <si>
    <t>(currently mapped to Income (Expense) from Investments)</t>
  </si>
  <si>
    <t>Please refer to mapping table</t>
  </si>
  <si>
    <t>Gain (loss) on derivative instruments</t>
  </si>
  <si>
    <t>Pension liability adjustment</t>
  </si>
  <si>
    <t>PL statement was continued on the next page, the logarithm did not capture it, please refer to mapping table</t>
  </si>
  <si>
    <t>Foreign currency translation (loss) gain</t>
  </si>
  <si>
    <t>Net (loss) income attributable to Acadia Healthcare Company, Inc is the total net income and should not have been added to the minority interest</t>
  </si>
  <si>
    <t xml:space="preserve">Property and equipment, net must not be added to this value as it represents the total </t>
  </si>
  <si>
    <t>Due to employee</t>
  </si>
  <si>
    <t>Account payables, accruals &amp; provisions</t>
  </si>
  <si>
    <t>(currently mapped to Other Operating Current Liabilities)</t>
  </si>
  <si>
    <t xml:space="preserve">Other accrued liabilities </t>
  </si>
  <si>
    <t>Common stock correctly mapped to ordinary shares however the account name for this entry is too long in the annual report, the logarithm missed allocating the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</si>
</sst>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0" fontId="4" fillId="0" borderId="0"/>
  </cellStyleXfs>
  <cellXfs count="47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14" fontId="4" fillId="7" borderId="0" xfId="0" applyNumberFormat="1" applyFont="1" applyFill="1" applyAlignment="1">
      <alignment wrapText="1"/>
    </xf>
    <xf numFmtId="3" fontId="8" fillId="0" borderId="0" xfId="0" applyFont="1"/>
    <xf numFmtId="3" fontId="4" fillId="0" borderId="0" xfId="0" applyFont="1"/>
    <xf numFmtId="3" fontId="9" fillId="12" borderId="0" xfId="0" applyFont="1" applyFill="1"/>
    <xf numFmtId="0" fontId="4" fillId="0" borderId="0" xfId="0" applyNumberFormat="1" applyFont="1"/>
    <xf numFmtId="0" fontId="8" fillId="0" borderId="0" xfId="0" applyNumberFormat="1" applyFont="1"/>
    <xf numFmtId="3" fontId="0" fillId="0" borderId="0" xfId="0" applyFill="1"/>
    <xf numFmtId="0" fontId="4" fillId="0" borderId="0" xfId="2"/>
  </cellXfs>
  <cellStyles count="3">
    <cellStyle name="Normal" xfId="0" builtinId="0"/>
    <cellStyle name="Normal 2" xfId="2" xr:uid="{BB6438D7-7EF2-4CCB-8DDF-F09797672ADD}"/>
    <cellStyle name="Percent" xfId="1" builtinId="5"/>
  </cellStyles>
  <dxfs count="46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385-42A2-A84D-EE03907E78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5C-48EB-BA5C-BBC95718CB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87B-47B8-BF63-7647A362F6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10-47EB-BB46-309204D1BE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927-46C0-81D8-6169727675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037-45F6-929D-DC504ED17F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A0-47F4-845D-E3E8D3BFCC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F1-4919-AEE7-2C58EDA813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D5D-43BA-B336-4BC31720F4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6E-4143-863E-6CF4B3E338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A85-42CD-A298-815E023200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CA-4612-9052-BFCAD972BF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D9-4270-AB3B-93D830674F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D6-479B-85EF-C9CAEC69E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899-4E3C-B253-F997DE89CC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3"/>
  <sheetViews>
    <sheetView showGridLines="0" tabSelected="1" topLeftCell="E169" workbookViewId="0">
      <selection activeCell="G181" sqref="G18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8" width="16.140625" style="38" customWidth="1"/>
    <col min="9" max="9" width="133.28515625" bestFit="1" customWidth="1"/>
  </cols>
  <sheetData>
    <row r="1" spans="5:16">
      <c r="E1" s="3" t="s">
        <v>0</v>
      </c>
      <c r="F1" s="2" t="s">
        <v>1</v>
      </c>
      <c r="G1" s="2"/>
      <c r="H1" s="2"/>
      <c r="I1" s="40" t="s">
        <v>500</v>
      </c>
    </row>
    <row r="2" spans="5:16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5:16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  <c r="P3" s="22"/>
    </row>
    <row r="4" spans="5:16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  <c r="P4" s="19"/>
    </row>
    <row r="5" spans="5:16">
      <c r="E5" s="3" t="s">
        <v>9</v>
      </c>
      <c r="F5" s="39">
        <f>IFERROR(EOMONTH(DATE(RIGHT(F3,4),LEFT(F3,2),1),0),"")</f>
        <v>43708</v>
      </c>
      <c r="G5" s="21">
        <f>IFERROR(EOMONTH(DATE(RIGHT(G3,4),LEFT(G3,2),1),0),"")</f>
        <v>43343</v>
      </c>
      <c r="H5" s="21"/>
      <c r="I5" s="21" t="str">
        <f t="shared" ref="I5:P5" si="0">IFERROR(EOMONTH(DATE(RIGHT(I3,4),LEFT(I3,2),1),0),"")</f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  <c r="P5" s="21" t="str">
        <f t="shared" si="0"/>
        <v/>
      </c>
    </row>
    <row r="6" spans="5:16">
      <c r="E6" s="6" t="s">
        <v>10</v>
      </c>
      <c r="F6" s="7">
        <f>F71</f>
        <v>-264009</v>
      </c>
      <c r="G6" s="7">
        <f>IF(G4=$BG$1,"",G71)</f>
        <v>375287</v>
      </c>
      <c r="H6" s="7"/>
      <c r="I6" s="7" t="str">
        <f t="shared" ref="I6:P6" si="1">IF(I4=$BG$1,"",I71)</f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  <c r="P6" s="7" t="str">
        <f t="shared" si="1"/>
        <v/>
      </c>
    </row>
    <row r="7" spans="5:16">
      <c r="E7" s="6" t="s">
        <v>11</v>
      </c>
      <c r="F7" s="7">
        <f>F128</f>
        <v>5722087</v>
      </c>
      <c r="G7" s="7">
        <f>IF(G4=$BG$1,"",G128)</f>
        <v>5952952</v>
      </c>
      <c r="H7" s="7"/>
      <c r="I7" s="7" t="str">
        <f t="shared" ref="I7:P7" si="2">IF(I4=$BG$1,"",I128)</f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  <c r="P7" s="7" t="str">
        <f t="shared" si="2"/>
        <v/>
      </c>
    </row>
    <row r="8" spans="5:16">
      <c r="E8" s="6" t="s">
        <v>12</v>
      </c>
      <c r="F8" s="7">
        <f>F161</f>
        <v>450417</v>
      </c>
      <c r="G8" s="7">
        <f>IF(G4=$BG$1,"",G161)</f>
        <v>471550</v>
      </c>
      <c r="H8" s="7"/>
      <c r="I8" s="7" t="str">
        <f t="shared" ref="I8:P8" si="3">IF(I4=$BG$1,"",I161)</f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  <c r="P8" s="7" t="str">
        <f t="shared" si="3"/>
        <v/>
      </c>
    </row>
    <row r="9" spans="5:16">
      <c r="E9" s="6" t="s">
        <v>13</v>
      </c>
      <c r="F9" s="7">
        <f>F189</f>
        <v>570644</v>
      </c>
      <c r="G9" s="7">
        <f>IF(G4=$BG$1,"",G189)</f>
        <v>543823</v>
      </c>
      <c r="H9" s="7"/>
      <c r="I9" s="7" t="str">
        <f t="shared" ref="I9:P9" si="4">IF(I4=$BG$1,"",I189)</f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  <c r="P9" s="7" t="str">
        <f t="shared" si="4"/>
        <v/>
      </c>
    </row>
    <row r="10" spans="5:16">
      <c r="E10" s="6" t="s">
        <v>14</v>
      </c>
      <c r="F10" s="7">
        <f>F210</f>
        <v>3239747</v>
      </c>
      <c r="G10" s="7">
        <f>IF(G4=$BG$1,"",G210)</f>
        <v>3285391</v>
      </c>
      <c r="H10" s="7"/>
      <c r="I10" s="7" t="str">
        <f t="shared" ref="I10:P10" si="5">IF(I4=$BG$1,"",I210)</f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  <c r="P10" s="7" t="str">
        <f t="shared" si="5"/>
        <v/>
      </c>
    </row>
    <row r="11" spans="5:16">
      <c r="E11" s="6" t="s">
        <v>15</v>
      </c>
      <c r="F11" s="7">
        <f>F227</f>
        <v>2362113</v>
      </c>
      <c r="G11" s="7">
        <f>IF(G4=$BG$1,"",G227)</f>
        <v>2595288</v>
      </c>
      <c r="H11" s="7"/>
      <c r="I11" s="7" t="str">
        <f t="shared" ref="I11:P11" si="6">IF(I4=$BG$1,"",I227)</f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  <c r="P11" s="7" t="str">
        <f t="shared" si="6"/>
        <v/>
      </c>
    </row>
    <row r="12" spans="5:16">
      <c r="E12" s="1" t="s">
        <v>16</v>
      </c>
      <c r="F12" s="35">
        <f>SUM(F7:F8)</f>
        <v>6172504</v>
      </c>
      <c r="G12" s="35">
        <f>IF(G4=$BG$1,"",SUM(G7:G8))</f>
        <v>6424502</v>
      </c>
      <c r="H12" s="35"/>
      <c r="I12" s="35" t="str">
        <f t="shared" ref="I12:P12" si="7">IF(I4=$BG$1,"",SUM(I7:I8))</f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  <c r="P12" s="35" t="str">
        <f t="shared" si="7"/>
        <v/>
      </c>
    </row>
    <row r="13" spans="5:16">
      <c r="E13" s="1" t="s">
        <v>17</v>
      </c>
      <c r="F13" s="35">
        <f>SUM(F9:F11)</f>
        <v>6172504</v>
      </c>
      <c r="G13" s="35">
        <f>IF(G4=$BG$1,"",SUM(G9:G11))</f>
        <v>6424502</v>
      </c>
      <c r="H13" s="35"/>
      <c r="I13" s="35" t="str">
        <f t="shared" ref="I13:P13" si="8">IF(I4=$BG$1,"",SUM(I9:I11))</f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  <c r="P13" s="35" t="str">
        <f t="shared" si="8"/>
        <v/>
      </c>
    </row>
    <row r="14" spans="5:16">
      <c r="E14" s="36" t="s">
        <v>18</v>
      </c>
      <c r="F14" s="37">
        <f>F12-F13</f>
        <v>0</v>
      </c>
      <c r="G14" s="37">
        <f>IF(G4=$BG$1,"",G12-G13)</f>
        <v>0</v>
      </c>
      <c r="H14" s="37"/>
      <c r="I14" s="37" t="str">
        <f t="shared" ref="I14:P14" si="9">IF(I4=$BG$1,"",I12-I13)</f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  <c r="P14" s="37" t="str">
        <f t="shared" si="9"/>
        <v/>
      </c>
    </row>
    <row r="15" spans="5:16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5:16">
      <c r="E24" s="1" t="s">
        <v>26</v>
      </c>
      <c r="F24" s="40">
        <v>3012442</v>
      </c>
      <c r="G24" s="40">
        <v>2877234</v>
      </c>
      <c r="H24" s="40"/>
      <c r="I24" s="40" t="s">
        <v>504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3012442</v>
      </c>
      <c r="G30" s="7">
        <f>IF(G4=$BG$1,"",G24-G25+ABS(G26)-G27-G28-G29)</f>
        <v>2877234</v>
      </c>
      <c r="H30" s="7"/>
      <c r="I30" s="7" t="str">
        <f t="shared" ref="I30:P30" si="10">IF(I4=$BG$1,"",I24+I25+ABS(I26)+I27+I28+I29)</f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  <c r="F32">
        <v>1659348</v>
      </c>
      <c r="G32">
        <v>1536160</v>
      </c>
      <c r="H32"/>
    </row>
    <row r="33" spans="5:16">
      <c r="E33" s="1" t="s">
        <v>35</v>
      </c>
      <c r="F33">
        <v>119314</v>
      </c>
      <c r="G33">
        <v>114439</v>
      </c>
      <c r="H33"/>
    </row>
    <row r="34" spans="5:16">
      <c r="E34" s="1" t="s">
        <v>36</v>
      </c>
      <c r="F34">
        <v>251316</v>
      </c>
      <c r="G34">
        <v>197033</v>
      </c>
      <c r="H34"/>
    </row>
    <row r="35" spans="5:16">
      <c r="E35" s="1" t="s">
        <v>37</v>
      </c>
    </row>
    <row r="36" spans="5:16">
      <c r="E36" s="1" t="s">
        <v>38</v>
      </c>
      <c r="F36">
        <v>354498</v>
      </c>
      <c r="G36">
        <v>331827</v>
      </c>
      <c r="H36"/>
    </row>
    <row r="37" spans="5:16">
      <c r="E37" s="12" t="s">
        <v>39</v>
      </c>
      <c r="F37" s="40">
        <v>34507</v>
      </c>
      <c r="G37" s="44">
        <v>24267</v>
      </c>
      <c r="H37" s="44"/>
      <c r="I37" s="40" t="s">
        <v>505</v>
      </c>
    </row>
    <row r="38" spans="5:16">
      <c r="E38" s="1" t="s">
        <v>40</v>
      </c>
      <c r="F38" s="40">
        <v>337889</v>
      </c>
      <c r="G38" s="40">
        <v>40918</v>
      </c>
      <c r="H38" s="40"/>
      <c r="I38" s="40" t="s">
        <v>507</v>
      </c>
    </row>
    <row r="39" spans="5:16">
      <c r="E39" s="1" t="s">
        <v>41</v>
      </c>
      <c r="F39">
        <v>80282</v>
      </c>
      <c r="G39">
        <v>76775</v>
      </c>
      <c r="H39"/>
    </row>
    <row r="40" spans="5:16">
      <c r="E40" s="1" t="s">
        <v>42</v>
      </c>
      <c r="F40">
        <v>158832</v>
      </c>
      <c r="G40">
        <v>143010</v>
      </c>
      <c r="H40"/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2995986</v>
      </c>
      <c r="G43" s="7">
        <f>G32+G33+G34+G35+G36+G37+G38+G39+G40+G41+G42</f>
        <v>2464429</v>
      </c>
      <c r="H43" s="7"/>
      <c r="I43" s="7" t="str">
        <f>IF(I4=$BG$1,"",(I32+I33+I34+I35+I36+I37+I38+I39+I40+I41+I42+#REF!))</f>
        <v/>
      </c>
      <c r="J43" s="7" t="str">
        <f>IF(J4=$BG$1,"",(J32+J33+J34+J35+J36+J37+J38+J39+J40+J41+J42+#REF!))</f>
        <v/>
      </c>
      <c r="K43" s="7" t="str">
        <f>IF(K4=$BG$1,"",(K32+K33+K34+K35+K36+K37+K38+K39+K40+K41+K42+#REF!))</f>
        <v/>
      </c>
      <c r="L43" s="7" t="str">
        <f>IF(L4=$BG$1,"",(L32+L33+L34+L35+L36+L37+L38+L39+L40+L41+L42+#REF!))</f>
        <v/>
      </c>
      <c r="M43" s="7" t="str">
        <f>IF(M4=$BG$1,"",(M32+M33+M34+M35+M36+M37+M38+M39+M40+M41+M42+#REF!))</f>
        <v/>
      </c>
      <c r="N43" s="7" t="str">
        <f>IF(N4=$BG$1,"",(N32+N33+N34+N35+N36+N37+N38+N39+N40+N41+N42+#REF!))</f>
        <v/>
      </c>
      <c r="O43" s="7" t="str">
        <f>IF(O4=$BG$1,"",(O32+O33+O34+O35+O36+O37+O38+O39+O40+O41+O42+#REF!))</f>
        <v/>
      </c>
      <c r="P43" s="7" t="str">
        <f>IF(P4=$BG$1,"",(P32+P33+P34+P35+P36+P37+P38+P39+P40+P41+P42+#REF!))</f>
        <v/>
      </c>
    </row>
    <row r="44" spans="5:16">
      <c r="E44" s="6" t="s">
        <v>46</v>
      </c>
      <c r="F44" s="7">
        <f>F30+F31-F43</f>
        <v>16456</v>
      </c>
      <c r="G44" s="7">
        <f>IF(G4=$BG$1,"",G30+G31-G43)</f>
        <v>412805</v>
      </c>
      <c r="H44" s="7"/>
      <c r="I44" s="7" t="str">
        <f t="shared" ref="I44:P44" si="11">IF(I4=$BG$1,"",I30+I31+I43)</f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7" t="str">
        <f t="shared" si="11"/>
        <v/>
      </c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44">
        <v>185410</v>
      </c>
      <c r="G49" s="44">
        <v>176007</v>
      </c>
      <c r="H49" s="44"/>
      <c r="I49" s="40" t="s">
        <v>509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 s="40">
        <f>36799</f>
        <v>36799</v>
      </c>
      <c r="G52" s="40">
        <f>-33431</f>
        <v>-33431</v>
      </c>
      <c r="H52" s="40"/>
      <c r="I52" s="40" t="s">
        <v>512</v>
      </c>
    </row>
    <row r="53" spans="5:16">
      <c r="E53" s="1" t="s">
        <v>55</v>
      </c>
      <c r="F53" s="41"/>
      <c r="G53" s="43"/>
      <c r="H53" s="43"/>
      <c r="I53" s="41"/>
    </row>
    <row r="54" spans="5:16">
      <c r="E54" s="12" t="s">
        <v>56</v>
      </c>
      <c r="F54" s="44">
        <v>2463</v>
      </c>
      <c r="G54" s="44">
        <v>2099</v>
      </c>
      <c r="I54" s="40" t="s">
        <v>512</v>
      </c>
    </row>
    <row r="55" spans="5:16">
      <c r="E55" s="1" t="s">
        <v>57</v>
      </c>
    </row>
    <row r="56" spans="5:16">
      <c r="E56" s="1" t="s">
        <v>58</v>
      </c>
      <c r="F56" s="42"/>
      <c r="I56" s="40"/>
    </row>
    <row r="57" spans="5:16">
      <c r="E57" s="12" t="s">
        <v>59</v>
      </c>
      <c r="F57" s="40">
        <v>-127521</v>
      </c>
      <c r="G57" s="40">
        <v>206784</v>
      </c>
      <c r="H57" s="40"/>
      <c r="I57" s="40" t="s">
        <v>512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-257213</v>
      </c>
      <c r="G59" s="7">
        <f>IF(G4=$BG$1,"",G44+G45+G46+G47+G48-G49-G50-G51+G52-G53+G54+G55-G56+G57+G58)</f>
        <v>412250</v>
      </c>
      <c r="H59" s="7"/>
      <c r="I59" s="7" t="str">
        <f t="shared" ref="I59:P59" si="12">IF(I4=$BG$1,"",SUM(I44:I58))</f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7" t="str">
        <f t="shared" si="12"/>
        <v/>
      </c>
    </row>
    <row r="60" spans="5:16">
      <c r="E60" s="1" t="s">
        <v>62</v>
      </c>
      <c r="F60">
        <v>6532</v>
      </c>
      <c r="G60">
        <v>37209</v>
      </c>
      <c r="H60"/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-263745</v>
      </c>
      <c r="G67" s="7">
        <f>IF(G4=$BG$1,"",SUM(G59,-G60,-ABS(G61),-G62,-G66))</f>
        <v>375041</v>
      </c>
      <c r="H67" s="7"/>
      <c r="I67" s="7" t="str">
        <f t="shared" ref="I67:P67" si="13">IF(I4=$BG$1,"",SUM(I59,I60,ABS(I61),I62,I66))</f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7" t="str">
        <f t="shared" si="13"/>
        <v/>
      </c>
    </row>
    <row r="68" spans="5:16">
      <c r="E68" s="1" t="s">
        <v>67</v>
      </c>
      <c r="F68" s="40">
        <v>-264</v>
      </c>
      <c r="G68" s="40">
        <v>246</v>
      </c>
      <c r="H68" s="40"/>
      <c r="I68" s="40" t="s">
        <v>514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-264009</v>
      </c>
      <c r="G71" s="7">
        <f>IF(G4=$BG$1,"",SUM(G67:G70))</f>
        <v>375287</v>
      </c>
      <c r="H71" s="7"/>
      <c r="I71" s="7" t="str">
        <f t="shared" ref="I71:P71" si="14">IF(I4=$BG$1,"",SUM(I67:I70))</f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-264009</v>
      </c>
      <c r="G83" s="7">
        <f>IF(G4=$BG$1,"",SUM(G71:G82))</f>
        <v>375287</v>
      </c>
      <c r="H83" s="7"/>
      <c r="I83" s="7" t="str">
        <f t="shared" ref="I83:P83" si="15">IF(I4=$BG$1,"",SUM(I71:I82))</f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5:16">
      <c r="E89" s="1" t="s">
        <v>81</v>
      </c>
      <c r="F89">
        <v>2854365</v>
      </c>
      <c r="G89">
        <v>2821260</v>
      </c>
      <c r="H89"/>
    </row>
    <row r="90" spans="5:16">
      <c r="E90" s="1" t="s">
        <v>82</v>
      </c>
      <c r="F90">
        <v>294848</v>
      </c>
      <c r="G90">
        <v>173693</v>
      </c>
      <c r="H90"/>
    </row>
    <row r="91" spans="5:16">
      <c r="E91" s="1" t="s">
        <v>83</v>
      </c>
    </row>
    <row r="92" spans="5:16">
      <c r="E92" s="12" t="s">
        <v>84</v>
      </c>
      <c r="F92" s="40">
        <v>444538</v>
      </c>
      <c r="G92" s="40">
        <v>400596</v>
      </c>
      <c r="H92" s="40"/>
      <c r="I92" s="40" t="s">
        <v>515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3593751</v>
      </c>
      <c r="G98" s="7">
        <f>IF(G4=$BG$1,"",G89+G90+G91+G92+G93+G94+G95+G96)</f>
        <v>3395549</v>
      </c>
      <c r="H98" s="7"/>
      <c r="I98" s="7" t="str">
        <f t="shared" ref="I98:P98" si="16">IF(I4=$BG$1,"",I89+I90+I91+I92+I93+I94+I95)</f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7" t="str">
        <f t="shared" si="16"/>
        <v/>
      </c>
    </row>
    <row r="99" spans="5:16">
      <c r="E99" s="1" t="s">
        <v>89</v>
      </c>
      <c r="F99">
        <v>-485985</v>
      </c>
      <c r="G99">
        <v>-347419</v>
      </c>
      <c r="H99"/>
    </row>
    <row r="100" spans="5:16">
      <c r="E100" s="6" t="s">
        <v>90</v>
      </c>
      <c r="F100" s="7">
        <f>F98+F99</f>
        <v>3107766</v>
      </c>
      <c r="G100" s="7">
        <f>IF(G4=$BG$1,"",G98+G99)</f>
        <v>3048130</v>
      </c>
      <c r="H100" s="7"/>
      <c r="I100" s="7" t="str">
        <f t="shared" ref="I100:P100" si="17">IF(I4=$BG$1,"",I98+I99)</f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7" t="str">
        <f t="shared" si="17"/>
        <v/>
      </c>
    </row>
    <row r="101" spans="5:16">
      <c r="E101" s="1" t="s">
        <v>91</v>
      </c>
      <c r="F101">
        <v>2396412</v>
      </c>
      <c r="G101">
        <v>2751174</v>
      </c>
      <c r="H101"/>
    </row>
    <row r="102" spans="5:16">
      <c r="E102" s="1" t="s">
        <v>92</v>
      </c>
      <c r="F102">
        <v>88990</v>
      </c>
      <c r="G102">
        <v>87348</v>
      </c>
      <c r="H102"/>
    </row>
    <row r="103" spans="5:16">
      <c r="E103" s="1" t="s">
        <v>93</v>
      </c>
    </row>
    <row r="104" spans="5:16">
      <c r="E104" s="6" t="s">
        <v>94</v>
      </c>
      <c r="F104" s="7">
        <f>F101+F102+F103</f>
        <v>2485402</v>
      </c>
      <c r="G104" s="7">
        <f>IF(G4=$BG$1,"",G101+G102+G103)</f>
        <v>2838522</v>
      </c>
      <c r="H104" s="7"/>
      <c r="I104" s="7" t="str">
        <f t="shared" ref="I104:P104" si="18">IF(I4=$BG$1,"",I101+I102+I103)</f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  <c r="P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3468</v>
      </c>
      <c r="G111">
        <v>3731</v>
      </c>
      <c r="H111"/>
    </row>
    <row r="112" spans="5:16">
      <c r="E112" s="1" t="s">
        <v>102</v>
      </c>
    </row>
    <row r="113" spans="5:16">
      <c r="E113" s="1" t="s">
        <v>103</v>
      </c>
      <c r="F113">
        <v>60524</v>
      </c>
      <c r="G113">
        <v>12997</v>
      </c>
      <c r="H113"/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64927</v>
      </c>
      <c r="G126">
        <v>49572</v>
      </c>
      <c r="H126"/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5722087</v>
      </c>
      <c r="G128" s="7">
        <f>IF(G4=$BG$1,"",G100+SUM(G104:G126))</f>
        <v>5952952</v>
      </c>
      <c r="H128" s="7"/>
      <c r="I128" s="7" t="str">
        <f t="shared" ref="I128:P128" si="19">IF(I4=$BG$1,"",I100+SUM(I104:I126))</f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7" t="str">
        <f t="shared" si="19"/>
        <v/>
      </c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5:16">
      <c r="E130" s="1" t="s">
        <v>117</v>
      </c>
      <c r="F130">
        <v>50510</v>
      </c>
      <c r="G130">
        <v>67290</v>
      </c>
      <c r="H130"/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50510</v>
      </c>
      <c r="G140" s="7">
        <f>IF(G4=$BG$1,"",G130+G131+G132+G133+G134+G135+G136+G139)</f>
        <v>67290</v>
      </c>
      <c r="H140" s="7"/>
      <c r="I140" s="7" t="str">
        <f t="shared" ref="I140:P140" si="20">IF(I4=$BG$1,"",I130+I131+I132+I133+I134+I135+I136+I139)</f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  <c r="P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>IF(G4=$BG$1,"",G141+G142+G143+G144)</f>
        <v>0</v>
      </c>
      <c r="H145" s="7"/>
      <c r="I145" s="7" t="str">
        <f t="shared" ref="I145:P145" si="21">IF(I4=$BG$1,"",I141+I142+I143+I144)</f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318087</v>
      </c>
      <c r="G157">
        <v>296925</v>
      </c>
      <c r="H157"/>
    </row>
    <row r="158" spans="5:16">
      <c r="E158" s="1" t="s">
        <v>138</v>
      </c>
      <c r="F158">
        <v>81820</v>
      </c>
      <c r="G158">
        <v>107335</v>
      </c>
      <c r="H158"/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399907</v>
      </c>
      <c r="G160" s="7">
        <f>IF(G4=$BG$1,"",G146+G147+G148+G149+G150+G151+G152+G153+G154+G155+G156+G157+G158+G159)</f>
        <v>404260</v>
      </c>
      <c r="H160" s="7"/>
      <c r="I160" s="7" t="str">
        <f>IF(I4=$BG$1,"",I146+I147+I148+I149+I150+I151+I152+I153+I154+I155+I156+#REF!+I158+I159)</f>
        <v/>
      </c>
      <c r="J160" s="7" t="str">
        <f>IF(J4=$BG$1,"",J146+J147+J148+J149+J150+J151+J152+J153+J154+J155+J156+#REF!+J158+J159)</f>
        <v/>
      </c>
      <c r="K160" s="7" t="str">
        <f>IF(K4=$BG$1,"",K146+K147+K148+K149+K150+K151+K152+K153+K154+K155+K156+#REF!+K158+K159)</f>
        <v/>
      </c>
      <c r="L160" s="7" t="str">
        <f>IF(L4=$BG$1,"",L146+L147+L148+L149+L150+L151+L152+L153+L154+L155+L156+#REF!+L158+L159)</f>
        <v/>
      </c>
      <c r="M160" s="7" t="str">
        <f>IF(M4=$BG$1,"",M146+M147+M148+M149+M150+M151+M152+M153+M154+M155+M156+#REF!+M158+M159)</f>
        <v/>
      </c>
      <c r="N160" s="7" t="str">
        <f>IF(N4=$BG$1,"",N146+N147+N148+N149+N150+N151+N152+N153+N154+N155+N156+#REF!+N158+N159)</f>
        <v/>
      </c>
      <c r="O160" s="7" t="str">
        <f>IF(O4=$BG$1,"",O146+O147+O148+O149+O150+O151+O152+O153+O154+O155+O156+#REF!+O158+O159)</f>
        <v/>
      </c>
      <c r="P160" s="7" t="str">
        <f>IF(P4=$BG$1,"",P146+P147+P148+P149+P150+P151+P152+P153+P154+P155+P156+#REF!+P158+P159)</f>
        <v/>
      </c>
    </row>
    <row r="161" spans="5:16">
      <c r="E161" s="6" t="s">
        <v>12</v>
      </c>
      <c r="F161" s="7">
        <f>F140+F145+F160</f>
        <v>450417</v>
      </c>
      <c r="G161" s="7">
        <f>IF(G4=$BG$1,"",G140+G145+G160)</f>
        <v>471550</v>
      </c>
      <c r="H161" s="7"/>
      <c r="I161" s="7" t="str">
        <f t="shared" ref="I161:P161" si="22">IF(I4=$BG$1,"",I140+I145+I160)</f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7" t="str">
        <f t="shared" si="22"/>
        <v/>
      </c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34112</v>
      </c>
      <c r="G167">
        <v>34830</v>
      </c>
      <c r="H167"/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  <c r="F177" s="40">
        <v>113299</v>
      </c>
      <c r="G177" s="40">
        <v>99047</v>
      </c>
      <c r="H177" s="40"/>
      <c r="I177" s="40" t="s">
        <v>509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 s="40">
        <v>117740</v>
      </c>
      <c r="G184" s="40">
        <v>102299</v>
      </c>
      <c r="H184" s="40"/>
      <c r="I184" s="40" t="s">
        <v>509</v>
      </c>
    </row>
    <row r="185" spans="5:16">
      <c r="E185" s="12" t="s">
        <v>162</v>
      </c>
    </row>
    <row r="187" spans="5:16">
      <c r="E187" s="12" t="s">
        <v>163</v>
      </c>
      <c r="F187" s="40">
        <v>151226</v>
      </c>
      <c r="G187" s="40">
        <v>141213</v>
      </c>
      <c r="H187" s="40"/>
      <c r="I187" s="40" t="s">
        <v>509</v>
      </c>
    </row>
    <row r="188" spans="5:16">
      <c r="E188" s="1" t="s">
        <v>164</v>
      </c>
      <c r="F188">
        <v>154267</v>
      </c>
      <c r="G188">
        <v>166434</v>
      </c>
      <c r="H188"/>
    </row>
    <row r="189" spans="5:16">
      <c r="E189" s="6" t="s">
        <v>13</v>
      </c>
      <c r="F189" s="7">
        <f>SUM(F163:F188)</f>
        <v>570644</v>
      </c>
      <c r="G189" s="7">
        <f>IF(G4=$BG$1,"",SUM(G163:G188))</f>
        <v>543823</v>
      </c>
      <c r="H189" s="7"/>
      <c r="I189" s="7" t="str">
        <f t="shared" ref="I189:P189" si="23">IF(I4=$BG$1,"",SUM(I163:I188))</f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7" t="str">
        <f t="shared" si="23"/>
        <v/>
      </c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5:16">
      <c r="E191" s="1" t="s">
        <v>166</v>
      </c>
    </row>
    <row r="192" spans="5:16">
      <c r="E192" s="1" t="s">
        <v>167</v>
      </c>
    </row>
    <row r="193" spans="5:8">
      <c r="E193" s="1" t="s">
        <v>168</v>
      </c>
      <c r="F193">
        <v>3159375</v>
      </c>
      <c r="G193">
        <v>3205058</v>
      </c>
      <c r="H193"/>
    </row>
    <row r="194" spans="5:8">
      <c r="E194" s="1" t="s">
        <v>169</v>
      </c>
    </row>
    <row r="195" spans="5:8">
      <c r="E195" s="1" t="s">
        <v>170</v>
      </c>
    </row>
    <row r="196" spans="5:8">
      <c r="E196" s="1" t="s">
        <v>171</v>
      </c>
    </row>
    <row r="197" spans="5:8">
      <c r="E197" s="1" t="s">
        <v>172</v>
      </c>
    </row>
    <row r="198" spans="5:8">
      <c r="E198" s="1" t="s">
        <v>173</v>
      </c>
    </row>
    <row r="199" spans="5:8">
      <c r="E199" s="1" t="s">
        <v>174</v>
      </c>
    </row>
    <row r="200" spans="5:8">
      <c r="E200" s="1" t="s">
        <v>175</v>
      </c>
    </row>
    <row r="201" spans="5:8">
      <c r="E201" s="1" t="s">
        <v>176</v>
      </c>
    </row>
    <row r="202" spans="5:8">
      <c r="E202" s="1" t="s">
        <v>177</v>
      </c>
    </row>
    <row r="203" spans="5:8">
      <c r="E203" s="1" t="s">
        <v>178</v>
      </c>
      <c r="F203">
        <v>80372</v>
      </c>
      <c r="G203">
        <v>80333</v>
      </c>
      <c r="H203"/>
    </row>
    <row r="204" spans="5:8">
      <c r="E204" s="1" t="s">
        <v>55</v>
      </c>
    </row>
    <row r="205" spans="5:8">
      <c r="E205" s="1" t="s">
        <v>67</v>
      </c>
    </row>
    <row r="206" spans="5:8">
      <c r="E206" s="12" t="s">
        <v>179</v>
      </c>
    </row>
    <row r="209" spans="5:16">
      <c r="E209" s="1" t="s">
        <v>180</v>
      </c>
    </row>
    <row r="210" spans="5:16">
      <c r="E210" s="6" t="s">
        <v>14</v>
      </c>
      <c r="F210" s="7">
        <f>SUM(F191:F209)</f>
        <v>3239747</v>
      </c>
      <c r="G210" s="7">
        <f>IF(G4=$BG$1,"",SUM(G191:G209))</f>
        <v>3285391</v>
      </c>
      <c r="H210" s="7"/>
      <c r="I210" s="7" t="str">
        <f t="shared" ref="I210:P210" si="24">IF(I4=$BG$1,"",SUM(I191:I209))</f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5:16">
      <c r="E212" s="1" t="s">
        <v>182</v>
      </c>
      <c r="F212" s="40">
        <f>2541987+874</f>
        <v>2542861</v>
      </c>
      <c r="G212" s="40">
        <f>2517545+871</f>
        <v>2518416</v>
      </c>
      <c r="H212"/>
      <c r="I212" s="40" t="s">
        <v>520</v>
      </c>
    </row>
    <row r="213" spans="5:16">
      <c r="E213" s="1" t="s">
        <v>183</v>
      </c>
      <c r="F213">
        <v>0</v>
      </c>
      <c r="G213">
        <v>0</v>
      </c>
      <c r="H213"/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252823</v>
      </c>
      <c r="G217">
        <v>428573</v>
      </c>
      <c r="H217"/>
    </row>
    <row r="218" spans="5:16">
      <c r="E218" s="1" t="s">
        <v>188</v>
      </c>
    </row>
    <row r="219" spans="5:16">
      <c r="E219" s="1" t="s">
        <v>189</v>
      </c>
      <c r="F219">
        <v>-462377</v>
      </c>
      <c r="G219">
        <v>-374118</v>
      </c>
      <c r="H219"/>
    </row>
    <row r="220" spans="5:16">
      <c r="E220" s="1" t="s">
        <v>190</v>
      </c>
    </row>
    <row r="221" spans="5:16">
      <c r="E221" s="1" t="s">
        <v>67</v>
      </c>
      <c r="F221">
        <v>28806</v>
      </c>
      <c r="G221">
        <v>22417</v>
      </c>
      <c r="H221"/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2362113</v>
      </c>
      <c r="G227" s="7">
        <f>IF(G4=$BG$1,"",SUM(G212:G226))</f>
        <v>2595288</v>
      </c>
      <c r="H227" s="7"/>
      <c r="I227" s="7" t="str">
        <f t="shared" ref="I227:P227" si="25">IF(I4=$BG$1,"",SUM(I212:I226))</f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7" t="str">
        <f t="shared" si="25"/>
        <v/>
      </c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6">
      <c r="E241" s="1" t="s">
        <v>208</v>
      </c>
    </row>
    <row r="242" spans="5:16">
      <c r="E242" s="1" t="s">
        <v>209</v>
      </c>
    </row>
    <row r="244" spans="5:16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 spans="5:16">
      <c r="E245" s="1" t="s">
        <v>211</v>
      </c>
    </row>
    <row r="246" spans="5:16">
      <c r="E246" s="1" t="s">
        <v>212</v>
      </c>
    </row>
    <row r="247" spans="5:16">
      <c r="E247" s="1" t="s">
        <v>213</v>
      </c>
    </row>
    <row r="248" spans="5:16">
      <c r="E248" s="1" t="s">
        <v>214</v>
      </c>
    </row>
    <row r="249" spans="5:16">
      <c r="E249" s="1" t="s">
        <v>215</v>
      </c>
    </row>
    <row r="250" spans="5:16">
      <c r="E250" s="1" t="s">
        <v>216</v>
      </c>
    </row>
    <row r="251" spans="5:16">
      <c r="E251" s="1" t="s">
        <v>217</v>
      </c>
    </row>
    <row r="252" spans="5:16">
      <c r="E252" s="1" t="s">
        <v>218</v>
      </c>
    </row>
    <row r="253" spans="5:16">
      <c r="E253" s="1" t="s">
        <v>219</v>
      </c>
    </row>
    <row r="254" spans="5:16">
      <c r="E254" s="1" t="s">
        <v>220</v>
      </c>
    </row>
    <row r="255" spans="5:16">
      <c r="E255" s="1" t="s">
        <v>221</v>
      </c>
    </row>
    <row r="256" spans="5:16">
      <c r="E256" s="1" t="s">
        <v>222</v>
      </c>
    </row>
    <row r="257" spans="5:16">
      <c r="E257" s="1" t="s">
        <v>223</v>
      </c>
    </row>
    <row r="258" spans="5:16">
      <c r="E258" s="1" t="s">
        <v>224</v>
      </c>
    </row>
    <row r="259" spans="5:16">
      <c r="E259" s="1" t="s">
        <v>225</v>
      </c>
    </row>
    <row r="260" spans="5:16">
      <c r="E260" s="1" t="s">
        <v>226</v>
      </c>
    </row>
    <row r="261" spans="5:16">
      <c r="E261" s="1" t="s">
        <v>227</v>
      </c>
    </row>
    <row r="263" spans="5:16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 spans="5:16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 spans="5:16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 spans="5:16">
      <c r="E266" s="8" t="s">
        <v>231</v>
      </c>
      <c r="F266" s="8">
        <v>0</v>
      </c>
      <c r="G266" s="8">
        <v>0</v>
      </c>
      <c r="H266" s="8"/>
      <c r="I266" s="8">
        <v>0</v>
      </c>
      <c r="J266" s="8"/>
      <c r="K266" s="8"/>
      <c r="L266" s="8"/>
      <c r="M266" s="8"/>
      <c r="N266" s="8"/>
      <c r="O266" s="8"/>
      <c r="P266" s="8"/>
    </row>
    <row r="267" spans="5:16">
      <c r="E267" s="1" t="s">
        <v>232</v>
      </c>
      <c r="F267">
        <v>-175486</v>
      </c>
      <c r="G267">
        <v>199589</v>
      </c>
      <c r="H267"/>
      <c r="I267">
        <v>4176</v>
      </c>
    </row>
    <row r="268" spans="5:16">
      <c r="E268" s="1" t="s">
        <v>233</v>
      </c>
    </row>
    <row r="269" spans="5:16">
      <c r="E269" s="1" t="s">
        <v>234</v>
      </c>
    </row>
    <row r="270" spans="5:16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 spans="5:16" ht="25.5" customHeight="1">
      <c r="E271" s="1" t="s">
        <v>236</v>
      </c>
      <c r="F271">
        <v>158832</v>
      </c>
      <c r="G271">
        <v>143010</v>
      </c>
      <c r="H271"/>
      <c r="I271">
        <v>135103</v>
      </c>
    </row>
    <row r="272" spans="5:16">
      <c r="E272" s="1" t="s">
        <v>237</v>
      </c>
    </row>
    <row r="273" spans="5:9" ht="25.5" customHeight="1">
      <c r="E273" s="1" t="s">
        <v>238</v>
      </c>
    </row>
    <row r="274" spans="5:9">
      <c r="E274" s="1" t="s">
        <v>239</v>
      </c>
    </row>
    <row r="275" spans="5:9" ht="25.5" customHeight="1">
      <c r="E275" s="1" t="s">
        <v>240</v>
      </c>
      <c r="F275">
        <v>348345</v>
      </c>
      <c r="G275">
        <v>9855</v>
      </c>
      <c r="H275"/>
      <c r="I275">
        <v>10324</v>
      </c>
    </row>
    <row r="276" spans="5:9">
      <c r="E276" s="1" t="s">
        <v>241</v>
      </c>
      <c r="F276">
        <v>0</v>
      </c>
      <c r="G276">
        <v>0</v>
      </c>
      <c r="H276"/>
      <c r="I276">
        <v>178286</v>
      </c>
    </row>
    <row r="277" spans="5:9" ht="25.5" customHeight="1">
      <c r="E277" s="1" t="s">
        <v>242</v>
      </c>
    </row>
    <row r="278" spans="5:9">
      <c r="E278" s="1" t="s">
        <v>243</v>
      </c>
      <c r="F278">
        <v>1815</v>
      </c>
      <c r="G278">
        <v>810</v>
      </c>
      <c r="H278"/>
      <c r="I278">
        <v>4253</v>
      </c>
    </row>
    <row r="279" spans="5:9">
      <c r="E279" s="1" t="s">
        <v>244</v>
      </c>
    </row>
    <row r="280" spans="5:9" ht="25.5" customHeight="1">
      <c r="E280" s="1" t="s">
        <v>245</v>
      </c>
    </row>
    <row r="281" spans="5:9" ht="25.5" customHeight="1">
      <c r="E281" s="1" t="s">
        <v>246</v>
      </c>
    </row>
    <row r="284" spans="5:9">
      <c r="E284" s="1" t="s">
        <v>247</v>
      </c>
      <c r="F284">
        <v>6720</v>
      </c>
      <c r="G284">
        <v>10291</v>
      </c>
      <c r="H284"/>
      <c r="I284">
        <v>15483</v>
      </c>
    </row>
    <row r="285" spans="5:9">
      <c r="E285" s="1" t="s">
        <v>248</v>
      </c>
      <c r="F285">
        <v>22001</v>
      </c>
      <c r="G285">
        <v>23467</v>
      </c>
      <c r="H285"/>
      <c r="I285">
        <v>28345</v>
      </c>
    </row>
    <row r="286" spans="5:9" ht="25.5" customHeight="1">
      <c r="E286" s="1" t="s">
        <v>249</v>
      </c>
    </row>
    <row r="287" spans="5:9">
      <c r="E287" s="1" t="s">
        <v>250</v>
      </c>
    </row>
    <row r="288" spans="5:9">
      <c r="E288" s="1" t="s">
        <v>251</v>
      </c>
      <c r="F288">
        <v>8987</v>
      </c>
      <c r="G288">
        <v>8997</v>
      </c>
      <c r="H288"/>
      <c r="I288">
        <v>-1592</v>
      </c>
    </row>
    <row r="289" spans="5:16">
      <c r="E289" s="12" t="s">
        <v>252</v>
      </c>
    </row>
    <row r="290" spans="5:16">
      <c r="E290" s="12" t="s">
        <v>253</v>
      </c>
    </row>
    <row r="291" spans="5:16">
      <c r="E291" s="12" t="s">
        <v>254</v>
      </c>
    </row>
    <row r="292" spans="5:16">
      <c r="E292" s="12" t="s">
        <v>255</v>
      </c>
    </row>
    <row r="293" spans="5:16">
      <c r="E293" s="12" t="s">
        <v>256</v>
      </c>
    </row>
    <row r="294" spans="5:16">
      <c r="E294" s="12" t="s">
        <v>257</v>
      </c>
    </row>
    <row r="295" spans="5:16">
      <c r="E295" s="12"/>
    </row>
    <row r="296" spans="5:16" ht="25.5" customHeight="1">
      <c r="E296" s="6" t="s">
        <v>258</v>
      </c>
      <c r="F296" s="7">
        <f>F271+F272+F273+F274+F275+F276+F277+F278+F279+F280+F281+F282+F283+F284+F285+F286+F287+F288+F291+F289+F290+F292+F293+F294+F295</f>
        <v>546700</v>
      </c>
      <c r="G296" s="7">
        <f>IF(G4=$BG$1,"",G271+G272+G273+G274+G275+G276+G277+G278+G279+G280+G281+G282+G283+G284+G285+G286+G287+G288+G289+G290+G291+G292+G293+G294+G295)</f>
        <v>196430</v>
      </c>
      <c r="H296" s="7"/>
      <c r="I296" s="7" t="str">
        <f t="shared" ref="I296:P296" si="26">IF(I4=$BG$1,"",I271+I272+I273+I274+I275+I276+I277+I278+I279+I280+I281+I282+I283+I284+I285+I286+I287+I288+I291)</f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  <c r="P296" s="7" t="str">
        <f t="shared" si="26"/>
        <v/>
      </c>
    </row>
    <row r="297" spans="5:16">
      <c r="E297" s="6" t="s">
        <v>259</v>
      </c>
      <c r="F297" s="7">
        <f>MIN(F267,F268,F269)+F296</f>
        <v>371214</v>
      </c>
      <c r="G297" s="7">
        <f>IF(G4=$BG$1,"",MIN(F267,F268,F269)+F296)</f>
        <v>371214</v>
      </c>
      <c r="H297" s="7"/>
      <c r="I297" s="7" t="str">
        <f>IF(I4=$BG$1,"",MIN(G267,G268,G269)+G296)</f>
        <v/>
      </c>
      <c r="J297" s="7" t="str">
        <f t="shared" ref="J297:P297" si="27">IF(J4=$BG$1,"",MIN(I267,I268,I269)+I296)</f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  <c r="P297" s="7" t="str">
        <f t="shared" si="27"/>
        <v/>
      </c>
    </row>
    <row r="298" spans="5:16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 spans="5:16">
      <c r="E299" s="1" t="s">
        <v>261</v>
      </c>
    </row>
    <row r="300" spans="5:16">
      <c r="E300" s="1" t="s">
        <v>262</v>
      </c>
    </row>
    <row r="301" spans="5:16">
      <c r="E301" s="1" t="s">
        <v>263</v>
      </c>
    </row>
    <row r="302" spans="5:16" ht="25.5" customHeight="1">
      <c r="E302" s="1" t="s">
        <v>264</v>
      </c>
    </row>
    <row r="303" spans="5:16">
      <c r="E303" s="1" t="s">
        <v>265</v>
      </c>
      <c r="F303">
        <v>-16821</v>
      </c>
      <c r="G303">
        <v>-28570</v>
      </c>
      <c r="H303"/>
      <c r="I303">
        <v>-15718</v>
      </c>
    </row>
    <row r="305" spans="5:16">
      <c r="E305" s="1" t="s">
        <v>266</v>
      </c>
    </row>
    <row r="307" spans="5:16">
      <c r="E307" s="1" t="s">
        <v>267</v>
      </c>
    </row>
    <row r="308" spans="5:16">
      <c r="E308" s="1" t="s">
        <v>268</v>
      </c>
    </row>
    <row r="309" spans="5:16">
      <c r="E309" s="1" t="s">
        <v>269</v>
      </c>
      <c r="F309">
        <v>-9714</v>
      </c>
      <c r="G309">
        <v>31372</v>
      </c>
      <c r="H309"/>
      <c r="I309">
        <v>28647</v>
      </c>
    </row>
    <row r="310" spans="5:16">
      <c r="E310" s="1" t="s">
        <v>270</v>
      </c>
    </row>
    <row r="311" spans="5:16">
      <c r="E311" s="1" t="s">
        <v>271</v>
      </c>
    </row>
    <row r="312" spans="5:16">
      <c r="E312" s="1" t="s">
        <v>272</v>
      </c>
    </row>
    <row r="313" spans="5:16">
      <c r="E313" s="1" t="s">
        <v>273</v>
      </c>
      <c r="F313">
        <v>26054</v>
      </c>
      <c r="G313">
        <v>-10113</v>
      </c>
      <c r="H313"/>
      <c r="I313">
        <v>22693</v>
      </c>
    </row>
    <row r="314" spans="5:16">
      <c r="E314" s="1" t="s">
        <v>274</v>
      </c>
    </row>
    <row r="315" spans="5:16">
      <c r="E315" s="1" t="s">
        <v>275</v>
      </c>
    </row>
    <row r="316" spans="5:16">
      <c r="E316" s="1" t="s">
        <v>276</v>
      </c>
      <c r="F316">
        <v>16626</v>
      </c>
      <c r="G316">
        <v>17632</v>
      </c>
      <c r="H316"/>
      <c r="I316">
        <v>-25002</v>
      </c>
    </row>
    <row r="317" spans="5:16">
      <c r="E317" s="1" t="s">
        <v>277</v>
      </c>
      <c r="F317">
        <v>32605</v>
      </c>
      <c r="G317">
        <v>2806</v>
      </c>
      <c r="H317"/>
      <c r="I317">
        <v>-4088</v>
      </c>
    </row>
    <row r="318" spans="5:16">
      <c r="E318" s="6" t="s">
        <v>278</v>
      </c>
      <c r="F318" s="7">
        <f>F299+F300+F301+F302+F303+F304+F305+F306+F307+F308+F309+F310+F311+F312+F313+F314+F315+F316+F317</f>
        <v>48750</v>
      </c>
      <c r="G318" s="7">
        <f>IF(G4=$BG$1,"",G299+G300+G301+G302+G303+G304+G305+G306+G307+G308+G309+G310+G311+G312+G313+G314+G315+G316+G317)</f>
        <v>13127</v>
      </c>
      <c r="H318" s="7"/>
      <c r="I318" s="7" t="str">
        <f>IF(I4=$BG$1,"",I299+I300+I301+I302+I303+I304+I305+I306+I307+I308+I309+I310+I311+I312+I313+I314+I315+I316+I317+#REF!+#REF!)</f>
        <v/>
      </c>
      <c r="J318" s="7" t="str">
        <f>IF(J4=$BG$1,"",J299+J300+J301+J302+J303+J304+J305+J306+J307+J308+J309+J310+J311+J312+J313+J314+J315+J316+J317+#REF!+#REF!)</f>
        <v/>
      </c>
      <c r="K318" s="7" t="str">
        <f>IF(K4=$BG$1,"",K299+K300+K301+K302+K303+K304+K305+K306+K307+K308+K309+K310+K311+K312+K313+K314+K315+K316+K317+#REF!+#REF!)</f>
        <v/>
      </c>
      <c r="L318" s="7" t="str">
        <f>IF(L4=$BG$1,"",L299+L300+L301+L302+L303+L304+L305+L306+L307+L308+L309+L310+L311+L312+L313+L314+L315+L316+L317+#REF!+#REF!)</f>
        <v/>
      </c>
      <c r="M318" s="7" t="str">
        <f>IF(M4=$BG$1,"",M299+M300+M301+M302+M303+M304+M305+M306+M307+M308+M309+M310+M311+M312+M313+M314+M315+M316+M317+#REF!+#REF!)</f>
        <v/>
      </c>
      <c r="N318" s="7" t="str">
        <f>IF(N4=$BG$1,"",N299+N300+N301+N302+N303+N304+N305+N306+N307+N308+N309+N310+N311+N312+N313+N314+N315+N316+N317+#REF!+#REF!)</f>
        <v/>
      </c>
      <c r="O318" s="7" t="str">
        <f>IF(O4=$BG$1,"",O299+O300+O301+O302+O303+O304+O305+O306+O307+O308+O309+O310+O311+O312+O313+O314+O315+O316+O317+#REF!+#REF!)</f>
        <v/>
      </c>
      <c r="P318" s="7" t="str">
        <f>IF(P4=$BG$1,"",P299+P300+P301+P302+P303+P304+P305+P306+P307+P308+P309+P310+P311+P312+P313+P314+P315+P316+P317+#REF!+#REF!)</f>
        <v/>
      </c>
    </row>
    <row r="319" spans="5:16">
      <c r="E319" s="6" t="s">
        <v>279</v>
      </c>
      <c r="F319" s="7">
        <f>F297+F318</f>
        <v>419964</v>
      </c>
      <c r="G319" s="7">
        <f>IF(G4=$BG$1,"",G297+G318)</f>
        <v>384341</v>
      </c>
      <c r="H319" s="7"/>
      <c r="I319" s="7" t="str">
        <f t="shared" ref="I319:P319" si="28">IF(I4=$BG$1,"",I297+I318)</f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  <c r="P319" s="7" t="str">
        <f t="shared" si="28"/>
        <v/>
      </c>
    </row>
    <row r="320" spans="5:16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</row>
    <row r="321" spans="5:16">
      <c r="E321" s="1" t="s">
        <v>281</v>
      </c>
    </row>
    <row r="322" spans="5:16">
      <c r="E322" s="1" t="s">
        <v>282</v>
      </c>
    </row>
    <row r="323" spans="5:16">
      <c r="E323" s="1" t="s">
        <v>283</v>
      </c>
    </row>
    <row r="324" spans="5:16">
      <c r="E324" s="12"/>
    </row>
    <row r="325" spans="5:16">
      <c r="E325" s="6" t="s">
        <v>284</v>
      </c>
      <c r="F325" s="7">
        <f>F321+F322+F323+F324</f>
        <v>0</v>
      </c>
      <c r="G325" s="7">
        <f>IF(G4=$BG$1,"",G321+G322+G323+G324)</f>
        <v>0</v>
      </c>
      <c r="H325" s="7"/>
      <c r="I325" s="7" t="str">
        <f t="shared" ref="I325:P325" si="29">IF(I4=$BG$1,"",I321+I322+I323)</f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  <c r="P325" s="7" t="str">
        <f t="shared" si="29"/>
        <v/>
      </c>
    </row>
    <row r="326" spans="5:16">
      <c r="E326" s="6" t="s">
        <v>285</v>
      </c>
      <c r="F326" s="7">
        <f>F325+F319</f>
        <v>419964</v>
      </c>
      <c r="G326" s="7">
        <f>IF(G4=$BG$1,"",G325+G319)</f>
        <v>384341</v>
      </c>
      <c r="H326" s="7"/>
      <c r="I326" s="7" t="str">
        <f t="shared" ref="I326:P326" si="30">IF(I4=$BG$1,"",I325+I319)</f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  <c r="P326" s="7" t="str">
        <f t="shared" si="30"/>
        <v/>
      </c>
    </row>
    <row r="327" spans="5:16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</row>
    <row r="328" spans="5:16">
      <c r="E328" s="1" t="s">
        <v>287</v>
      </c>
      <c r="F328">
        <v>-359845</v>
      </c>
      <c r="G328">
        <v>-333425</v>
      </c>
      <c r="H328"/>
      <c r="I328">
        <v>-1031684</v>
      </c>
    </row>
    <row r="329" spans="5:16">
      <c r="E329" s="1" t="s">
        <v>288</v>
      </c>
    </row>
    <row r="330" spans="5:16">
      <c r="E330" s="1" t="s">
        <v>289</v>
      </c>
    </row>
    <row r="331" spans="5:16">
      <c r="E331" s="1" t="s">
        <v>290</v>
      </c>
    </row>
    <row r="332" spans="5:16">
      <c r="E332" s="12" t="s">
        <v>291</v>
      </c>
      <c r="F332">
        <v>0</v>
      </c>
      <c r="G332">
        <v>0</v>
      </c>
      <c r="H332"/>
      <c r="I332">
        <v>523</v>
      </c>
    </row>
    <row r="333" spans="5:16">
      <c r="E333" s="1" t="s">
        <v>292</v>
      </c>
    </row>
    <row r="334" spans="5:16">
      <c r="E334" s="1" t="s">
        <v>293</v>
      </c>
    </row>
    <row r="335" spans="5:16">
      <c r="E335" s="12" t="s">
        <v>294</v>
      </c>
    </row>
    <row r="336" spans="5:16">
      <c r="E336" s="12" t="s">
        <v>295</v>
      </c>
    </row>
    <row r="337" spans="5:16">
      <c r="E337" s="6" t="s">
        <v>296</v>
      </c>
      <c r="F337" s="7">
        <f>SUM(F328:F336)</f>
        <v>-359845</v>
      </c>
      <c r="G337" s="7">
        <f>IF(G4=$BG$1,"",SUM(G328:G336))</f>
        <v>-333425</v>
      </c>
      <c r="H337" s="7"/>
      <c r="I337" s="7" t="str">
        <f t="shared" ref="I337:P337" si="31">IF(I4=$BG$1,"",SUM(I328:I334))</f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  <c r="P337" s="7" t="str">
        <f t="shared" si="31"/>
        <v/>
      </c>
    </row>
    <row r="338" spans="5:16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</row>
    <row r="339" spans="5:16">
      <c r="E339" s="1" t="s">
        <v>298</v>
      </c>
    </row>
    <row r="340" spans="5:16">
      <c r="E340" s="1" t="s">
        <v>299</v>
      </c>
      <c r="F340">
        <v>0</v>
      </c>
      <c r="G340">
        <v>0</v>
      </c>
      <c r="H340"/>
      <c r="I340">
        <v>1659000</v>
      </c>
    </row>
    <row r="341" spans="5:16">
      <c r="E341" s="12" t="s">
        <v>300</v>
      </c>
    </row>
    <row r="342" spans="5:16">
      <c r="E342" s="1" t="s">
        <v>301</v>
      </c>
    </row>
    <row r="343" spans="5:16">
      <c r="E343" s="1" t="s">
        <v>302</v>
      </c>
      <c r="F343">
        <v>-61658</v>
      </c>
      <c r="G343">
        <v>-57305</v>
      </c>
      <c r="H343"/>
      <c r="I343">
        <v>-1935924</v>
      </c>
    </row>
    <row r="344" spans="5:16">
      <c r="E344" s="1" t="s">
        <v>303</v>
      </c>
    </row>
    <row r="345" spans="5:16">
      <c r="E345" s="1" t="s">
        <v>304</v>
      </c>
    </row>
    <row r="346" spans="5:16">
      <c r="E346" s="1" t="s">
        <v>305</v>
      </c>
    </row>
    <row r="347" spans="5:16">
      <c r="E347" s="12" t="s">
        <v>306</v>
      </c>
    </row>
    <row r="348" spans="5:16">
      <c r="E348" s="12" t="s">
        <v>307</v>
      </c>
    </row>
    <row r="349" spans="5:16">
      <c r="E349" s="12" t="s">
        <v>308</v>
      </c>
      <c r="F349">
        <v>-3407</v>
      </c>
      <c r="G349">
        <v>-3455</v>
      </c>
      <c r="H349"/>
      <c r="I349">
        <v>422720</v>
      </c>
    </row>
    <row r="350" spans="5:16">
      <c r="E350" s="12" t="s">
        <v>309</v>
      </c>
    </row>
    <row r="351" spans="5:16">
      <c r="E351" s="12" t="s">
        <v>310</v>
      </c>
    </row>
    <row r="352" spans="5:16">
      <c r="E352" s="6" t="s">
        <v>311</v>
      </c>
      <c r="F352" s="7">
        <f>SUM(F339:F351)</f>
        <v>-65065</v>
      </c>
      <c r="G352" s="7">
        <f>IF(G4=$BG$1,"",SUM(G339:G351))</f>
        <v>-60760</v>
      </c>
      <c r="H352" s="7"/>
      <c r="I352" s="7" t="str">
        <f t="shared" ref="I352:P352" si="32">IF(I4=$BG$1,"",SUM(I339:I346))</f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  <c r="P352" s="7" t="str">
        <f t="shared" si="32"/>
        <v/>
      </c>
    </row>
    <row r="353" spans="5:16" ht="25.5" customHeight="1">
      <c r="E353" s="6" t="s">
        <v>312</v>
      </c>
      <c r="F353" s="7">
        <f>F326+F337+F352</f>
        <v>-4946</v>
      </c>
      <c r="G353" s="7">
        <f>IF(G4=$BG$1,"",G326+G337+G352)</f>
        <v>-9844</v>
      </c>
      <c r="H353" s="7"/>
      <c r="I353" s="7" t="str">
        <f t="shared" ref="I353:P353" si="33">IF(I4=$BG$1,"",I326+I337+I352)</f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  <c r="P353" s="7" t="str">
        <f t="shared" si="33"/>
        <v/>
      </c>
    </row>
    <row r="354" spans="5:16">
      <c r="E354" s="1" t="s">
        <v>313</v>
      </c>
      <c r="F354">
        <v>-2566</v>
      </c>
      <c r="G354">
        <v>7250</v>
      </c>
      <c r="H354"/>
      <c r="I354">
        <v>-14106</v>
      </c>
    </row>
    <row r="355" spans="5:16">
      <c r="E355" s="6" t="s">
        <v>314</v>
      </c>
      <c r="F355" s="7">
        <f>F353+F354</f>
        <v>-7512</v>
      </c>
      <c r="G355" s="7">
        <f>IF(G4=$BG$1,"",G353+G354)</f>
        <v>-2594</v>
      </c>
      <c r="H355" s="7"/>
      <c r="I355" s="7" t="str">
        <f t="shared" ref="I355:P355" si="34">IF(I4=$BG$1,"",I353+I354)</f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  <c r="P355" s="7" t="str">
        <f t="shared" si="34"/>
        <v/>
      </c>
    </row>
    <row r="356" spans="5:16">
      <c r="E356" s="1" t="s">
        <v>315</v>
      </c>
      <c r="F356">
        <v>67290</v>
      </c>
      <c r="G356">
        <v>57063</v>
      </c>
      <c r="H356"/>
      <c r="I356">
        <v>11215</v>
      </c>
    </row>
    <row r="357" spans="5:16">
      <c r="E357" s="6" t="s">
        <v>316</v>
      </c>
      <c r="F357" s="7">
        <f>F355+F356</f>
        <v>59778</v>
      </c>
      <c r="G357" s="7">
        <f>IF(G4=$BG$1,"",G355+G356)</f>
        <v>54469</v>
      </c>
      <c r="H357" s="7"/>
      <c r="I357" s="7" t="str">
        <f t="shared" ref="I357:P357" si="35">IF(I4=$BG$1,"",I355+I356)</f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  <c r="P357" s="7" t="str">
        <f t="shared" si="35"/>
        <v/>
      </c>
    </row>
    <row r="358" spans="5:16">
      <c r="E358" s="1" t="s">
        <v>317</v>
      </c>
    </row>
    <row r="359" spans="5:16">
      <c r="E359" s="1" t="s">
        <v>318</v>
      </c>
    </row>
    <row r="362" spans="5:16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</row>
    <row r="363" spans="5:16">
      <c r="E363" s="11" t="s">
        <v>320</v>
      </c>
      <c r="F363" s="20">
        <f>F$5</f>
        <v>43708</v>
      </c>
      <c r="G363" s="20">
        <f>G$5</f>
        <v>43343</v>
      </c>
      <c r="H363" s="20"/>
      <c r="I363" s="20" t="str">
        <f>I$5</f>
        <v/>
      </c>
      <c r="J363" s="20" t="str">
        <f>J$5</f>
        <v/>
      </c>
      <c r="K363" s="20" t="str">
        <f t="shared" ref="K363:P363" si="36">IF(K4=$BG$1,"",K3)</f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  <c r="P363" s="20" t="str">
        <f t="shared" si="36"/>
        <v/>
      </c>
    </row>
    <row r="364" spans="5:16">
      <c r="E364" s="23" t="s">
        <v>321</v>
      </c>
      <c r="F364" s="24">
        <f t="shared" ref="F364:P364" si="37">IFERROR((F24-G24)/G24,"")</f>
        <v>4.6992354462654061E-2</v>
      </c>
      <c r="G364" s="24" t="str">
        <f>IFERROR((G24-I24)/I24,"")</f>
        <v/>
      </c>
      <c r="H364" s="24"/>
      <c r="I364" s="24" t="str">
        <f t="shared" si="37"/>
        <v/>
      </c>
      <c r="J364" s="24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  <c r="P364" s="13" t="str">
        <f t="shared" si="37"/>
        <v/>
      </c>
    </row>
    <row r="365" spans="5:16">
      <c r="E365" s="23" t="s">
        <v>322</v>
      </c>
      <c r="F365" s="24">
        <f>IFERROR((F6-G6)/G6,"")</f>
        <v>-1.7034855990215489</v>
      </c>
      <c r="G365" s="24" t="str">
        <f>IFERROR((G6-I6)/I6,"")</f>
        <v/>
      </c>
      <c r="H365" s="24"/>
      <c r="I365" s="24" t="str">
        <f>IFERROR((I6-J6)/J6,"")</f>
        <v/>
      </c>
      <c r="J365" s="24" t="str">
        <f>IFERROR((J6-K6)/K6,"")</f>
        <v/>
      </c>
      <c r="K365" s="13" t="str">
        <f t="shared" ref="K365:P365" si="38">IFERROR((K25-L25)/L25,"")</f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  <c r="P365" s="13" t="str">
        <f t="shared" si="38"/>
        <v/>
      </c>
    </row>
    <row r="366" spans="5:16">
      <c r="E366" s="23" t="s">
        <v>323</v>
      </c>
      <c r="F366" s="24">
        <f t="shared" ref="F366:P366" si="39">IFERROR((F12-G12)/G12,"")</f>
        <v>-3.9224518880996533E-2</v>
      </c>
      <c r="G366" s="24" t="str">
        <f>IFERROR((G12-I12)/I12,"")</f>
        <v/>
      </c>
      <c r="H366" s="24"/>
      <c r="I366" s="24" t="str">
        <f t="shared" si="39"/>
        <v/>
      </c>
      <c r="J366" s="24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  <c r="P366" s="25" t="str">
        <f t="shared" si="39"/>
        <v/>
      </c>
    </row>
    <row r="368" spans="5:16">
      <c r="E368" s="11" t="s">
        <v>324</v>
      </c>
      <c r="F368" s="20">
        <f>F$5</f>
        <v>43708</v>
      </c>
      <c r="G368" s="20">
        <f>G$5</f>
        <v>43343</v>
      </c>
      <c r="H368" s="20"/>
      <c r="I368" s="20" t="str">
        <f>I$5</f>
        <v/>
      </c>
      <c r="J368" s="20" t="str">
        <f>J$5</f>
        <v/>
      </c>
      <c r="K368" s="20" t="str">
        <f t="shared" ref="K368:P368" si="40">IF(K9=$BG$1,"",K8)</f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  <c r="P368" s="20" t="str">
        <f t="shared" si="40"/>
        <v/>
      </c>
    </row>
    <row r="369" spans="5:16">
      <c r="E369" s="26" t="s">
        <v>325</v>
      </c>
      <c r="F369" s="27">
        <f t="shared" ref="F369:P369" si="41">IFERROR(F30/F24,"")</f>
        <v>1</v>
      </c>
      <c r="G369" s="27">
        <f t="shared" si="41"/>
        <v>1</v>
      </c>
      <c r="H369" s="27"/>
      <c r="I369" s="27" t="str">
        <f t="shared" si="41"/>
        <v/>
      </c>
      <c r="J369" s="27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  <c r="P369" s="13" t="str">
        <f t="shared" si="41"/>
        <v/>
      </c>
    </row>
    <row r="370" spans="5:16">
      <c r="E370" s="26" t="s">
        <v>326</v>
      </c>
      <c r="F370" s="27">
        <f t="shared" ref="F370:P370" si="42">IFERROR(F44/F24,"")</f>
        <v>5.4626777876553307E-3</v>
      </c>
      <c r="G370" s="27">
        <f t="shared" si="42"/>
        <v>0.14347286317345062</v>
      </c>
      <c r="H370" s="27"/>
      <c r="I370" s="27" t="str">
        <f t="shared" si="42"/>
        <v/>
      </c>
      <c r="J370" s="27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  <c r="P370" s="13" t="str">
        <f t="shared" si="42"/>
        <v/>
      </c>
    </row>
    <row r="371" spans="5:16">
      <c r="E371" s="26" t="s">
        <v>327</v>
      </c>
      <c r="F371" s="28">
        <f t="shared" ref="F371:P371" si="43">IFERROR(F6/F24,"")</f>
        <v>-8.7639529657334486E-2</v>
      </c>
      <c r="G371" s="28">
        <f t="shared" si="43"/>
        <v>0.13043325638443032</v>
      </c>
      <c r="H371" s="28"/>
      <c r="I371" s="28" t="str">
        <f t="shared" si="43"/>
        <v/>
      </c>
      <c r="J371" s="28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  <c r="P371" t="str">
        <f t="shared" si="43"/>
        <v/>
      </c>
    </row>
    <row r="372" spans="5:16">
      <c r="E372" s="26" t="s">
        <v>328</v>
      </c>
      <c r="F372" s="27">
        <f t="shared" ref="F372:P372" si="44">IFERROR(F71/F12,"")</f>
        <v>-4.2771782731935049E-2</v>
      </c>
      <c r="G372" s="27">
        <f t="shared" si="44"/>
        <v>5.8414955742873143E-2</v>
      </c>
      <c r="H372" s="27"/>
      <c r="I372" s="27" t="str">
        <f t="shared" si="44"/>
        <v/>
      </c>
      <c r="J372" s="27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  <c r="P372" s="13" t="str">
        <f t="shared" si="44"/>
        <v/>
      </c>
    </row>
    <row r="373" spans="5:16">
      <c r="E373" s="26" t="s">
        <v>329</v>
      </c>
      <c r="F373" s="27">
        <f t="shared" ref="F373:P373" si="45">IFERROR(F71/F11,"")</f>
        <v>-0.11176814995726284</v>
      </c>
      <c r="G373" s="27">
        <f t="shared" si="45"/>
        <v>0.14460321937295592</v>
      </c>
      <c r="H373" s="27"/>
      <c r="I373" s="27" t="str">
        <f t="shared" si="45"/>
        <v/>
      </c>
      <c r="J373" s="27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  <c r="P373" s="13" t="str">
        <f t="shared" si="45"/>
        <v/>
      </c>
    </row>
    <row r="375" spans="5:16">
      <c r="E375" s="11" t="s">
        <v>330</v>
      </c>
      <c r="F375" s="20">
        <f>F$5</f>
        <v>43708</v>
      </c>
      <c r="G375" s="20">
        <f>G$5</f>
        <v>43343</v>
      </c>
      <c r="H375" s="20"/>
      <c r="I375" s="20" t="str">
        <f>I$5</f>
        <v/>
      </c>
      <c r="J375" s="20" t="str">
        <f>J$5</f>
        <v/>
      </c>
      <c r="K375" s="20" t="str">
        <f t="shared" ref="K375:P375" si="46">IF(K16=$BG$1,"",K15)</f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  <c r="P375" s="20" t="str">
        <f t="shared" si="46"/>
        <v/>
      </c>
    </row>
    <row r="376" spans="5:16">
      <c r="E376" s="29" t="s">
        <v>331</v>
      </c>
      <c r="F376" s="30">
        <f t="shared" ref="F376:P376" si="47">IFERROR((F9+F10)/F12,"")</f>
        <v>0.61731689440784487</v>
      </c>
      <c r="G376" s="30">
        <f t="shared" si="47"/>
        <v>0.59603281312699408</v>
      </c>
      <c r="H376" s="30"/>
      <c r="I376" s="30" t="str">
        <f t="shared" si="47"/>
        <v/>
      </c>
      <c r="J376" s="30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  <c r="P376" s="13" t="str">
        <f t="shared" si="47"/>
        <v/>
      </c>
    </row>
    <row r="377" spans="5:16">
      <c r="E377" s="29" t="s">
        <v>332</v>
      </c>
      <c r="F377" s="30">
        <f t="shared" ref="F377:P377" si="48">IFERROR((F9+F10)/F11,"")</f>
        <v>1.6131281610998289</v>
      </c>
      <c r="G377" s="30">
        <f t="shared" si="48"/>
        <v>1.4754485821997405</v>
      </c>
      <c r="H377" s="30"/>
      <c r="I377" s="30" t="str">
        <f t="shared" si="48"/>
        <v/>
      </c>
      <c r="J377" s="30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  <c r="P377" s="13" t="str">
        <f t="shared" si="48"/>
        <v/>
      </c>
    </row>
    <row r="378" spans="5:16">
      <c r="E378" s="29" t="s">
        <v>333</v>
      </c>
      <c r="F378" s="30">
        <f t="shared" ref="F378:P378" si="49">IFERROR(F44/F49,"")</f>
        <v>8.8754651852650884E-2</v>
      </c>
      <c r="G378" s="30">
        <f>IFERROR(G44/G49,"")</f>
        <v>2.3453896720016818</v>
      </c>
      <c r="H378" s="30"/>
      <c r="I378" s="30" t="str">
        <f t="shared" si="49"/>
        <v/>
      </c>
      <c r="J378" s="30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  <c r="P378" s="13" t="str">
        <f t="shared" si="49"/>
        <v/>
      </c>
    </row>
    <row r="379" spans="5:16">
      <c r="E379" s="1" t="s">
        <v>334</v>
      </c>
      <c r="F379" s="13" t="s">
        <v>335</v>
      </c>
      <c r="G379" s="13" t="s">
        <v>335</v>
      </c>
      <c r="H379" s="13"/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  <c r="P379" s="13" t="s">
        <v>335</v>
      </c>
    </row>
    <row r="380" spans="5:16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5:16">
      <c r="E381" s="11" t="s">
        <v>336</v>
      </c>
      <c r="F381" s="20">
        <f>F$5</f>
        <v>43708</v>
      </c>
      <c r="G381" s="20">
        <f>G$5</f>
        <v>43343</v>
      </c>
      <c r="H381" s="20"/>
      <c r="I381" s="20" t="str">
        <f>I$5</f>
        <v/>
      </c>
      <c r="J381" s="20" t="str">
        <f>J$5</f>
        <v/>
      </c>
      <c r="K381" s="20" t="str">
        <f t="shared" ref="K381:P381" si="50">IF(K22=$BG$1,"",K21)</f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  <c r="P381" s="20" t="str">
        <f t="shared" si="50"/>
        <v/>
      </c>
    </row>
    <row r="382" spans="5:16">
      <c r="E382" s="31" t="s">
        <v>337</v>
      </c>
      <c r="F382" s="32">
        <f t="shared" ref="F382:P382" si="51">IFERROR(F8/F9,"")</f>
        <v>0.78931347740447633</v>
      </c>
      <c r="G382" s="32">
        <f t="shared" si="51"/>
        <v>0.86710197987212756</v>
      </c>
      <c r="H382" s="32"/>
      <c r="I382" s="32" t="str">
        <f t="shared" si="51"/>
        <v/>
      </c>
      <c r="J382" s="32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  <c r="P382" s="13" t="str">
        <f t="shared" si="51"/>
        <v/>
      </c>
    </row>
    <row r="383" spans="5:16">
      <c r="E383" s="33" t="s">
        <v>338</v>
      </c>
      <c r="F383" s="32">
        <f t="shared" ref="F383:P383" si="52">IFERROR((F8-F145)/F9,"")</f>
        <v>0.78931347740447633</v>
      </c>
      <c r="G383" s="32">
        <f t="shared" si="52"/>
        <v>0.86710197987212756</v>
      </c>
      <c r="H383" s="32"/>
      <c r="I383" s="32" t="str">
        <f t="shared" si="52"/>
        <v/>
      </c>
      <c r="J383" s="32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  <c r="P383" s="13" t="str">
        <f t="shared" si="52"/>
        <v/>
      </c>
    </row>
    <row r="384" spans="5:16">
      <c r="E384" s="33" t="s">
        <v>339</v>
      </c>
      <c r="F384" s="32">
        <f t="shared" ref="F384:P384" si="53">IFERROR((F130+F131)/F9,"")</f>
        <v>8.8514029762864418E-2</v>
      </c>
      <c r="G384" s="32">
        <f t="shared" si="53"/>
        <v>0.12373511234353825</v>
      </c>
      <c r="H384" s="32"/>
      <c r="I384" s="32" t="str">
        <f t="shared" si="53"/>
        <v/>
      </c>
      <c r="J384" s="32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  <c r="P384" s="13" t="str">
        <f t="shared" si="53"/>
        <v/>
      </c>
    </row>
    <row r="385" spans="5:16">
      <c r="E385" s="33" t="s">
        <v>340</v>
      </c>
      <c r="F385" s="32">
        <f t="shared" ref="F385:P385" si="54">IFERROR((F326)/F9,"")</f>
        <v>0.73594745585689147</v>
      </c>
      <c r="G385" s="32">
        <f t="shared" si="54"/>
        <v>0.70673914122793624</v>
      </c>
      <c r="H385" s="32"/>
      <c r="I385" s="32" t="str">
        <f t="shared" si="54"/>
        <v/>
      </c>
      <c r="J385" s="32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  <c r="P385" s="13" t="str">
        <f t="shared" si="54"/>
        <v/>
      </c>
    </row>
    <row r="389" spans="5:16">
      <c r="F389" s="13"/>
      <c r="G389" s="13"/>
      <c r="H389" s="13"/>
    </row>
    <row r="390" spans="5:16">
      <c r="F390" s="13"/>
      <c r="G390" s="13"/>
      <c r="H390" s="13"/>
    </row>
    <row r="391" spans="5:16">
      <c r="F391" s="13"/>
      <c r="G391" s="13"/>
      <c r="H391" s="13"/>
    </row>
    <row r="392" spans="5:16">
      <c r="E392" s="11" t="s">
        <v>341</v>
      </c>
      <c r="F392" s="11"/>
      <c r="G392" s="11"/>
      <c r="H392" s="11"/>
    </row>
    <row r="393" spans="5:16">
      <c r="E393" s="12"/>
      <c r="F393" s="12"/>
      <c r="G393" s="12"/>
      <c r="H393" s="12"/>
    </row>
    <row r="394" spans="5:16">
      <c r="E394" s="12"/>
      <c r="F394" s="12"/>
      <c r="G394" s="12"/>
      <c r="H394" s="12"/>
    </row>
    <row r="395" spans="5:16">
      <c r="E395" s="12" t="s">
        <v>342</v>
      </c>
      <c r="F395" s="12"/>
      <c r="G395" s="12"/>
      <c r="H395" s="12"/>
    </row>
    <row r="396" spans="5:16">
      <c r="E396" s="12" t="s">
        <v>343</v>
      </c>
      <c r="F396" s="12"/>
      <c r="G396" s="12"/>
      <c r="H396" s="12"/>
    </row>
    <row r="397" spans="5:16">
      <c r="E397" s="6" t="s">
        <v>344</v>
      </c>
      <c r="F397" s="14">
        <f>SUM(F395:F396)</f>
        <v>0</v>
      </c>
      <c r="G397" s="14">
        <f>SUM(G395:G396)</f>
        <v>0</v>
      </c>
      <c r="H397" s="14"/>
    </row>
    <row r="398" spans="5:16">
      <c r="E398" s="12" t="s">
        <v>345</v>
      </c>
      <c r="F398" s="12"/>
      <c r="G398" s="12"/>
      <c r="H398" s="12"/>
    </row>
    <row r="399" spans="5:16">
      <c r="E399" s="12" t="s">
        <v>346</v>
      </c>
      <c r="F399" s="12"/>
      <c r="G399" s="12"/>
      <c r="H399" s="12"/>
    </row>
    <row r="400" spans="5:16">
      <c r="E400" s="12" t="s">
        <v>347</v>
      </c>
      <c r="F400" s="12"/>
      <c r="G400" s="12"/>
      <c r="H400" s="12"/>
    </row>
    <row r="401" spans="5:8">
      <c r="E401" s="12" t="s">
        <v>348</v>
      </c>
      <c r="F401" s="12"/>
      <c r="G401" s="12"/>
      <c r="H401" s="12"/>
    </row>
    <row r="402" spans="5:8">
      <c r="E402" s="12" t="s">
        <v>349</v>
      </c>
      <c r="F402" s="12"/>
      <c r="G402" s="12"/>
      <c r="H402" s="12"/>
    </row>
    <row r="403" spans="5:8">
      <c r="E403" s="12" t="s">
        <v>350</v>
      </c>
      <c r="F403" s="12"/>
      <c r="G403" s="12"/>
      <c r="H403" s="12"/>
    </row>
    <row r="404" spans="5:8">
      <c r="E404" s="12" t="s">
        <v>351</v>
      </c>
      <c r="F404" s="12"/>
      <c r="G404" s="12"/>
      <c r="H404" s="12"/>
    </row>
    <row r="405" spans="5:8">
      <c r="E405" s="1" t="s">
        <v>352</v>
      </c>
    </row>
    <row r="406" spans="5:8">
      <c r="E406" s="12" t="s">
        <v>353</v>
      </c>
    </row>
    <row r="407" spans="5:8">
      <c r="E407" s="12" t="s">
        <v>354</v>
      </c>
    </row>
    <row r="408" spans="5:8">
      <c r="E408" s="12" t="s">
        <v>355</v>
      </c>
    </row>
    <row r="409" spans="5:8">
      <c r="E409" s="6" t="s">
        <v>356</v>
      </c>
      <c r="F409" s="14">
        <f>SUM(F397:F408)</f>
        <v>0</v>
      </c>
      <c r="G409" s="14">
        <f>SUM(G397:G408)</f>
        <v>0</v>
      </c>
      <c r="H409" s="14"/>
    </row>
    <row r="410" spans="5:8">
      <c r="E410" s="16" t="s">
        <v>357</v>
      </c>
      <c r="F410" s="17">
        <f>F153-F409</f>
        <v>0</v>
      </c>
      <c r="G410" s="17">
        <f>G153-G409</f>
        <v>0</v>
      </c>
      <c r="H410" s="17"/>
    </row>
    <row r="413" spans="5:8">
      <c r="E413" t="s">
        <v>358</v>
      </c>
    </row>
    <row r="414" spans="5:8">
      <c r="E414" t="s">
        <v>359</v>
      </c>
    </row>
    <row r="415" spans="5:8">
      <c r="E415" t="s">
        <v>360</v>
      </c>
    </row>
    <row r="416" spans="5:8">
      <c r="E416" t="s">
        <v>361</v>
      </c>
    </row>
    <row r="417" spans="5:8">
      <c r="E417" s="15" t="s">
        <v>362</v>
      </c>
      <c r="F417" s="14">
        <f>SUM(F413:F416)</f>
        <v>0</v>
      </c>
      <c r="G417" s="14">
        <f>SUM(G413:G416)</f>
        <v>0</v>
      </c>
      <c r="H417" s="14"/>
    </row>
    <row r="418" spans="5:8">
      <c r="E418" s="16" t="s">
        <v>357</v>
      </c>
      <c r="F418" s="17">
        <f>F130-F417</f>
        <v>50510</v>
      </c>
      <c r="G418" s="17">
        <f>G130-G417</f>
        <v>67290</v>
      </c>
      <c r="H418" s="17"/>
    </row>
    <row r="419" spans="5:8">
      <c r="E419" s="12"/>
    </row>
    <row r="420" spans="5:8">
      <c r="E420" s="12"/>
    </row>
    <row r="421" spans="5:8">
      <c r="E421" s="12"/>
    </row>
    <row r="422" spans="5:8">
      <c r="E422" s="12" t="s">
        <v>363</v>
      </c>
    </row>
    <row r="423" spans="5:8">
      <c r="E423" s="12" t="s">
        <v>364</v>
      </c>
    </row>
    <row r="424" spans="5:8">
      <c r="E424" s="12" t="s">
        <v>365</v>
      </c>
    </row>
    <row r="425" spans="5:8">
      <c r="E425" s="12" t="s">
        <v>366</v>
      </c>
    </row>
    <row r="426" spans="5:8">
      <c r="E426" s="12" t="s">
        <v>367</v>
      </c>
    </row>
    <row r="427" spans="5:8">
      <c r="E427" s="12" t="s">
        <v>368</v>
      </c>
    </row>
    <row r="428" spans="5:8">
      <c r="E428" s="12" t="s">
        <v>369</v>
      </c>
    </row>
    <row r="429" spans="5:8">
      <c r="E429" t="s">
        <v>370</v>
      </c>
    </row>
    <row r="430" spans="5:8">
      <c r="E430" t="s">
        <v>371</v>
      </c>
    </row>
    <row r="431" spans="5:8">
      <c r="E431" t="s">
        <v>372</v>
      </c>
    </row>
    <row r="432" spans="5:8">
      <c r="E432" s="15" t="s">
        <v>373</v>
      </c>
      <c r="F432" s="14">
        <f>SUM(F422:F431)</f>
        <v>0</v>
      </c>
      <c r="G432" s="14">
        <f>SUM(G422:G431)</f>
        <v>0</v>
      </c>
      <c r="H432" s="14"/>
    </row>
    <row r="433" spans="5:8">
      <c r="E433" s="16" t="s">
        <v>357</v>
      </c>
      <c r="F433" s="17">
        <f>F172-F432</f>
        <v>0</v>
      </c>
      <c r="G433" s="17">
        <f>G172-G432</f>
        <v>0</v>
      </c>
      <c r="H433" s="17"/>
    </row>
  </sheetData>
  <conditionalFormatting sqref="E101:E103 E130:H136 E138:H139 F137:H137 E89:H97 E156:H159 I146:P159 E267:P269 F333:P336 E330:E336 E339:P351">
    <cfRule type="expression" dxfId="45" priority="28">
      <formula>MOD(ROW(),2)=0</formula>
    </cfRule>
  </conditionalFormatting>
  <conditionalFormatting sqref="F101:H103">
    <cfRule type="expression" dxfId="44" priority="27">
      <formula>MOD(ROW(),2)=0</formula>
    </cfRule>
  </conditionalFormatting>
  <conditionalFormatting sqref="E243:H243">
    <cfRule type="expression" dxfId="43" priority="33">
      <formula>MOD(ROW(),2)=0</formula>
    </cfRule>
  </conditionalFormatting>
  <conditionalFormatting sqref="E323:E324">
    <cfRule type="expression" dxfId="42" priority="29">
      <formula>MOD(ROW(),2)=0</formula>
    </cfRule>
  </conditionalFormatting>
  <conditionalFormatting sqref="E329">
    <cfRule type="expression" dxfId="41" priority="26">
      <formula>MOD(ROW(),2)=0</formula>
    </cfRule>
  </conditionalFormatting>
  <conditionalFormatting sqref="E24:H29">
    <cfRule type="expression" dxfId="40" priority="46">
      <formula>MOD(ROW(),2)=0</formula>
    </cfRule>
  </conditionalFormatting>
  <conditionalFormatting sqref="E99:H99 E328:H328 F329:H332 E31:H42">
    <cfRule type="expression" dxfId="39" priority="47">
      <formula>MOD(ROW(),2)=0</formula>
    </cfRule>
  </conditionalFormatting>
  <conditionalFormatting sqref="E45:H58">
    <cfRule type="expression" dxfId="38" priority="45">
      <formula>MOD(ROW(),2)=0</formula>
    </cfRule>
  </conditionalFormatting>
  <conditionalFormatting sqref="E60:H66">
    <cfRule type="expression" dxfId="37" priority="44">
      <formula>MOD(ROW(),2)=0</formula>
    </cfRule>
  </conditionalFormatting>
  <conditionalFormatting sqref="E68:H70">
    <cfRule type="expression" dxfId="36" priority="43">
      <formula>MOD(ROW(),2)=0</formula>
    </cfRule>
  </conditionalFormatting>
  <conditionalFormatting sqref="E72:H82">
    <cfRule type="expression" dxfId="35" priority="42">
      <formula>MOD(ROW(),2)=0</formula>
    </cfRule>
  </conditionalFormatting>
  <conditionalFormatting sqref="E84:H86">
    <cfRule type="expression" dxfId="34" priority="41">
      <formula>MOD(ROW(),2)=0</formula>
    </cfRule>
  </conditionalFormatting>
  <conditionalFormatting sqref="E107:H127">
    <cfRule type="expression" dxfId="33" priority="40">
      <formula>MOD(ROW(),2)=0</formula>
    </cfRule>
  </conditionalFormatting>
  <conditionalFormatting sqref="E141:H144">
    <cfRule type="expression" dxfId="32" priority="39">
      <formula>MOD(ROW(),2)=0</formula>
    </cfRule>
  </conditionalFormatting>
  <conditionalFormatting sqref="E146:H154 F155:H155">
    <cfRule type="expression" dxfId="31" priority="38">
      <formula>MOD(ROW(),2)=0</formula>
    </cfRule>
  </conditionalFormatting>
  <conditionalFormatting sqref="E163:H188">
    <cfRule type="expression" dxfId="30" priority="37">
      <formula>MOD(ROW(),2)=0</formula>
    </cfRule>
  </conditionalFormatting>
  <conditionalFormatting sqref="E191:H209">
    <cfRule type="expression" dxfId="29" priority="36">
      <formula>MOD(ROW(),2)=0</formula>
    </cfRule>
  </conditionalFormatting>
  <conditionalFormatting sqref="E212:H226">
    <cfRule type="expression" dxfId="28" priority="35">
      <formula>MOD(ROW(),2)=0</formula>
    </cfRule>
  </conditionalFormatting>
  <conditionalFormatting sqref="E229:H242">
    <cfRule type="expression" dxfId="27" priority="34">
      <formula>MOD(ROW(),2)=0</formula>
    </cfRule>
  </conditionalFormatting>
  <conditionalFormatting sqref="E245:H262">
    <cfRule type="expression" dxfId="26" priority="32">
      <formula>MOD(ROW(),2)=0</formula>
    </cfRule>
  </conditionalFormatting>
  <conditionalFormatting sqref="E271:H295 E321:H322 E354:F354 E356:F356 E358:H360 F323:H324 E299:H317">
    <cfRule type="expression" dxfId="25" priority="31">
      <formula>MOD(ROW(),2)=0</formula>
    </cfRule>
  </conditionalFormatting>
  <conditionalFormatting sqref="G354:H354 G356:H356">
    <cfRule type="expression" dxfId="24" priority="30">
      <formula>MOD(ROW(),2)=0</formula>
    </cfRule>
  </conditionalFormatting>
  <conditionalFormatting sqref="E105:H106">
    <cfRule type="expression" dxfId="23" priority="25">
      <formula>MOD(ROW(),2)=0</formula>
    </cfRule>
  </conditionalFormatting>
  <conditionalFormatting sqref="E155">
    <cfRule type="expression" dxfId="22" priority="24">
      <formula>MOD(ROW(),2)=0</formula>
    </cfRule>
  </conditionalFormatting>
  <conditionalFormatting sqref="I24:P29">
    <cfRule type="expression" dxfId="21" priority="23">
      <formula>MOD(ROW(),2)=0</formula>
    </cfRule>
  </conditionalFormatting>
  <conditionalFormatting sqref="I89:P97">
    <cfRule type="expression" dxfId="20" priority="4">
      <formula>MOD(ROW(),2)=0</formula>
    </cfRule>
  </conditionalFormatting>
  <conditionalFormatting sqref="I101:P103">
    <cfRule type="expression" dxfId="19" priority="3">
      <formula>MOD(ROW(),2)=0</formula>
    </cfRule>
  </conditionalFormatting>
  <conditionalFormatting sqref="I243:P243">
    <cfRule type="expression" dxfId="18" priority="8">
      <formula>MOD(ROW(),2)=0</formula>
    </cfRule>
  </conditionalFormatting>
  <conditionalFormatting sqref="I31:P37 I99:P99 I328:P332 I39:P42 J38:P38">
    <cfRule type="expression" dxfId="17" priority="22">
      <formula>MOD(ROW(),2)=0</formula>
    </cfRule>
  </conditionalFormatting>
  <conditionalFormatting sqref="I45:P58">
    <cfRule type="expression" dxfId="16" priority="21">
      <formula>MOD(ROW(),2)=0</formula>
    </cfRule>
  </conditionalFormatting>
  <conditionalFormatting sqref="I60:P66">
    <cfRule type="expression" dxfId="15" priority="20">
      <formula>MOD(ROW(),2)=0</formula>
    </cfRule>
  </conditionalFormatting>
  <conditionalFormatting sqref="I68:P70">
    <cfRule type="expression" dxfId="14" priority="19">
      <formula>MOD(ROW(),2)=0</formula>
    </cfRule>
  </conditionalFormatting>
  <conditionalFormatting sqref="I72:P82">
    <cfRule type="expression" dxfId="13" priority="18">
      <formula>MOD(ROW(),2)=0</formula>
    </cfRule>
  </conditionalFormatting>
  <conditionalFormatting sqref="I84:P86">
    <cfRule type="expression" dxfId="12" priority="17">
      <formula>MOD(ROW(),2)=0</formula>
    </cfRule>
  </conditionalFormatting>
  <conditionalFormatting sqref="I107:P127">
    <cfRule type="expression" dxfId="11" priority="16">
      <formula>MOD(ROW(),2)=0</formula>
    </cfRule>
  </conditionalFormatting>
  <conditionalFormatting sqref="I130:P139">
    <cfRule type="expression" dxfId="10" priority="15">
      <formula>MOD(ROW(),2)=0</formula>
    </cfRule>
  </conditionalFormatting>
  <conditionalFormatting sqref="I141:P144">
    <cfRule type="expression" dxfId="9" priority="14">
      <formula>MOD(ROW(),2)=0</formula>
    </cfRule>
  </conditionalFormatting>
  <conditionalFormatting sqref="I163:P188">
    <cfRule type="expression" dxfId="8" priority="12">
      <formula>MOD(ROW(),2)=0</formula>
    </cfRule>
  </conditionalFormatting>
  <conditionalFormatting sqref="I191:P209">
    <cfRule type="expression" dxfId="7" priority="11">
      <formula>MOD(ROW(),2)=0</formula>
    </cfRule>
  </conditionalFormatting>
  <conditionalFormatting sqref="I212:P226">
    <cfRule type="expression" dxfId="6" priority="10">
      <formula>MOD(ROW(),2)=0</formula>
    </cfRule>
  </conditionalFormatting>
  <conditionalFormatting sqref="I229:P242">
    <cfRule type="expression" dxfId="5" priority="9">
      <formula>MOD(ROW(),2)=0</formula>
    </cfRule>
  </conditionalFormatting>
  <conditionalFormatting sqref="I245:P262">
    <cfRule type="expression" dxfId="4" priority="7">
      <formula>MOD(ROW(),2)=0</formula>
    </cfRule>
  </conditionalFormatting>
  <conditionalFormatting sqref="I271:P295 I321:P324 I358:P360 I299:P317">
    <cfRule type="expression" dxfId="3" priority="6">
      <formula>MOD(ROW(),2)=0</formula>
    </cfRule>
  </conditionalFormatting>
  <conditionalFormatting sqref="I354:P354 I356:P356">
    <cfRule type="expression" dxfId="2" priority="5">
      <formula>MOD(ROW(),2)=0</formula>
    </cfRule>
  </conditionalFormatting>
  <conditionalFormatting sqref="I105:P106">
    <cfRule type="expression" dxfId="1" priority="2">
      <formula>MOD(ROW(),2)=0</formula>
    </cfRule>
  </conditionalFormatting>
  <conditionalFormatting sqref="I38">
    <cfRule type="expression" dxfId="0" priority="1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45"/>
  <sheetViews>
    <sheetView topLeftCell="A16" workbookViewId="0">
      <selection activeCell="A30" sqref="A1:A1048576"/>
    </sheetView>
  </sheetViews>
  <sheetFormatPr defaultRowHeight="12.75"/>
  <cols>
    <col min="1" max="1" width="55.85546875" bestFit="1" customWidth="1"/>
    <col min="2" max="2" width="22.85546875" customWidth="1"/>
    <col min="3" max="3" width="38" bestFit="1" customWidth="1"/>
    <col min="4" max="4" width="12.140625" customWidth="1"/>
  </cols>
  <sheetData>
    <row r="2" spans="1:6">
      <c r="E2">
        <v>2018</v>
      </c>
      <c r="F2">
        <v>2017</v>
      </c>
    </row>
    <row r="5" spans="1:6">
      <c r="A5" t="s">
        <v>374</v>
      </c>
    </row>
    <row r="6" spans="1:6">
      <c r="A6" t="s">
        <v>375</v>
      </c>
      <c r="B6" t="s">
        <v>116</v>
      </c>
      <c r="C6" t="s">
        <v>116</v>
      </c>
      <c r="D6" t="s">
        <v>116</v>
      </c>
    </row>
    <row r="7" spans="1:6">
      <c r="A7" t="s">
        <v>376</v>
      </c>
      <c r="B7" t="s">
        <v>117</v>
      </c>
      <c r="C7" t="s">
        <v>117</v>
      </c>
      <c r="D7" t="s">
        <v>116</v>
      </c>
      <c r="E7">
        <v>50510</v>
      </c>
      <c r="F7">
        <v>67290</v>
      </c>
    </row>
    <row r="8" spans="1:6">
      <c r="A8" t="s">
        <v>377</v>
      </c>
      <c r="B8" t="s">
        <v>352</v>
      </c>
      <c r="C8" t="s">
        <v>137</v>
      </c>
      <c r="D8" t="s">
        <v>116</v>
      </c>
      <c r="E8">
        <v>318087</v>
      </c>
      <c r="F8">
        <v>296925</v>
      </c>
    </row>
    <row r="9" spans="1:6">
      <c r="A9" t="s">
        <v>378</v>
      </c>
      <c r="B9" t="s">
        <v>138</v>
      </c>
      <c r="C9" t="s">
        <v>138</v>
      </c>
      <c r="D9" t="s">
        <v>116</v>
      </c>
      <c r="E9">
        <v>81820</v>
      </c>
      <c r="F9">
        <v>107335</v>
      </c>
    </row>
    <row r="10" spans="1:6">
      <c r="A10" t="s">
        <v>379</v>
      </c>
      <c r="B10" t="s">
        <v>12</v>
      </c>
      <c r="C10" t="s">
        <v>12</v>
      </c>
      <c r="D10" t="s">
        <v>116</v>
      </c>
      <c r="E10">
        <v>450417</v>
      </c>
      <c r="F10">
        <v>471550</v>
      </c>
    </row>
    <row r="11" spans="1:6">
      <c r="A11" t="s">
        <v>380</v>
      </c>
      <c r="B11" t="s">
        <v>381</v>
      </c>
      <c r="C11" t="s">
        <v>84</v>
      </c>
      <c r="D11" t="s">
        <v>80</v>
      </c>
    </row>
    <row r="12" spans="1:6">
      <c r="A12" t="s">
        <v>382</v>
      </c>
      <c r="B12" t="s">
        <v>81</v>
      </c>
      <c r="C12" t="s">
        <v>81</v>
      </c>
      <c r="D12" t="s">
        <v>80</v>
      </c>
      <c r="E12">
        <v>430771</v>
      </c>
      <c r="F12">
        <v>450342</v>
      </c>
    </row>
    <row r="13" spans="1:6">
      <c r="A13" t="s">
        <v>383</v>
      </c>
      <c r="B13" t="s">
        <v>81</v>
      </c>
      <c r="C13" t="s">
        <v>81</v>
      </c>
      <c r="D13" t="s">
        <v>80</v>
      </c>
      <c r="E13">
        <v>2423594</v>
      </c>
      <c r="F13">
        <v>2370918</v>
      </c>
    </row>
    <row r="14" spans="1:6">
      <c r="A14" t="s">
        <v>384</v>
      </c>
      <c r="B14" t="s">
        <v>84</v>
      </c>
      <c r="C14" t="s">
        <v>84</v>
      </c>
      <c r="D14" t="s">
        <v>80</v>
      </c>
      <c r="E14">
        <v>444538</v>
      </c>
      <c r="F14">
        <v>400596</v>
      </c>
    </row>
    <row r="15" spans="1:6">
      <c r="A15" t="s">
        <v>385</v>
      </c>
      <c r="B15" t="s">
        <v>82</v>
      </c>
      <c r="C15" t="s">
        <v>82</v>
      </c>
      <c r="D15" t="s">
        <v>80</v>
      </c>
      <c r="E15">
        <v>294848</v>
      </c>
      <c r="F15">
        <v>173693</v>
      </c>
    </row>
    <row r="16" spans="1:6">
      <c r="A16" t="s">
        <v>386</v>
      </c>
      <c r="B16" t="s">
        <v>89</v>
      </c>
      <c r="C16" t="s">
        <v>89</v>
      </c>
      <c r="D16" t="s">
        <v>80</v>
      </c>
      <c r="E16">
        <v>-485985</v>
      </c>
      <c r="F16">
        <v>-347419</v>
      </c>
    </row>
    <row r="17" spans="1:6">
      <c r="A17" s="41" t="s">
        <v>387</v>
      </c>
      <c r="B17" t="s">
        <v>381</v>
      </c>
      <c r="C17" t="s">
        <v>84</v>
      </c>
      <c r="D17" t="s">
        <v>80</v>
      </c>
      <c r="E17">
        <v>3107766</v>
      </c>
      <c r="F17">
        <v>3048130</v>
      </c>
    </row>
    <row r="18" spans="1:6">
      <c r="A18" t="s">
        <v>388</v>
      </c>
      <c r="B18" t="s">
        <v>388</v>
      </c>
      <c r="C18" t="s">
        <v>91</v>
      </c>
      <c r="D18" t="s">
        <v>80</v>
      </c>
      <c r="E18">
        <v>2396412</v>
      </c>
      <c r="F18">
        <v>2751174</v>
      </c>
    </row>
    <row r="19" spans="1:6">
      <c r="A19" t="s">
        <v>389</v>
      </c>
      <c r="B19" t="s">
        <v>390</v>
      </c>
      <c r="C19" t="s">
        <v>92</v>
      </c>
      <c r="D19" t="s">
        <v>80</v>
      </c>
      <c r="E19">
        <v>88990</v>
      </c>
      <c r="F19">
        <v>87348</v>
      </c>
    </row>
    <row r="20" spans="1:6">
      <c r="A20" t="s">
        <v>391</v>
      </c>
      <c r="B20" t="s">
        <v>101</v>
      </c>
      <c r="C20" t="s">
        <v>101</v>
      </c>
      <c r="D20" t="s">
        <v>80</v>
      </c>
      <c r="E20">
        <v>3468</v>
      </c>
      <c r="F20">
        <v>3731</v>
      </c>
    </row>
    <row r="21" spans="1:6">
      <c r="A21" t="s">
        <v>392</v>
      </c>
      <c r="B21" t="s">
        <v>103</v>
      </c>
      <c r="C21" t="s">
        <v>103</v>
      </c>
      <c r="D21" t="s">
        <v>80</v>
      </c>
      <c r="E21">
        <v>60524</v>
      </c>
      <c r="F21">
        <v>12997</v>
      </c>
    </row>
    <row r="22" spans="1:6">
      <c r="A22" t="s">
        <v>393</v>
      </c>
      <c r="B22" t="s">
        <v>113</v>
      </c>
      <c r="C22" t="s">
        <v>113</v>
      </c>
      <c r="D22" t="s">
        <v>80</v>
      </c>
      <c r="E22">
        <v>64927</v>
      </c>
      <c r="F22">
        <v>49572</v>
      </c>
    </row>
    <row r="23" spans="1:6">
      <c r="A23" t="s">
        <v>394</v>
      </c>
      <c r="D23" t="s">
        <v>80</v>
      </c>
      <c r="E23">
        <v>6172504</v>
      </c>
      <c r="F23">
        <v>6424502</v>
      </c>
    </row>
    <row r="24" spans="1:6">
      <c r="A24" t="s">
        <v>395</v>
      </c>
      <c r="D24" t="s">
        <v>80</v>
      </c>
    </row>
    <row r="25" spans="1:6">
      <c r="A25" t="s">
        <v>396</v>
      </c>
      <c r="B25" t="s">
        <v>141</v>
      </c>
      <c r="C25" t="s">
        <v>141</v>
      </c>
      <c r="D25" t="s">
        <v>141</v>
      </c>
    </row>
    <row r="26" spans="1:6">
      <c r="A26" t="s">
        <v>397</v>
      </c>
      <c r="B26" t="s">
        <v>146</v>
      </c>
      <c r="C26" t="s">
        <v>146</v>
      </c>
      <c r="D26" t="s">
        <v>141</v>
      </c>
      <c r="E26">
        <v>34112</v>
      </c>
      <c r="F26">
        <v>34830</v>
      </c>
    </row>
    <row r="27" spans="1:6">
      <c r="A27" t="s">
        <v>398</v>
      </c>
      <c r="B27" t="s">
        <v>398</v>
      </c>
      <c r="C27" t="s">
        <v>163</v>
      </c>
      <c r="D27" t="s">
        <v>141</v>
      </c>
      <c r="E27">
        <v>117740</v>
      </c>
      <c r="F27">
        <v>102299</v>
      </c>
    </row>
    <row r="28" spans="1:6">
      <c r="A28" s="41" t="s">
        <v>399</v>
      </c>
      <c r="B28" t="s">
        <v>400</v>
      </c>
      <c r="C28" t="s">
        <v>161</v>
      </c>
      <c r="D28" t="s">
        <v>141</v>
      </c>
      <c r="E28">
        <v>113299</v>
      </c>
      <c r="F28">
        <v>99047</v>
      </c>
    </row>
    <row r="29" spans="1:6">
      <c r="A29" s="41" t="s">
        <v>401</v>
      </c>
      <c r="B29" t="s">
        <v>400</v>
      </c>
      <c r="C29" t="s">
        <v>161</v>
      </c>
      <c r="D29" t="s">
        <v>141</v>
      </c>
      <c r="E29">
        <v>151226</v>
      </c>
      <c r="F29">
        <v>141213</v>
      </c>
    </row>
    <row r="30" spans="1:6">
      <c r="A30" t="s">
        <v>402</v>
      </c>
      <c r="B30" t="s">
        <v>13</v>
      </c>
      <c r="C30" t="s">
        <v>13</v>
      </c>
      <c r="D30" t="s">
        <v>141</v>
      </c>
      <c r="E30">
        <v>416377</v>
      </c>
      <c r="F30">
        <v>377389</v>
      </c>
    </row>
    <row r="31" spans="1:6">
      <c r="A31" t="s">
        <v>403</v>
      </c>
      <c r="B31" t="s">
        <v>169</v>
      </c>
      <c r="C31" t="s">
        <v>168</v>
      </c>
      <c r="D31" t="s">
        <v>165</v>
      </c>
      <c r="E31">
        <v>3159375</v>
      </c>
      <c r="F31">
        <v>3205058</v>
      </c>
    </row>
    <row r="32" spans="1:6">
      <c r="A32" t="s">
        <v>404</v>
      </c>
      <c r="B32" t="s">
        <v>178</v>
      </c>
      <c r="C32" t="s">
        <v>178</v>
      </c>
      <c r="D32" t="s">
        <v>165</v>
      </c>
      <c r="E32">
        <v>80372</v>
      </c>
      <c r="F32">
        <v>80333</v>
      </c>
    </row>
    <row r="33" spans="1:6">
      <c r="A33" t="s">
        <v>405</v>
      </c>
      <c r="B33" t="s">
        <v>164</v>
      </c>
      <c r="C33" t="s">
        <v>164</v>
      </c>
      <c r="D33" t="s">
        <v>141</v>
      </c>
      <c r="E33">
        <v>154267</v>
      </c>
      <c r="F33">
        <v>166434</v>
      </c>
    </row>
    <row r="34" spans="1:6">
      <c r="A34" t="s">
        <v>406</v>
      </c>
      <c r="B34" t="s">
        <v>164</v>
      </c>
      <c r="C34" t="s">
        <v>164</v>
      </c>
      <c r="D34" t="s">
        <v>165</v>
      </c>
      <c r="E34">
        <v>3810391</v>
      </c>
      <c r="F34">
        <v>3829214</v>
      </c>
    </row>
    <row r="35" spans="1:6">
      <c r="A35" t="s">
        <v>407</v>
      </c>
      <c r="B35" t="s">
        <v>67</v>
      </c>
      <c r="C35" t="s">
        <v>67</v>
      </c>
      <c r="D35" t="s">
        <v>181</v>
      </c>
      <c r="E35">
        <v>28806</v>
      </c>
      <c r="F35">
        <v>22417</v>
      </c>
    </row>
    <row r="36" spans="1:6">
      <c r="A36" t="s">
        <v>408</v>
      </c>
      <c r="B36" t="s">
        <v>181</v>
      </c>
      <c r="C36" t="s">
        <v>181</v>
      </c>
      <c r="D36" t="s">
        <v>181</v>
      </c>
    </row>
    <row r="37" spans="1:6">
      <c r="A37" t="s">
        <v>409</v>
      </c>
      <c r="B37" t="s">
        <v>183</v>
      </c>
      <c r="C37" t="s">
        <v>183</v>
      </c>
      <c r="D37" t="s">
        <v>181</v>
      </c>
    </row>
    <row r="38" spans="1:6">
      <c r="A38" t="s">
        <v>410</v>
      </c>
      <c r="D38" t="s">
        <v>181</v>
      </c>
    </row>
    <row r="39" spans="1:6">
      <c r="A39" t="s">
        <v>411</v>
      </c>
      <c r="B39" t="s">
        <v>182</v>
      </c>
      <c r="C39" t="s">
        <v>182</v>
      </c>
      <c r="D39" t="s">
        <v>181</v>
      </c>
    </row>
    <row r="40" spans="1:6">
      <c r="A40" t="s">
        <v>412</v>
      </c>
      <c r="D40" t="s">
        <v>181</v>
      </c>
    </row>
    <row r="41" spans="1:6">
      <c r="A41" t="s">
        <v>413</v>
      </c>
      <c r="D41" t="s">
        <v>181</v>
      </c>
      <c r="E41">
        <v>874</v>
      </c>
      <c r="F41">
        <v>871</v>
      </c>
    </row>
    <row r="42" spans="1:6">
      <c r="A42" t="s">
        <v>414</v>
      </c>
      <c r="B42" t="s">
        <v>182</v>
      </c>
      <c r="C42" t="s">
        <v>182</v>
      </c>
      <c r="D42" t="s">
        <v>181</v>
      </c>
      <c r="E42">
        <v>2541987</v>
      </c>
      <c r="F42">
        <v>2517545</v>
      </c>
    </row>
    <row r="43" spans="1:6">
      <c r="A43" t="s">
        <v>415</v>
      </c>
      <c r="B43" t="s">
        <v>189</v>
      </c>
      <c r="C43" t="s">
        <v>189</v>
      </c>
      <c r="D43" t="s">
        <v>181</v>
      </c>
      <c r="E43">
        <v>-462377</v>
      </c>
      <c r="F43">
        <v>-374118</v>
      </c>
    </row>
    <row r="44" spans="1:6">
      <c r="A44" t="s">
        <v>416</v>
      </c>
      <c r="B44" t="s">
        <v>187</v>
      </c>
      <c r="C44" t="s">
        <v>187</v>
      </c>
      <c r="D44" t="s">
        <v>181</v>
      </c>
      <c r="E44">
        <v>252823</v>
      </c>
      <c r="F44">
        <v>428573</v>
      </c>
    </row>
    <row r="45" spans="1:6">
      <c r="A45" t="s">
        <v>417</v>
      </c>
      <c r="B45" t="s">
        <v>195</v>
      </c>
      <c r="C45" t="s">
        <v>195</v>
      </c>
      <c r="D45" t="s">
        <v>181</v>
      </c>
      <c r="E45">
        <v>2333307</v>
      </c>
      <c r="F45">
        <v>2572871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77"/>
  <sheetViews>
    <sheetView topLeftCell="A51" workbookViewId="0">
      <selection activeCell="E61" sqref="E61"/>
    </sheetView>
  </sheetViews>
  <sheetFormatPr defaultRowHeight="12.75"/>
  <cols>
    <col min="1" max="1" width="106.28515625" bestFit="1" customWidth="1"/>
  </cols>
  <sheetData>
    <row r="2" spans="1:6">
      <c r="E2">
        <v>2018</v>
      </c>
      <c r="F2">
        <v>2017</v>
      </c>
    </row>
    <row r="5" spans="1:6">
      <c r="A5" t="s">
        <v>374</v>
      </c>
    </row>
    <row r="6" spans="1:6">
      <c r="A6" t="s">
        <v>375</v>
      </c>
    </row>
    <row r="7" spans="1:6">
      <c r="A7" t="s">
        <v>376</v>
      </c>
      <c r="E7">
        <v>50510</v>
      </c>
      <c r="F7">
        <v>67290</v>
      </c>
    </row>
    <row r="8" spans="1:6">
      <c r="A8" t="s">
        <v>377</v>
      </c>
      <c r="E8">
        <v>318087</v>
      </c>
      <c r="F8">
        <v>296925</v>
      </c>
    </row>
    <row r="9" spans="1:6">
      <c r="A9" t="s">
        <v>378</v>
      </c>
      <c r="E9">
        <v>81820</v>
      </c>
      <c r="F9">
        <v>107335</v>
      </c>
    </row>
    <row r="10" spans="1:6">
      <c r="A10" t="s">
        <v>379</v>
      </c>
      <c r="E10">
        <v>450417</v>
      </c>
      <c r="F10">
        <v>471550</v>
      </c>
    </row>
    <row r="11" spans="1:6">
      <c r="A11" t="s">
        <v>380</v>
      </c>
    </row>
    <row r="12" spans="1:6">
      <c r="A12" t="s">
        <v>382</v>
      </c>
      <c r="E12">
        <v>430771</v>
      </c>
      <c r="F12">
        <v>450342</v>
      </c>
    </row>
    <row r="13" spans="1:6">
      <c r="A13" t="s">
        <v>383</v>
      </c>
      <c r="E13">
        <v>2423594</v>
      </c>
      <c r="F13">
        <v>2370918</v>
      </c>
    </row>
    <row r="14" spans="1:6">
      <c r="A14" t="s">
        <v>384</v>
      </c>
      <c r="E14">
        <v>444538</v>
      </c>
      <c r="F14">
        <v>400596</v>
      </c>
    </row>
    <row r="15" spans="1:6">
      <c r="A15" t="s">
        <v>385</v>
      </c>
      <c r="B15" t="s">
        <v>27</v>
      </c>
      <c r="C15" t="s">
        <v>27</v>
      </c>
      <c r="E15">
        <v>-294848</v>
      </c>
      <c r="F15">
        <v>-173693</v>
      </c>
    </row>
    <row r="16" spans="1:6">
      <c r="A16" t="s">
        <v>386</v>
      </c>
      <c r="E16">
        <v>-485985</v>
      </c>
      <c r="F16">
        <v>-347419</v>
      </c>
    </row>
    <row r="17" spans="1:6">
      <c r="A17" t="s">
        <v>387</v>
      </c>
      <c r="E17">
        <v>3107766</v>
      </c>
      <c r="F17">
        <v>3048130</v>
      </c>
    </row>
    <row r="18" spans="1:6">
      <c r="A18" t="s">
        <v>388</v>
      </c>
      <c r="E18">
        <v>2396412</v>
      </c>
      <c r="F18">
        <v>2751174</v>
      </c>
    </row>
    <row r="19" spans="1:6">
      <c r="A19" t="s">
        <v>389</v>
      </c>
      <c r="E19">
        <v>88990</v>
      </c>
      <c r="F19">
        <v>87348</v>
      </c>
    </row>
    <row r="20" spans="1:6">
      <c r="A20" t="s">
        <v>391</v>
      </c>
      <c r="E20">
        <v>3468</v>
      </c>
      <c r="F20">
        <v>3731</v>
      </c>
    </row>
    <row r="21" spans="1:6">
      <c r="A21" t="s">
        <v>392</v>
      </c>
      <c r="E21">
        <v>60524</v>
      </c>
      <c r="F21">
        <v>12997</v>
      </c>
    </row>
    <row r="22" spans="1:6">
      <c r="A22" t="s">
        <v>393</v>
      </c>
      <c r="B22" t="s">
        <v>418</v>
      </c>
      <c r="C22" t="s">
        <v>33</v>
      </c>
      <c r="E22">
        <v>64927</v>
      </c>
      <c r="F22">
        <v>49572</v>
      </c>
    </row>
    <row r="23" spans="1:6">
      <c r="A23" t="s">
        <v>394</v>
      </c>
      <c r="E23">
        <v>6172504</v>
      </c>
      <c r="F23">
        <v>6424502</v>
      </c>
    </row>
    <row r="24" spans="1:6">
      <c r="A24" t="s">
        <v>395</v>
      </c>
    </row>
    <row r="25" spans="1:6">
      <c r="A25" t="s">
        <v>396</v>
      </c>
    </row>
    <row r="26" spans="1:6">
      <c r="A26" t="s">
        <v>397</v>
      </c>
      <c r="E26">
        <v>34112</v>
      </c>
      <c r="F26">
        <v>34830</v>
      </c>
    </row>
    <row r="27" spans="1:6">
      <c r="A27" t="s">
        <v>398</v>
      </c>
      <c r="E27">
        <v>117740</v>
      </c>
      <c r="F27">
        <v>102299</v>
      </c>
    </row>
    <row r="28" spans="1:6">
      <c r="A28" t="s">
        <v>399</v>
      </c>
      <c r="E28">
        <v>113299</v>
      </c>
      <c r="F28">
        <v>99047</v>
      </c>
    </row>
    <row r="29" spans="1:6">
      <c r="A29" t="s">
        <v>401</v>
      </c>
      <c r="E29">
        <v>151226</v>
      </c>
      <c r="F29">
        <v>141213</v>
      </c>
    </row>
    <row r="30" spans="1:6">
      <c r="A30" t="s">
        <v>402</v>
      </c>
      <c r="E30">
        <v>416377</v>
      </c>
      <c r="F30">
        <v>377389</v>
      </c>
    </row>
    <row r="31" spans="1:6">
      <c r="A31" t="s">
        <v>403</v>
      </c>
      <c r="E31">
        <v>3159375</v>
      </c>
      <c r="F31">
        <v>3205058</v>
      </c>
    </row>
    <row r="32" spans="1:6">
      <c r="A32" t="s">
        <v>404</v>
      </c>
      <c r="B32" t="s">
        <v>60</v>
      </c>
      <c r="C32" t="s">
        <v>60</v>
      </c>
      <c r="E32">
        <v>-80372</v>
      </c>
      <c r="F32">
        <v>-80333</v>
      </c>
    </row>
    <row r="33" spans="1:6">
      <c r="A33" t="s">
        <v>405</v>
      </c>
      <c r="E33">
        <v>154267</v>
      </c>
      <c r="F33">
        <v>166434</v>
      </c>
    </row>
    <row r="34" spans="1:6">
      <c r="A34" t="s">
        <v>406</v>
      </c>
      <c r="E34">
        <v>3810391</v>
      </c>
      <c r="F34">
        <v>3829214</v>
      </c>
    </row>
    <row r="35" spans="1:6">
      <c r="A35" t="s">
        <v>407</v>
      </c>
      <c r="E35">
        <v>28806</v>
      </c>
      <c r="F35">
        <v>22417</v>
      </c>
    </row>
    <row r="36" spans="1:6">
      <c r="A36" t="s">
        <v>408</v>
      </c>
    </row>
    <row r="37" spans="1:6">
      <c r="A37" t="s">
        <v>409</v>
      </c>
    </row>
    <row r="38" spans="1:6">
      <c r="A38" t="s">
        <v>410</v>
      </c>
    </row>
    <row r="39" spans="1:6">
      <c r="A39" t="s">
        <v>411</v>
      </c>
    </row>
    <row r="40" spans="1:6">
      <c r="A40" t="s">
        <v>412</v>
      </c>
    </row>
    <row r="41" spans="1:6">
      <c r="A41" t="s">
        <v>413</v>
      </c>
      <c r="E41">
        <v>874</v>
      </c>
      <c r="F41">
        <v>871</v>
      </c>
    </row>
    <row r="42" spans="1:6">
      <c r="A42" t="s">
        <v>414</v>
      </c>
      <c r="E42">
        <v>2541987</v>
      </c>
      <c r="F42">
        <v>2517545</v>
      </c>
    </row>
    <row r="43" spans="1:6">
      <c r="A43" t="s">
        <v>415</v>
      </c>
      <c r="B43" t="s">
        <v>419</v>
      </c>
      <c r="C43" t="s">
        <v>420</v>
      </c>
      <c r="E43">
        <v>-462377</v>
      </c>
      <c r="F43">
        <v>-374118</v>
      </c>
    </row>
    <row r="44" spans="1:6">
      <c r="A44" t="s">
        <v>416</v>
      </c>
      <c r="E44">
        <v>252823</v>
      </c>
      <c r="F44">
        <v>428573</v>
      </c>
    </row>
    <row r="45" spans="1:6">
      <c r="A45" t="s">
        <v>417</v>
      </c>
      <c r="E45">
        <v>2333307</v>
      </c>
      <c r="F45">
        <v>2572871</v>
      </c>
    </row>
    <row r="48" spans="1:6">
      <c r="E48">
        <v>2018</v>
      </c>
      <c r="F48">
        <v>2017</v>
      </c>
    </row>
    <row r="50" spans="1:6">
      <c r="A50" t="s">
        <v>421</v>
      </c>
      <c r="B50" t="s">
        <v>422</v>
      </c>
      <c r="C50" t="s">
        <v>26</v>
      </c>
      <c r="D50" t="s">
        <v>422</v>
      </c>
      <c r="E50">
        <v>3012442</v>
      </c>
      <c r="F50">
        <v>2877234</v>
      </c>
    </row>
    <row r="51" spans="1:6">
      <c r="A51" t="s">
        <v>423</v>
      </c>
      <c r="B51" t="s">
        <v>40</v>
      </c>
      <c r="C51" t="s">
        <v>40</v>
      </c>
      <c r="D51" t="s">
        <v>422</v>
      </c>
      <c r="F51">
        <v>-40918</v>
      </c>
    </row>
    <row r="52" spans="1:6">
      <c r="A52" t="s">
        <v>422</v>
      </c>
      <c r="B52" t="s">
        <v>422</v>
      </c>
      <c r="C52" t="s">
        <v>26</v>
      </c>
      <c r="D52" t="s">
        <v>422</v>
      </c>
      <c r="E52" s="45">
        <v>3012442</v>
      </c>
      <c r="F52" s="45">
        <v>2836316</v>
      </c>
    </row>
    <row r="53" spans="1:6">
      <c r="A53" t="s">
        <v>424</v>
      </c>
      <c r="B53" t="s">
        <v>34</v>
      </c>
      <c r="C53" t="s">
        <v>34</v>
      </c>
      <c r="D53" t="s">
        <v>422</v>
      </c>
      <c r="E53" s="45">
        <v>1659348</v>
      </c>
      <c r="F53" s="45">
        <v>1536160</v>
      </c>
    </row>
    <row r="54" spans="1:6">
      <c r="A54" t="s">
        <v>425</v>
      </c>
      <c r="B54" t="s">
        <v>36</v>
      </c>
      <c r="C54" t="s">
        <v>36</v>
      </c>
      <c r="D54" t="s">
        <v>422</v>
      </c>
      <c r="E54" s="45">
        <v>227425</v>
      </c>
      <c r="F54" s="45">
        <v>196223</v>
      </c>
    </row>
    <row r="55" spans="1:6">
      <c r="A55" t="s">
        <v>426</v>
      </c>
      <c r="B55" t="s">
        <v>427</v>
      </c>
      <c r="C55" t="s">
        <v>35</v>
      </c>
      <c r="D55" t="s">
        <v>422</v>
      </c>
      <c r="E55" s="45">
        <v>119314</v>
      </c>
      <c r="F55" s="45">
        <v>114439</v>
      </c>
    </row>
    <row r="56" spans="1:6">
      <c r="A56" t="s">
        <v>428</v>
      </c>
      <c r="B56" t="s">
        <v>41</v>
      </c>
      <c r="C56" t="s">
        <v>41</v>
      </c>
      <c r="D56" t="s">
        <v>422</v>
      </c>
      <c r="E56" s="45">
        <v>80282</v>
      </c>
      <c r="F56" s="45">
        <v>76775</v>
      </c>
    </row>
    <row r="57" spans="1:6">
      <c r="A57" t="s">
        <v>429</v>
      </c>
      <c r="B57" t="s">
        <v>38</v>
      </c>
      <c r="C57" t="s">
        <v>38</v>
      </c>
      <c r="D57" t="s">
        <v>422</v>
      </c>
      <c r="E57" s="45">
        <v>354498</v>
      </c>
      <c r="F57" s="45">
        <v>331827</v>
      </c>
    </row>
    <row r="58" spans="1:6">
      <c r="A58" t="s">
        <v>430</v>
      </c>
      <c r="B58" t="s">
        <v>42</v>
      </c>
      <c r="C58" t="s">
        <v>42</v>
      </c>
      <c r="D58" t="s">
        <v>422</v>
      </c>
      <c r="E58" s="45">
        <v>158832</v>
      </c>
      <c r="F58" s="45">
        <v>143010</v>
      </c>
    </row>
    <row r="59" spans="1:6">
      <c r="A59" t="s">
        <v>431</v>
      </c>
      <c r="B59" t="s">
        <v>54</v>
      </c>
      <c r="C59" t="s">
        <v>54</v>
      </c>
      <c r="D59" t="s">
        <v>422</v>
      </c>
      <c r="E59" s="45">
        <v>185410</v>
      </c>
      <c r="F59" s="45">
        <v>176007</v>
      </c>
    </row>
    <row r="60" spans="1:6">
      <c r="A60" t="s">
        <v>432</v>
      </c>
      <c r="B60" t="s">
        <v>36</v>
      </c>
      <c r="C60" t="s">
        <v>36</v>
      </c>
      <c r="D60" t="s">
        <v>422</v>
      </c>
      <c r="E60" s="45">
        <v>1815</v>
      </c>
      <c r="F60" s="45">
        <v>810</v>
      </c>
    </row>
    <row r="61" spans="1:6">
      <c r="A61" t="s">
        <v>433</v>
      </c>
      <c r="B61" t="s">
        <v>36</v>
      </c>
      <c r="C61" t="s">
        <v>36</v>
      </c>
      <c r="D61" t="s">
        <v>422</v>
      </c>
      <c r="E61" s="45">
        <v>22076</v>
      </c>
      <c r="F61" s="45"/>
    </row>
    <row r="62" spans="1:6">
      <c r="A62" s="41" t="s">
        <v>434</v>
      </c>
      <c r="D62" t="s">
        <v>422</v>
      </c>
      <c r="E62" s="45">
        <v>337889</v>
      </c>
      <c r="F62" s="45"/>
    </row>
    <row r="63" spans="1:6">
      <c r="A63" t="s">
        <v>435</v>
      </c>
      <c r="D63" t="s">
        <v>422</v>
      </c>
      <c r="E63" s="45"/>
      <c r="F63" s="45"/>
    </row>
    <row r="64" spans="1:6">
      <c r="A64" t="s">
        <v>436</v>
      </c>
      <c r="B64" t="s">
        <v>59</v>
      </c>
      <c r="C64" t="s">
        <v>59</v>
      </c>
      <c r="D64" t="s">
        <v>422</v>
      </c>
      <c r="E64" s="45"/>
      <c r="F64" s="45"/>
    </row>
    <row r="65" spans="1:6">
      <c r="A65" s="41" t="s">
        <v>437</v>
      </c>
      <c r="D65" t="s">
        <v>422</v>
      </c>
      <c r="E65" s="45">
        <v>34507</v>
      </c>
      <c r="F65" s="45">
        <v>24267</v>
      </c>
    </row>
    <row r="66" spans="1:6">
      <c r="A66" t="s">
        <v>438</v>
      </c>
      <c r="B66" t="s">
        <v>45</v>
      </c>
      <c r="C66" t="s">
        <v>45</v>
      </c>
      <c r="D66" t="s">
        <v>422</v>
      </c>
      <c r="E66" s="45">
        <v>3181396</v>
      </c>
      <c r="F66" s="45">
        <v>2599518</v>
      </c>
    </row>
    <row r="67" spans="1:6">
      <c r="A67" t="s">
        <v>439</v>
      </c>
      <c r="B67" t="s">
        <v>440</v>
      </c>
      <c r="C67" t="s">
        <v>61</v>
      </c>
      <c r="D67" t="s">
        <v>422</v>
      </c>
      <c r="E67" s="45">
        <v>-168954</v>
      </c>
      <c r="F67" s="45">
        <v>236798</v>
      </c>
    </row>
    <row r="68" spans="1:6">
      <c r="A68" t="s">
        <v>441</v>
      </c>
      <c r="B68" t="s">
        <v>62</v>
      </c>
      <c r="C68" t="s">
        <v>62</v>
      </c>
      <c r="D68" t="s">
        <v>422</v>
      </c>
      <c r="E68" s="45">
        <v>6532</v>
      </c>
      <c r="F68" s="45">
        <v>37209</v>
      </c>
    </row>
    <row r="69" spans="1:6">
      <c r="A69" t="s">
        <v>442</v>
      </c>
      <c r="B69" t="s">
        <v>70</v>
      </c>
      <c r="C69" t="s">
        <v>70</v>
      </c>
      <c r="D69" t="s">
        <v>422</v>
      </c>
      <c r="E69" s="45">
        <v>-175486</v>
      </c>
      <c r="F69" s="45">
        <v>199589</v>
      </c>
    </row>
    <row r="70" spans="1:6">
      <c r="A70" t="s">
        <v>443</v>
      </c>
      <c r="B70" t="s">
        <v>444</v>
      </c>
      <c r="C70" t="s">
        <v>67</v>
      </c>
      <c r="D70" t="s">
        <v>422</v>
      </c>
      <c r="E70" s="45">
        <v>-264</v>
      </c>
      <c r="F70" s="45">
        <v>246</v>
      </c>
    </row>
    <row r="71" spans="1:6">
      <c r="A71" s="41" t="s">
        <v>445</v>
      </c>
      <c r="B71" t="s">
        <v>67</v>
      </c>
      <c r="C71" t="s">
        <v>67</v>
      </c>
      <c r="D71" t="s">
        <v>422</v>
      </c>
      <c r="E71" s="45">
        <v>-175750</v>
      </c>
      <c r="F71" s="45">
        <v>199835</v>
      </c>
    </row>
    <row r="72" spans="1:6">
      <c r="A72" t="s">
        <v>446</v>
      </c>
      <c r="D72" t="s">
        <v>422</v>
      </c>
      <c r="E72" s="45"/>
      <c r="F72" s="45"/>
    </row>
    <row r="73" spans="1:6">
      <c r="A73" t="s">
        <v>447</v>
      </c>
      <c r="D73" t="s">
        <v>422</v>
      </c>
    </row>
    <row r="74" spans="1:6">
      <c r="A74" t="s">
        <v>448</v>
      </c>
      <c r="D74" t="s">
        <v>422</v>
      </c>
      <c r="E74">
        <v>-201</v>
      </c>
      <c r="F74">
        <v>230</v>
      </c>
    </row>
    <row r="75" spans="1:6">
      <c r="A75" t="s">
        <v>449</v>
      </c>
      <c r="D75" t="s">
        <v>422</v>
      </c>
      <c r="E75">
        <v>-201</v>
      </c>
      <c r="F75">
        <v>230</v>
      </c>
    </row>
    <row r="76" spans="1:6">
      <c r="A76" t="s">
        <v>450</v>
      </c>
      <c r="D76" t="s">
        <v>422</v>
      </c>
    </row>
    <row r="77" spans="1:6">
      <c r="A77" t="s">
        <v>448</v>
      </c>
      <c r="D77" t="s">
        <v>422</v>
      </c>
      <c r="E77">
        <v>87288</v>
      </c>
      <c r="F77">
        <v>86948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5"/>
  <sheetViews>
    <sheetView workbookViewId="0"/>
  </sheetViews>
  <sheetFormatPr defaultRowHeight="12.75"/>
  <sheetData>
    <row r="1" spans="1:7">
      <c r="A1" t="s">
        <v>451</v>
      </c>
      <c r="B1" t="s">
        <v>231</v>
      </c>
      <c r="C1" t="s">
        <v>231</v>
      </c>
      <c r="D1" t="s">
        <v>452</v>
      </c>
    </row>
    <row r="2" spans="1:7">
      <c r="A2" t="s">
        <v>442</v>
      </c>
      <c r="B2" t="s">
        <v>232</v>
      </c>
      <c r="C2" t="s">
        <v>232</v>
      </c>
      <c r="D2" t="s">
        <v>452</v>
      </c>
      <c r="E2">
        <v>-175486</v>
      </c>
      <c r="F2">
        <v>199589</v>
      </c>
      <c r="G2">
        <v>4176</v>
      </c>
    </row>
    <row r="3" spans="1:7">
      <c r="A3" t="s">
        <v>453</v>
      </c>
      <c r="D3" t="s">
        <v>452</v>
      </c>
    </row>
    <row r="4" spans="1:7">
      <c r="A4" t="s">
        <v>454</v>
      </c>
      <c r="B4" t="s">
        <v>231</v>
      </c>
      <c r="C4" t="s">
        <v>231</v>
      </c>
      <c r="D4" t="s">
        <v>452</v>
      </c>
    </row>
    <row r="5" spans="1:7">
      <c r="A5" t="s">
        <v>430</v>
      </c>
      <c r="B5" t="s">
        <v>236</v>
      </c>
      <c r="C5" t="s">
        <v>236</v>
      </c>
      <c r="D5" t="s">
        <v>452</v>
      </c>
      <c r="E5">
        <v>158832</v>
      </c>
      <c r="F5">
        <v>143010</v>
      </c>
      <c r="G5">
        <v>135103</v>
      </c>
    </row>
    <row r="6" spans="1:7">
      <c r="A6" t="s">
        <v>455</v>
      </c>
      <c r="B6" t="s">
        <v>240</v>
      </c>
      <c r="C6" t="s">
        <v>240</v>
      </c>
      <c r="D6" t="s">
        <v>452</v>
      </c>
      <c r="E6">
        <v>10456</v>
      </c>
      <c r="F6">
        <v>9855</v>
      </c>
      <c r="G6">
        <v>10324</v>
      </c>
    </row>
    <row r="7" spans="1:7">
      <c r="A7" t="s">
        <v>456</v>
      </c>
      <c r="B7" t="s">
        <v>248</v>
      </c>
      <c r="C7" t="s">
        <v>248</v>
      </c>
      <c r="D7" t="s">
        <v>452</v>
      </c>
      <c r="E7">
        <v>22001</v>
      </c>
      <c r="F7">
        <v>23467</v>
      </c>
      <c r="G7">
        <v>28345</v>
      </c>
    </row>
    <row r="8" spans="1:7">
      <c r="A8" t="s">
        <v>457</v>
      </c>
      <c r="B8" t="s">
        <v>269</v>
      </c>
      <c r="C8" t="s">
        <v>269</v>
      </c>
      <c r="D8" t="s">
        <v>452</v>
      </c>
      <c r="E8">
        <v>-9714</v>
      </c>
      <c r="F8">
        <v>31372</v>
      </c>
      <c r="G8">
        <v>28647</v>
      </c>
    </row>
    <row r="9" spans="1:7">
      <c r="A9" t="s">
        <v>432</v>
      </c>
      <c r="B9" t="s">
        <v>458</v>
      </c>
      <c r="C9" t="s">
        <v>243</v>
      </c>
      <c r="D9" t="s">
        <v>452</v>
      </c>
      <c r="E9">
        <v>1815</v>
      </c>
      <c r="F9">
        <v>810</v>
      </c>
      <c r="G9">
        <v>4253</v>
      </c>
    </row>
    <row r="10" spans="1:7">
      <c r="A10" t="s">
        <v>433</v>
      </c>
      <c r="B10" t="s">
        <v>277</v>
      </c>
      <c r="C10" t="s">
        <v>277</v>
      </c>
      <c r="D10" t="s">
        <v>452</v>
      </c>
      <c r="E10">
        <v>22076</v>
      </c>
    </row>
    <row r="11" spans="1:7">
      <c r="A11" t="s">
        <v>434</v>
      </c>
      <c r="B11" t="s">
        <v>240</v>
      </c>
      <c r="C11" t="s">
        <v>240</v>
      </c>
      <c r="D11" t="s">
        <v>452</v>
      </c>
      <c r="E11">
        <v>337889</v>
      </c>
    </row>
    <row r="12" spans="1:7">
      <c r="A12" t="s">
        <v>435</v>
      </c>
      <c r="B12" t="s">
        <v>241</v>
      </c>
      <c r="C12" t="s">
        <v>241</v>
      </c>
      <c r="D12" t="s">
        <v>452</v>
      </c>
      <c r="G12">
        <v>178809</v>
      </c>
    </row>
    <row r="13" spans="1:7">
      <c r="A13" t="s">
        <v>436</v>
      </c>
      <c r="B13" t="s">
        <v>241</v>
      </c>
      <c r="C13" t="s">
        <v>241</v>
      </c>
      <c r="D13" t="s">
        <v>452</v>
      </c>
      <c r="G13">
        <v>-523</v>
      </c>
    </row>
    <row r="14" spans="1:7">
      <c r="A14" t="s">
        <v>459</v>
      </c>
      <c r="B14" t="s">
        <v>251</v>
      </c>
      <c r="C14" t="s">
        <v>251</v>
      </c>
      <c r="D14" t="s">
        <v>452</v>
      </c>
      <c r="E14">
        <v>12371</v>
      </c>
      <c r="F14">
        <v>11412</v>
      </c>
      <c r="G14">
        <v>4715</v>
      </c>
    </row>
    <row r="15" spans="1:7">
      <c r="A15" t="s">
        <v>460</v>
      </c>
      <c r="B15" t="s">
        <v>251</v>
      </c>
      <c r="C15" t="s">
        <v>251</v>
      </c>
      <c r="D15" t="s">
        <v>452</v>
      </c>
    </row>
    <row r="16" spans="1:7">
      <c r="A16" t="s">
        <v>377</v>
      </c>
      <c r="B16" t="s">
        <v>265</v>
      </c>
      <c r="C16" t="s">
        <v>265</v>
      </c>
      <c r="D16" t="s">
        <v>452</v>
      </c>
      <c r="E16">
        <v>-16821</v>
      </c>
      <c r="F16">
        <v>-28570</v>
      </c>
      <c r="G16">
        <v>-15718</v>
      </c>
    </row>
    <row r="17" spans="1:7">
      <c r="A17" t="s">
        <v>378</v>
      </c>
      <c r="B17" t="s">
        <v>276</v>
      </c>
      <c r="C17" t="s">
        <v>276</v>
      </c>
      <c r="D17" t="s">
        <v>452</v>
      </c>
      <c r="E17">
        <v>13864</v>
      </c>
      <c r="F17">
        <v>20808</v>
      </c>
      <c r="G17">
        <v>-20648</v>
      </c>
    </row>
    <row r="18" spans="1:7">
      <c r="A18" t="s">
        <v>393</v>
      </c>
      <c r="B18" t="s">
        <v>276</v>
      </c>
      <c r="C18" t="s">
        <v>276</v>
      </c>
      <c r="D18" t="s">
        <v>452</v>
      </c>
      <c r="E18">
        <v>2762</v>
      </c>
      <c r="F18">
        <v>-3176</v>
      </c>
      <c r="G18">
        <v>-4354</v>
      </c>
    </row>
    <row r="19" spans="1:7">
      <c r="A19" t="s">
        <v>461</v>
      </c>
      <c r="B19" t="s">
        <v>273</v>
      </c>
      <c r="C19" t="s">
        <v>273</v>
      </c>
      <c r="D19" t="s">
        <v>452</v>
      </c>
      <c r="E19">
        <v>26054</v>
      </c>
      <c r="F19">
        <v>-10113</v>
      </c>
      <c r="G19">
        <v>22693</v>
      </c>
    </row>
    <row r="20" spans="1:7">
      <c r="A20" t="s">
        <v>399</v>
      </c>
      <c r="B20" t="s">
        <v>277</v>
      </c>
      <c r="C20" t="s">
        <v>277</v>
      </c>
      <c r="D20" t="s">
        <v>452</v>
      </c>
      <c r="E20">
        <v>15748</v>
      </c>
      <c r="F20">
        <v>-8988</v>
      </c>
      <c r="G20">
        <v>-8572</v>
      </c>
    </row>
    <row r="21" spans="1:7">
      <c r="A21" t="s">
        <v>405</v>
      </c>
      <c r="B21" t="s">
        <v>277</v>
      </c>
      <c r="C21" t="s">
        <v>277</v>
      </c>
      <c r="D21" t="s">
        <v>452</v>
      </c>
      <c r="E21">
        <v>-5219</v>
      </c>
      <c r="F21">
        <v>11794</v>
      </c>
      <c r="G21">
        <v>4484</v>
      </c>
    </row>
    <row r="22" spans="1:7">
      <c r="A22" t="s">
        <v>462</v>
      </c>
      <c r="D22" t="s">
        <v>452</v>
      </c>
      <c r="E22">
        <v>416628</v>
      </c>
      <c r="F22">
        <v>401270</v>
      </c>
      <c r="G22">
        <v>371734</v>
      </c>
    </row>
    <row r="23" spans="1:7">
      <c r="A23" t="s">
        <v>463</v>
      </c>
      <c r="B23" t="s">
        <v>285</v>
      </c>
      <c r="C23" t="s">
        <v>285</v>
      </c>
      <c r="D23" t="s">
        <v>452</v>
      </c>
      <c r="E23">
        <v>-2548</v>
      </c>
      <c r="F23">
        <v>-1693</v>
      </c>
      <c r="G23">
        <v>-10256</v>
      </c>
    </row>
    <row r="24" spans="1:7">
      <c r="A24" t="s">
        <v>464</v>
      </c>
      <c r="B24" t="s">
        <v>285</v>
      </c>
      <c r="C24" t="s">
        <v>285</v>
      </c>
      <c r="D24" t="s">
        <v>452</v>
      </c>
      <c r="E24">
        <v>414080</v>
      </c>
      <c r="F24">
        <v>399577</v>
      </c>
      <c r="G24">
        <v>361478</v>
      </c>
    </row>
    <row r="25" spans="1:7">
      <c r="A25" t="s">
        <v>465</v>
      </c>
      <c r="B25" t="s">
        <v>286</v>
      </c>
      <c r="C25" t="s">
        <v>286</v>
      </c>
      <c r="D25" t="s">
        <v>466</v>
      </c>
    </row>
    <row r="26" spans="1:7">
      <c r="A26" t="s">
        <v>467</v>
      </c>
      <c r="B26" t="s">
        <v>287</v>
      </c>
      <c r="C26" t="s">
        <v>287</v>
      </c>
      <c r="D26" t="s">
        <v>466</v>
      </c>
      <c r="F26">
        <v>-18191</v>
      </c>
      <c r="G26">
        <v>-683455</v>
      </c>
    </row>
    <row r="27" spans="1:7">
      <c r="A27" t="s">
        <v>468</v>
      </c>
      <c r="B27" t="s">
        <v>287</v>
      </c>
      <c r="C27" t="s">
        <v>287</v>
      </c>
      <c r="D27" t="s">
        <v>466</v>
      </c>
      <c r="E27">
        <v>-341462</v>
      </c>
      <c r="F27">
        <v>-274177</v>
      </c>
      <c r="G27">
        <v>-307472</v>
      </c>
    </row>
    <row r="28" spans="1:7">
      <c r="A28" t="s">
        <v>469</v>
      </c>
      <c r="B28" t="s">
        <v>287</v>
      </c>
      <c r="C28" t="s">
        <v>287</v>
      </c>
      <c r="D28" t="s">
        <v>466</v>
      </c>
      <c r="E28">
        <v>-18383</v>
      </c>
      <c r="F28">
        <v>-41057</v>
      </c>
      <c r="G28">
        <v>-40757</v>
      </c>
    </row>
    <row r="29" spans="1:7">
      <c r="A29" t="s">
        <v>470</v>
      </c>
      <c r="B29" t="s">
        <v>291</v>
      </c>
      <c r="C29" t="s">
        <v>291</v>
      </c>
      <c r="D29" t="s">
        <v>466</v>
      </c>
      <c r="G29">
        <v>523</v>
      </c>
    </row>
    <row r="30" spans="1:7">
      <c r="A30" t="s">
        <v>471</v>
      </c>
      <c r="D30" t="s">
        <v>466</v>
      </c>
      <c r="G30">
        <v>373266</v>
      </c>
    </row>
    <row r="31" spans="1:7">
      <c r="A31" t="s">
        <v>459</v>
      </c>
      <c r="B31" t="s">
        <v>251</v>
      </c>
      <c r="C31" t="s">
        <v>251</v>
      </c>
      <c r="D31" t="s">
        <v>452</v>
      </c>
      <c r="E31">
        <v>-1119</v>
      </c>
      <c r="F31">
        <v>-3101</v>
      </c>
      <c r="G31">
        <v>-2470</v>
      </c>
    </row>
    <row r="32" spans="1:7">
      <c r="A32" t="s">
        <v>472</v>
      </c>
      <c r="B32" t="s">
        <v>296</v>
      </c>
      <c r="C32" t="s">
        <v>296</v>
      </c>
      <c r="D32" t="s">
        <v>466</v>
      </c>
      <c r="E32">
        <v>-360964</v>
      </c>
      <c r="F32">
        <v>-336526</v>
      </c>
      <c r="G32">
        <v>-660365</v>
      </c>
    </row>
    <row r="33" spans="1:7">
      <c r="A33" t="s">
        <v>473</v>
      </c>
      <c r="B33" t="s">
        <v>297</v>
      </c>
      <c r="C33" t="s">
        <v>297</v>
      </c>
      <c r="D33" t="s">
        <v>474</v>
      </c>
    </row>
    <row r="34" spans="1:7">
      <c r="A34" t="s">
        <v>475</v>
      </c>
      <c r="B34" t="s">
        <v>299</v>
      </c>
      <c r="C34" t="s">
        <v>299</v>
      </c>
      <c r="D34" t="s">
        <v>474</v>
      </c>
      <c r="G34">
        <v>1480000</v>
      </c>
    </row>
    <row r="35" spans="1:7">
      <c r="A35" t="s">
        <v>476</v>
      </c>
      <c r="B35" t="s">
        <v>299</v>
      </c>
      <c r="C35" t="s">
        <v>299</v>
      </c>
      <c r="D35" t="s">
        <v>474</v>
      </c>
      <c r="G35">
        <v>179000</v>
      </c>
    </row>
    <row r="36" spans="1:7">
      <c r="A36" t="s">
        <v>477</v>
      </c>
      <c r="B36" t="s">
        <v>302</v>
      </c>
      <c r="C36" t="s">
        <v>302</v>
      </c>
      <c r="D36" t="s">
        <v>474</v>
      </c>
      <c r="G36">
        <v>-337000</v>
      </c>
    </row>
    <row r="37" spans="1:7">
      <c r="A37" t="s">
        <v>478</v>
      </c>
      <c r="B37" t="s">
        <v>302</v>
      </c>
      <c r="C37" t="s">
        <v>302</v>
      </c>
      <c r="D37" t="s">
        <v>474</v>
      </c>
      <c r="E37">
        <v>-39738</v>
      </c>
      <c r="F37">
        <v>-34805</v>
      </c>
      <c r="G37">
        <v>-49941</v>
      </c>
    </row>
    <row r="38" spans="1:7">
      <c r="A38" t="s">
        <v>479</v>
      </c>
      <c r="B38" t="s">
        <v>302</v>
      </c>
      <c r="C38" t="s">
        <v>302</v>
      </c>
      <c r="D38" t="s">
        <v>474</v>
      </c>
      <c r="G38">
        <v>-1348389</v>
      </c>
    </row>
    <row r="39" spans="1:7">
      <c r="A39" t="s">
        <v>480</v>
      </c>
      <c r="B39" t="s">
        <v>302</v>
      </c>
      <c r="C39" t="s">
        <v>302</v>
      </c>
      <c r="D39" t="s">
        <v>474</v>
      </c>
      <c r="E39">
        <v>-21920</v>
      </c>
      <c r="F39">
        <v>-22500</v>
      </c>
      <c r="G39">
        <v>-200594</v>
      </c>
    </row>
    <row r="40" spans="1:7">
      <c r="A40" t="s">
        <v>481</v>
      </c>
      <c r="B40" t="s">
        <v>482</v>
      </c>
      <c r="C40" t="s">
        <v>482</v>
      </c>
      <c r="D40" t="s">
        <v>474</v>
      </c>
      <c r="G40">
        <v>-36649</v>
      </c>
    </row>
    <row r="41" spans="1:7">
      <c r="A41" t="s">
        <v>483</v>
      </c>
      <c r="B41" t="s">
        <v>482</v>
      </c>
      <c r="C41" t="s">
        <v>482</v>
      </c>
      <c r="D41" t="s">
        <v>474</v>
      </c>
      <c r="G41">
        <v>685097</v>
      </c>
    </row>
    <row r="42" spans="1:7">
      <c r="A42" t="s">
        <v>484</v>
      </c>
      <c r="B42" t="s">
        <v>482</v>
      </c>
      <c r="C42" t="s">
        <v>482</v>
      </c>
      <c r="D42" t="s">
        <v>474</v>
      </c>
      <c r="E42">
        <v>-3407</v>
      </c>
      <c r="F42">
        <v>-3455</v>
      </c>
      <c r="G42">
        <v>-8846</v>
      </c>
    </row>
    <row r="43" spans="1:7">
      <c r="A43" t="s">
        <v>459</v>
      </c>
      <c r="B43" t="s">
        <v>251</v>
      </c>
      <c r="C43" t="s">
        <v>251</v>
      </c>
      <c r="D43" t="s">
        <v>452</v>
      </c>
      <c r="E43">
        <v>-2265</v>
      </c>
      <c r="F43">
        <v>686</v>
      </c>
      <c r="G43">
        <v>-3837</v>
      </c>
    </row>
    <row r="44" spans="1:7">
      <c r="A44" t="s">
        <v>485</v>
      </c>
      <c r="B44" t="s">
        <v>311</v>
      </c>
      <c r="C44" t="s">
        <v>311</v>
      </c>
      <c r="D44" t="s">
        <v>474</v>
      </c>
      <c r="E44">
        <v>-67330</v>
      </c>
      <c r="F44">
        <v>-60074</v>
      </c>
      <c r="G44">
        <v>358841</v>
      </c>
    </row>
    <row r="45" spans="1:7">
      <c r="A45" t="s">
        <v>486</v>
      </c>
      <c r="B45" t="s">
        <v>313</v>
      </c>
      <c r="C45" t="s">
        <v>313</v>
      </c>
      <c r="D45" t="s">
        <v>474</v>
      </c>
      <c r="E45">
        <v>-2566</v>
      </c>
      <c r="F45">
        <v>7250</v>
      </c>
      <c r="G45">
        <v>-14106</v>
      </c>
    </row>
    <row r="46" spans="1:7">
      <c r="A46" t="s">
        <v>487</v>
      </c>
      <c r="B46" t="s">
        <v>488</v>
      </c>
      <c r="C46" t="s">
        <v>312</v>
      </c>
      <c r="D46" t="s">
        <v>474</v>
      </c>
      <c r="E46">
        <v>-16780</v>
      </c>
      <c r="F46">
        <v>10227</v>
      </c>
      <c r="G46">
        <v>45848</v>
      </c>
    </row>
    <row r="47" spans="1:7">
      <c r="A47" t="s">
        <v>489</v>
      </c>
      <c r="B47" t="s">
        <v>490</v>
      </c>
      <c r="C47" t="s">
        <v>315</v>
      </c>
      <c r="D47" t="s">
        <v>474</v>
      </c>
      <c r="E47">
        <v>67290</v>
      </c>
      <c r="F47">
        <v>57063</v>
      </c>
      <c r="G47">
        <v>11215</v>
      </c>
    </row>
    <row r="48" spans="1:7">
      <c r="A48" t="s">
        <v>491</v>
      </c>
      <c r="B48" t="s">
        <v>316</v>
      </c>
      <c r="C48" t="s">
        <v>316</v>
      </c>
      <c r="D48" t="s">
        <v>474</v>
      </c>
      <c r="E48">
        <v>50510</v>
      </c>
      <c r="F48">
        <v>67290</v>
      </c>
      <c r="G48">
        <v>57063</v>
      </c>
    </row>
    <row r="49" spans="1:7">
      <c r="A49" t="s">
        <v>492</v>
      </c>
      <c r="D49" t="s">
        <v>474</v>
      </c>
    </row>
    <row r="50" spans="1:7">
      <c r="A50" t="s">
        <v>493</v>
      </c>
      <c r="D50" t="s">
        <v>474</v>
      </c>
      <c r="E50">
        <v>175204</v>
      </c>
      <c r="F50">
        <v>159098</v>
      </c>
      <c r="G50">
        <v>161146</v>
      </c>
    </row>
    <row r="51" spans="1:7">
      <c r="A51" t="s">
        <v>494</v>
      </c>
      <c r="B51" t="s">
        <v>495</v>
      </c>
      <c r="C51" t="s">
        <v>247</v>
      </c>
      <c r="D51" t="s">
        <v>452</v>
      </c>
      <c r="E51">
        <v>6720</v>
      </c>
      <c r="F51">
        <v>10291</v>
      </c>
      <c r="G51">
        <v>15483</v>
      </c>
    </row>
    <row r="52" spans="1:7">
      <c r="A52" t="s">
        <v>496</v>
      </c>
      <c r="B52" t="s">
        <v>287</v>
      </c>
      <c r="C52" t="s">
        <v>287</v>
      </c>
      <c r="D52" t="s">
        <v>474</v>
      </c>
    </row>
    <row r="53" spans="1:7">
      <c r="A53" t="s">
        <v>497</v>
      </c>
      <c r="D53" t="s">
        <v>474</v>
      </c>
      <c r="F53">
        <v>19649</v>
      </c>
      <c r="G53">
        <v>2516880</v>
      </c>
    </row>
    <row r="54" spans="1:7">
      <c r="A54" t="s">
        <v>498</v>
      </c>
      <c r="D54" t="s">
        <v>474</v>
      </c>
      <c r="F54">
        <v>-1458</v>
      </c>
      <c r="G54">
        <v>-1616543</v>
      </c>
    </row>
    <row r="55" spans="1:7">
      <c r="A55" t="s">
        <v>499</v>
      </c>
      <c r="B55" t="s">
        <v>482</v>
      </c>
      <c r="C55" t="s">
        <v>482</v>
      </c>
      <c r="D55" t="s">
        <v>474</v>
      </c>
      <c r="G55">
        <v>-216882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9849-4304-4165-933E-4D98390C0F5B}">
  <dimension ref="A1:D9"/>
  <sheetViews>
    <sheetView workbookViewId="0">
      <selection activeCell="A9" sqref="A9"/>
    </sheetView>
  </sheetViews>
  <sheetFormatPr defaultRowHeight="12.75"/>
  <cols>
    <col min="1" max="1" width="34.140625" style="46" customWidth="1"/>
    <col min="2" max="2" width="69.7109375" style="46" customWidth="1"/>
    <col min="3" max="3" width="25.140625" style="46" customWidth="1"/>
    <col min="4" max="16384" width="9.140625" style="46"/>
  </cols>
  <sheetData>
    <row r="1" spans="1:4">
      <c r="A1" s="46" t="s">
        <v>501</v>
      </c>
      <c r="B1" s="46" t="s">
        <v>502</v>
      </c>
      <c r="C1" s="46" t="s">
        <v>503</v>
      </c>
    </row>
    <row r="2" spans="1:4">
      <c r="A2" s="46" t="s">
        <v>434</v>
      </c>
      <c r="B2" s="46" t="s">
        <v>40</v>
      </c>
      <c r="C2" s="46" t="s">
        <v>506</v>
      </c>
    </row>
    <row r="3" spans="1:4">
      <c r="A3" s="41" t="s">
        <v>431</v>
      </c>
      <c r="B3" s="46" t="s">
        <v>51</v>
      </c>
      <c r="C3" s="46" t="s">
        <v>506</v>
      </c>
      <c r="D3" s="46" t="s">
        <v>508</v>
      </c>
    </row>
    <row r="4" spans="1:4">
      <c r="A4" s="46" t="s">
        <v>510</v>
      </c>
      <c r="B4" s="46" t="s">
        <v>54</v>
      </c>
      <c r="C4" s="46" t="s">
        <v>506</v>
      </c>
    </row>
    <row r="5" spans="1:4">
      <c r="A5" s="46" t="s">
        <v>511</v>
      </c>
      <c r="B5" s="46" t="s">
        <v>56</v>
      </c>
      <c r="C5" s="46" t="s">
        <v>506</v>
      </c>
    </row>
    <row r="6" spans="1:4">
      <c r="A6" s="41" t="s">
        <v>513</v>
      </c>
      <c r="B6" s="46" t="s">
        <v>59</v>
      </c>
      <c r="C6" s="46" t="s">
        <v>506</v>
      </c>
    </row>
    <row r="7" spans="1:4">
      <c r="A7" s="46" t="s">
        <v>399</v>
      </c>
      <c r="B7" s="46" t="s">
        <v>516</v>
      </c>
      <c r="C7" s="46" t="s">
        <v>506</v>
      </c>
    </row>
    <row r="8" spans="1:4">
      <c r="A8" s="46" t="s">
        <v>398</v>
      </c>
      <c r="B8" s="46" t="s">
        <v>517</v>
      </c>
      <c r="C8" s="46" t="s">
        <v>506</v>
      </c>
      <c r="D8" s="46" t="s">
        <v>518</v>
      </c>
    </row>
    <row r="9" spans="1:4">
      <c r="A9" s="46" t="s">
        <v>519</v>
      </c>
      <c r="B9" s="46" t="s">
        <v>163</v>
      </c>
      <c r="C9" s="46" t="s">
        <v>506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D47BEE-F46D-4C84-B125-4BE49E284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58EEA4-7100-46EA-B2D1-44E255C577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13B456-D309-4E11-B14B-2323B54A30CF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66e1bd9c-f885-4744-8747-d765cf2e11ea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Ratios</vt:lpstr>
      <vt:lpstr>bs</vt:lpstr>
      <vt:lpstr>pl</vt:lpstr>
      <vt:lpstr>cf</vt:lpstr>
      <vt:lpstr>mappingTemplate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User</cp:lastModifiedBy>
  <cp:lastPrinted>2019-05-21T12:53:00Z</cp:lastPrinted>
  <dcterms:created xsi:type="dcterms:W3CDTF">2019-04-04T09:01:00Z</dcterms:created>
  <dcterms:modified xsi:type="dcterms:W3CDTF">2021-09-23T11:43:09Z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