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CogNext\GroundTruth\PDFs &amp; Excels\"/>
    </mc:Choice>
  </mc:AlternateContent>
  <bookViews>
    <workbookView xWindow="0" yWindow="0" windowWidth="10350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G209" i="1"/>
  <c r="F209" i="1"/>
  <c r="G184" i="1"/>
  <c r="F184" i="1"/>
  <c r="G92" i="1"/>
  <c r="F92" i="1"/>
  <c r="G49" i="1"/>
  <c r="F49" i="1"/>
  <c r="G24" i="1"/>
  <c r="F24" i="1"/>
  <c r="G433" i="1" l="1"/>
  <c r="F433" i="1"/>
  <c r="G432" i="1"/>
  <c r="F432" i="1"/>
  <c r="F418" i="1"/>
  <c r="G417" i="1"/>
  <c r="G418" i="1" s="1"/>
  <c r="F417" i="1"/>
  <c r="G410" i="1"/>
  <c r="G409" i="1"/>
  <c r="G397" i="1"/>
  <c r="F397" i="1"/>
  <c r="F409" i="1" s="1"/>
  <c r="F410" i="1" s="1"/>
  <c r="N382" i="1"/>
  <c r="O381" i="1"/>
  <c r="N381" i="1"/>
  <c r="M381" i="1"/>
  <c r="L381" i="1"/>
  <c r="K381" i="1"/>
  <c r="J381" i="1"/>
  <c r="H381" i="1"/>
  <c r="L377" i="1"/>
  <c r="N376" i="1"/>
  <c r="O375" i="1"/>
  <c r="N375" i="1"/>
  <c r="M375" i="1"/>
  <c r="L375" i="1"/>
  <c r="K375" i="1"/>
  <c r="J375" i="1"/>
  <c r="H375" i="1"/>
  <c r="J373" i="1"/>
  <c r="N371" i="1"/>
  <c r="H370" i="1"/>
  <c r="J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F161" i="1" s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F11" i="1"/>
  <c r="O10" i="1"/>
  <c r="N10" i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9" i="1" l="1"/>
  <c r="G384" i="1" s="1"/>
  <c r="F9" i="1"/>
  <c r="F384" i="1" s="1"/>
  <c r="G161" i="1"/>
  <c r="F8" i="1"/>
  <c r="F12" i="1"/>
  <c r="G44" i="1"/>
  <c r="G378" i="1" s="1"/>
  <c r="G326" i="1"/>
  <c r="F297" i="1"/>
  <c r="F319" i="1" s="1"/>
  <c r="F326" i="1" s="1"/>
  <c r="J368" i="1"/>
  <c r="N370" i="1"/>
  <c r="H373" i="1"/>
  <c r="F375" i="1"/>
  <c r="L376" i="1"/>
  <c r="J377" i="1"/>
  <c r="F381" i="1"/>
  <c r="L382" i="1"/>
  <c r="J383" i="1"/>
  <c r="H384" i="1"/>
  <c r="G59" i="1"/>
  <c r="G67" i="1" s="1"/>
  <c r="G71" i="1" s="1"/>
  <c r="K368" i="1"/>
  <c r="G370" i="1"/>
  <c r="O370" i="1"/>
  <c r="K372" i="1"/>
  <c r="I373" i="1"/>
  <c r="G375" i="1"/>
  <c r="M376" i="1"/>
  <c r="K377" i="1"/>
  <c r="I378" i="1"/>
  <c r="G381" i="1"/>
  <c r="M382" i="1"/>
  <c r="K383" i="1"/>
  <c r="I384" i="1"/>
  <c r="J378" i="1"/>
  <c r="I365" i="1"/>
  <c r="M368" i="1"/>
  <c r="M372" i="1"/>
  <c r="I375" i="1"/>
  <c r="O376" i="1"/>
  <c r="M377" i="1"/>
  <c r="K378" i="1"/>
  <c r="I381" i="1"/>
  <c r="O382" i="1"/>
  <c r="K384" i="1"/>
  <c r="H365" i="1"/>
  <c r="L372" i="1"/>
  <c r="F363" i="1"/>
  <c r="N368" i="1"/>
  <c r="N372" i="1"/>
  <c r="H376" i="1"/>
  <c r="N377" i="1"/>
  <c r="L378" i="1"/>
  <c r="H382" i="1"/>
  <c r="J384" i="1"/>
  <c r="G363" i="1"/>
  <c r="O368" i="1"/>
  <c r="O372" i="1"/>
  <c r="I376" i="1"/>
  <c r="O377" i="1"/>
  <c r="M378" i="1"/>
  <c r="I382" i="1"/>
  <c r="F44" i="1"/>
  <c r="H363" i="1"/>
  <c r="I363" i="1"/>
  <c r="G13" i="1" l="1"/>
  <c r="F13" i="1"/>
  <c r="F14" i="1" s="1"/>
  <c r="G377" i="1"/>
  <c r="F376" i="1"/>
  <c r="F383" i="1"/>
  <c r="F382" i="1"/>
  <c r="F377" i="1"/>
  <c r="G8" i="1"/>
  <c r="F353" i="1"/>
  <c r="F355" i="1" s="1"/>
  <c r="F357" i="1" s="1"/>
  <c r="F385" i="1"/>
  <c r="G353" i="1"/>
  <c r="G355" i="1" s="1"/>
  <c r="G357" i="1" s="1"/>
  <c r="G385" i="1"/>
  <c r="G373" i="1"/>
  <c r="G83" i="1"/>
  <c r="G6" i="1"/>
  <c r="F378" i="1"/>
  <c r="F370" i="1"/>
  <c r="F59" i="1"/>
  <c r="F67" i="1" s="1"/>
  <c r="F71" i="1" s="1"/>
  <c r="G383" i="1" l="1"/>
  <c r="G12" i="1"/>
  <c r="G382" i="1"/>
  <c r="G371" i="1"/>
  <c r="G365" i="1"/>
  <c r="F373" i="1"/>
  <c r="F83" i="1"/>
  <c r="F372" i="1"/>
  <c r="F6" i="1"/>
  <c r="F366" i="1" l="1"/>
  <c r="G376" i="1"/>
  <c r="G366" i="1"/>
  <c r="G14" i="1"/>
  <c r="G372" i="1"/>
  <c r="F371" i="1"/>
  <c r="F365" i="1"/>
</calcChain>
</file>

<file path=xl/sharedStrings.xml><?xml version="1.0" encoding="utf-8"?>
<sst xmlns="http://schemas.openxmlformats.org/spreadsheetml/2006/main" count="974" uniqueCount="558">
  <si>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</si>
  <si>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</si>
  <si>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</si>
  <si>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</si>
  <si>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</si>
  <si>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</si>
  <si>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</si>
  <si>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</si>
  <si>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</si>
  <si>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</si>
  <si>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</si>
  <si>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</si>
  <si>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</si>
  <si>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</si>
  <si>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</si>
  <si>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</si>
  <si>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</si>
  <si>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</si>
  <si>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</si>
  <si>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</si>
  <si>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</si>
  <si>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</si>
  <si>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</si>
  <si>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</si>
  <si>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</si>
  <si>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</si>
  <si>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</si>
  <si>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</si>
  <si>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</si>
  <si>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</si>
  <si>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</si>
  <si>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</si>
  <si>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</si>
  <si>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</si>
  <si>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</si>
  <si>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</si>
  <si>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</si>
  <si>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</si>
  <si>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</si>
  <si>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</si>
  <si>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</si>
  <si>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</si>
  <si>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</si>
  <si>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</si>
  <si>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</si>
  <si>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</si>
  <si>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</si>
  <si>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</si>
  <si>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</si>
  <si>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</si>
  <si>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</si>
  <si>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</si>
  <si>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</si>
  <si>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</si>
  <si>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</si>
  <si>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</si>
  <si>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</si>
  <si>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</si>
  <si>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</si>
  <si>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</si>
  <si>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</si>
  <si>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</si>
  <si>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</si>
  <si>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</si>
  <si>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</si>
  <si>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</si>
  <si>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</si>
  <si>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</si>
  <si>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</si>
  <si>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</si>
  <si>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</si>
  <si>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</si>
  <si>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</si>
  <si>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</si>
  <si>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</si>
  <si>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</si>
  <si>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</si>
  <si>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</si>
  <si>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</si>
  <si>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</si>
  <si>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</si>
  <si>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</si>
  <si>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</si>
  <si>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</si>
  <si>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</si>
  <si>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</si>
  <si>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</si>
  <si>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</si>
  <si>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</si>
  <si>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</si>
  <si>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</si>
  <si>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</si>
  <si>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</si>
  <si>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</si>
  <si>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</si>
  <si>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</si>
  <si>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</si>
  <si>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</si>
  <si>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</si>
  <si>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</si>
  <si>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</si>
  <si>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</si>
  <si>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</si>
  <si>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</si>
  <si>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</si>
  <si>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</si>
  <si>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</si>
  <si>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</si>
  <si>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</si>
  <si>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</si>
  <si>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</si>
  <si>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</si>
  <si>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</si>
  <si>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</si>
  <si>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</si>
  <si>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</si>
  <si>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</si>
  <si>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</si>
  <si>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</si>
  <si>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</si>
  <si>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</si>
  <si>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</si>
  <si>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</si>
  <si>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</si>
  <si>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</si>
  <si>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</si>
  <si>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</si>
  <si>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</si>
  <si>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</si>
  <si>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</si>
  <si>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</si>
  <si>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</si>
  <si>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</si>
  <si>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</si>
  <si>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</si>
  <si>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</si>
  <si>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</si>
  <si>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</si>
  <si>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</si>
  <si>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</si>
  <si>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</si>
  <si>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</si>
  <si>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</si>
  <si>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</si>
  <si>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</si>
  <si>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</si>
  <si>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</si>
  <si>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</si>
  <si>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</si>
  <si>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</si>
  <si>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</si>
  <si>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</si>
  <si>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</si>
  <si>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</si>
  <si>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</si>
  <si>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</si>
  <si>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</si>
  <si>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</si>
  <si>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</si>
  <si>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</si>
  <si>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</si>
  <si>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</si>
  <si>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</si>
  <si>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</si>
  <si>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</si>
  <si>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</si>
  <si>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</si>
  <si>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</si>
  <si>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</si>
  <si>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</si>
  <si>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</si>
  <si>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</si>
  <si>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</si>
  <si>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</si>
  <si>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</si>
  <si>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</si>
  <si>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</si>
  <si>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</si>
  <si>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</si>
  <si>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</si>
  <si>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</si>
  <si>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</si>
  <si>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</si>
  <si>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</si>
  <si>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</si>
  <si>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</si>
  <si>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</si>
  <si>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</si>
  <si>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</si>
  <si>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</si>
  <si>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</si>
  <si>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</si>
  <si>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</si>
  <si>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</si>
  <si>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</si>
  <si>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</si>
  <si>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</si>
  <si>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</si>
  <si>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</si>
  <si>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</si>
  <si>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</si>
  <si>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</si>
  <si>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</si>
  <si>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</si>
  <si>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</si>
  <si>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</si>
  <si>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</si>
  <si>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</si>
  <si>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</si>
  <si>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</si>
  <si>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</si>
  <si>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</si>
  <si>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</si>
  <si>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</si>
  <si>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</si>
  <si>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</si>
  <si>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</si>
  <si>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</si>
  <si>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</si>
  <si>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</si>
  <si>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</si>
  <si>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</si>
  <si>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</si>
  <si>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</si>
  <si>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</si>
  <si>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</si>
  <si>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</si>
  <si>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</si>
  <si>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</si>
  <si>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</si>
  <si>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</si>
  <si>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</si>
  <si>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</si>
  <si>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</si>
  <si>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</si>
  <si>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</si>
  <si>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</si>
  <si>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</si>
  <si>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</si>
  <si>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</si>
  <si>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</si>
  <si>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</si>
  <si>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</si>
  <si>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</si>
  <si>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</si>
  <si>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</si>
  <si>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</si>
  <si>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</si>
  <si>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</si>
  <si>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</si>
  <si>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</si>
  <si>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</si>
  <si>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</si>
  <si>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</si>
  <si>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</si>
  <si>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</si>
  <si>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</si>
  <si>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</si>
  <si>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</si>
  <si>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</si>
  <si>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</si>
  <si>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</si>
  <si>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</si>
  <si>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</si>
  <si>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</si>
  <si>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</si>
  <si>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</si>
  <si>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</si>
  <si>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</si>
  <si>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</si>
  <si>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</si>
  <si>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</si>
  <si>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</si>
  <si>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</si>
  <si>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</si>
  <si>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</si>
  <si>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</si>
  <si>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</si>
  <si>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</si>
  <si>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</si>
  <si>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</si>
  <si>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</si>
  <si>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</si>
  <si>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</si>
  <si>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</si>
  <si>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</si>
  <si>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</si>
  <si>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</si>
  <si>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</si>
  <si>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</si>
  <si>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</si>
  <si>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</si>
  <si>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</si>
  <si>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</si>
  <si>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</si>
  <si>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</si>
  <si>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</si>
  <si>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</si>
  <si>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</si>
  <si>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</si>
  <si>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</si>
  <si>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</si>
  <si>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</si>
  <si>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</si>
  <si>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</si>
  <si>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</si>
  <si>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</si>
  <si>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</si>
  <si>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</si>
  <si>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</si>
  <si>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</si>
  <si>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</si>
  <si>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</si>
  <si>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</si>
  <si>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</si>
  <si>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</si>
  <si>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</si>
  <si>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</si>
  <si>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</si>
  <si>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</si>
  <si>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</si>
  <si>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</si>
  <si>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</si>
  <si>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</si>
  <si>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</si>
  <si>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</si>
  <si>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</si>
  <si>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</si>
  <si>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</si>
  <si>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</si>
  <si>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</si>
  <si>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</si>
  <si>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</si>
  <si>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</si>
  <si>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</si>
  <si>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</si>
  <si>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</si>
  <si>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</si>
  <si>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</si>
  <si>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</si>
  <si>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</si>
  <si>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</si>
  <si>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</si>
  <si>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</si>
  <si>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</si>
  <si>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</si>
  <si>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</si>
  <si>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</si>
  <si>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</si>
  <si>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</si>
  <si>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</si>
  <si>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</si>
  <si>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</si>
  <si>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</si>
  <si>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</si>
  <si>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</si>
  <si>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</si>
  <si>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</si>
  <si>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</si>
  <si>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</si>
  <si>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</si>
  <si>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</si>
  <si>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</si>
  <si>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</si>
  <si>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</si>
  <si>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</si>
  <si>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</si>
  <si>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</si>
  <si>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</si>
  <si>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</si>
  <si>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</si>
  <si>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</si>
  <si>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</si>
  <si>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</si>
  <si>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thousands, except share data)</t>
  </si>
  <si>
    <t>Assets</t>
  </si>
  <si>
    <t>Current Assets:</t>
  </si>
  <si>
    <t>Cash and cash equivalents</t>
  </si>
  <si>
    <t>Short-term investments</t>
  </si>
  <si>
    <t>Accounts receivable, net</t>
  </si>
  <si>
    <t>Tax receivable</t>
  </si>
  <si>
    <t>Inventories</t>
  </si>
  <si>
    <t>Prepaid expenses and other current assets</t>
  </si>
  <si>
    <t>Total current assets</t>
  </si>
  <si>
    <t>Property and equipment, net</t>
  </si>
  <si>
    <t>Property and Equipment</t>
  </si>
  <si>
    <t>Restricted cash</t>
  </si>
  <si>
    <t>Long-term tax receivable</t>
  </si>
  <si>
    <t>Other assets</t>
  </si>
  <si>
    <t>Liabilities and Stockholders Equity (Deficit)</t>
  </si>
  <si>
    <t>Current Liabilities:</t>
  </si>
  <si>
    <t>Accounts payable</t>
  </si>
  <si>
    <t>Accrued liabilities</t>
  </si>
  <si>
    <t>Long-term debt, current portion</t>
  </si>
  <si>
    <t>Deferred revenue, current portion</t>
  </si>
  <si>
    <t>Accrued Revenue</t>
  </si>
  <si>
    <t>Liability related to the sale of future royalties, current portion</t>
  </si>
  <si>
    <t>Total current liabilities</t>
  </si>
  <si>
    <t>Deferred rent, net of current portion</t>
  </si>
  <si>
    <t>Long-term debt, net of current portion</t>
  </si>
  <si>
    <t>Deferred revenue, net of current portion</t>
  </si>
  <si>
    <t>Liability related to the sale of future royalties, net of current portion</t>
  </si>
  <si>
    <t>Contingent put option liability</t>
  </si>
  <si>
    <t>Total liabilities</t>
  </si>
  <si>
    <t>Commitments and Contingencies</t>
  </si>
  <si>
    <t>Stockholders Equity (Deficit):</t>
  </si>
  <si>
    <t>Common stock, $0.001 par value100,000,000 shares authorized as of December 31, 2018 and</t>
  </si>
  <si>
    <t>December 31, 2017; 78,757,930 and 50,899,154 shares issued and outstanding as of December 31, 2018 and December 31, 2017</t>
  </si>
  <si>
    <t>Additional paid-in capital</t>
  </si>
  <si>
    <t>Accumulated deficit</t>
  </si>
  <si>
    <t>Total stockholders equity (deficit)</t>
  </si>
  <si>
    <t>Revenue:</t>
  </si>
  <si>
    <t>Revenue</t>
  </si>
  <si>
    <t>Collaboration agreement</t>
  </si>
  <si>
    <t>Contract and other</t>
  </si>
  <si>
    <t>Total revenue</t>
  </si>
  <si>
    <t>Total Cost of Revenue</t>
  </si>
  <si>
    <t>Total Cost of Revenue TODO REMOVE</t>
  </si>
  <si>
    <t>Operating costs and expenses:</t>
  </si>
  <si>
    <t>Cost of goods sold</t>
  </si>
  <si>
    <t>Research and development</t>
  </si>
  <si>
    <t>General and administrative</t>
  </si>
  <si>
    <t>Total operating costs and expenses</t>
  </si>
  <si>
    <t>Loss from operations</t>
  </si>
  <si>
    <t>Operating Profit</t>
  </si>
  <si>
    <t>Other expense:</t>
  </si>
  <si>
    <t>Other Expenses</t>
  </si>
  <si>
    <t>Interest expense</t>
  </si>
  <si>
    <t>Interest income and other income, net</t>
  </si>
  <si>
    <t>Other Income - Net profit (loss)</t>
  </si>
  <si>
    <t>Non-cash interest expense on liability related to sale of future royalties</t>
  </si>
  <si>
    <t>Total other expense</t>
  </si>
  <si>
    <t>Net loss before income taxes</t>
  </si>
  <si>
    <t>Profit before Zakat</t>
  </si>
  <si>
    <t>Provision (benefit) for income taxes</t>
  </si>
  <si>
    <t>Net loss</t>
  </si>
  <si>
    <t>Other comprehensive (loss) income:</t>
  </si>
  <si>
    <t>Total Other Comprehensive Income</t>
  </si>
  <si>
    <t>Unrealized (losses) gains on available for sale securities</t>
  </si>
  <si>
    <t>Comprehensive loss</t>
  </si>
  <si>
    <t>Total Other Comprehensive Loss</t>
  </si>
  <si>
    <t>Net loss per share of common stock, basic and diluted</t>
  </si>
  <si>
    <t>Shares used in computing net loss per share of common stock, basic and diluted see</t>
  </si>
  <si>
    <t>Balance as of December 31, 2015</t>
  </si>
  <si>
    <t>Stock-based compensation</t>
  </si>
  <si>
    <t>Operating Activities</t>
  </si>
  <si>
    <t>Modification of warrants</t>
  </si>
  <si>
    <t>Issuance of common stock upon ESPP purchase</t>
  </si>
  <si>
    <t>Change in unrealized gains and losses on investments</t>
  </si>
  <si>
    <t>Balance as of December 31, 2016</t>
  </si>
  <si>
    <t>Net proceeds from issuance of common</t>
  </si>
  <si>
    <t>Financing Activities</t>
  </si>
  <si>
    <t>stock in connection with equity financings</t>
  </si>
  <si>
    <t>Issuance of common stock upon exercise of stock options</t>
  </si>
  <si>
    <t>Balance as of December 31, 2017</t>
  </si>
  <si>
    <t>Issuance of common stock upon exercise of warrants</t>
  </si>
  <si>
    <t>Finance Costs</t>
  </si>
  <si>
    <t>CASH FLOWS FROM OPERATING ACTIVITIES:</t>
  </si>
  <si>
    <t>Adjustments to reconcile net loss to net cash used in operating activities:</t>
  </si>
  <si>
    <t>Non-cash royalty revenue related to royalty monetization</t>
  </si>
  <si>
    <t>Non-cash interest expense on liability related to royalty monetization</t>
  </si>
  <si>
    <t>Depreciation and amortization</t>
  </si>
  <si>
    <t>Non-cash interest expense related to debt financing</t>
  </si>
  <si>
    <t>Revaluation of put option and PIPE warrant liabilities</t>
  </si>
  <si>
    <t>Loss on disposal and impairment of property and equipment</t>
  </si>
  <si>
    <t>Inventory impairment charge</t>
  </si>
  <si>
    <t>Other</t>
  </si>
  <si>
    <t>Changes in operating assets and liabilities:</t>
  </si>
  <si>
    <t>Accounts receivable</t>
  </si>
  <si>
    <t>Prepaid expenses and other assets</t>
  </si>
  <si>
    <t>Deferred revenue</t>
  </si>
  <si>
    <t>Deferred rent</t>
  </si>
  <si>
    <t>Net cash used in operating activities</t>
  </si>
  <si>
    <t>CASH FLOWS FROM INVESTING ACTIVITIES:</t>
  </si>
  <si>
    <t>Investing Activities</t>
  </si>
  <si>
    <t>Purchase of property and equipment</t>
  </si>
  <si>
    <t>Purchase of investments</t>
  </si>
  <si>
    <t>Proceeds from maturities of investments</t>
  </si>
  <si>
    <t>Net cash (used in) provided by investing activities</t>
  </si>
  <si>
    <t>CASH FLOWS FROM FINANCING ACTIVITIES:</t>
  </si>
  <si>
    <t>Payment of long-term debt</t>
  </si>
  <si>
    <t>Payment of debt modification transaction costs</t>
  </si>
  <si>
    <t>Net proceeds from issuance of common stock in connection with equity financings</t>
  </si>
  <si>
    <t>Net proceeds from issuance of common stock through equity plans</t>
  </si>
  <si>
    <t>Net cash provided by (used in) financing activities</t>
  </si>
  <si>
    <t>NET INCREASE (DECREASE) IN CASH, CASH EQUIVALENTS AND</t>
  </si>
  <si>
    <t>Net increase (decrease) in cash and cash equivalents</t>
  </si>
  <si>
    <t>RESTRICTED CASH</t>
  </si>
  <si>
    <t>CASH, CASH EQUIVALENTS AND RESTRICTED CASHBeginning of period</t>
  </si>
  <si>
    <t>CASH, CASH EQUIVALENTS AND RESTRICTED CASH End of period</t>
  </si>
  <si>
    <t>SUPPLEMENTAL DISCLOSURES OF CASH FLOW INFORMATION:</t>
  </si>
  <si>
    <t>Cash paid for interest</t>
  </si>
  <si>
    <t>Income taxes paid (refunded)</t>
  </si>
  <si>
    <t xml:space="preserve">Adjustment for Income Tax Paid </t>
  </si>
  <si>
    <t>NONCASH INVESTING AND FINANCING ACTIVITIES:</t>
  </si>
  <si>
    <t>Modification of warrants for common stock</t>
  </si>
  <si>
    <t>Purchases of property and equipment in Accounts payable</t>
  </si>
  <si>
    <t>T</t>
  </si>
  <si>
    <t>total of the same such amounts shown in the consolidated statement of cash flows (in thousands):</t>
  </si>
  <si>
    <t>CASH AND CASH EQUIVALENTS</t>
  </si>
  <si>
    <t>Cash and cash equivalents at beginning of period</t>
  </si>
  <si>
    <t>CASH, CASH EQUIVALENTS AND RESTRICTED CASH SHOWN IN</t>
  </si>
  <si>
    <t>STATEMENT OF CASH FLOWS</t>
  </si>
  <si>
    <t>A</t>
  </si>
  <si>
    <t>agreements as security for performance under these agreements. The letters of credit are secured by certificates of deposit in amounts equal to the letters of</t>
  </si>
  <si>
    <t>Original Line Item in the pdf</t>
  </si>
  <si>
    <t>Line item in the accounts Tamplate into which Originalline item is mapped</t>
  </si>
  <si>
    <t>Sign</t>
  </si>
  <si>
    <t xml:space="preserve">Person mapping </t>
  </si>
  <si>
    <t>Niyoshi Aithal</t>
  </si>
  <si>
    <t>changed value</t>
  </si>
  <si>
    <t>turnover</t>
  </si>
  <si>
    <t>collaboration agreement</t>
  </si>
  <si>
    <t>contract and other</t>
  </si>
  <si>
    <t>non-cash interest expense on liability related to sale of future royalties</t>
  </si>
  <si>
    <t>interest expense</t>
  </si>
  <si>
    <t>interest income and other income, net</t>
  </si>
  <si>
    <t>interest received and financial income</t>
  </si>
  <si>
    <t>added value</t>
  </si>
  <si>
    <t>deleted value</t>
  </si>
  <si>
    <t>unrealized (losses) gains on available for sale securities</t>
  </si>
  <si>
    <t>raw materials</t>
  </si>
  <si>
    <t>work-in-process</t>
  </si>
  <si>
    <t>laboratory equipment</t>
  </si>
  <si>
    <t>leasehold improvements</t>
  </si>
  <si>
    <t>computer equipment and software</t>
  </si>
  <si>
    <t>construction in process</t>
  </si>
  <si>
    <t>furniture and fixtures</t>
  </si>
  <si>
    <t>tooling</t>
  </si>
  <si>
    <t>less accumulated depreciation and amortization</t>
  </si>
  <si>
    <t>accumulated depreciation and amortisation</t>
  </si>
  <si>
    <t>other fixed assets</t>
  </si>
  <si>
    <t>property, plant and equipment</t>
  </si>
  <si>
    <t>construction in progress</t>
  </si>
  <si>
    <t>leased assets</t>
  </si>
  <si>
    <t>stock - work in progress</t>
  </si>
  <si>
    <t>stock - raw materials</t>
  </si>
  <si>
    <t>current tax assets</t>
  </si>
  <si>
    <t>tax receivable</t>
  </si>
  <si>
    <t>other assets</t>
  </si>
  <si>
    <t>restricted cash</t>
  </si>
  <si>
    <t>accounts payable</t>
  </si>
  <si>
    <t>accrued liabilities</t>
  </si>
  <si>
    <t>long-term debt, current portion</t>
  </si>
  <si>
    <t>deferred revenue, current portion</t>
  </si>
  <si>
    <t>other operating current liabilities</t>
  </si>
  <si>
    <t>liability related to the sale of future royalties, current portion</t>
  </si>
  <si>
    <t>long term accruals</t>
  </si>
  <si>
    <t>deferred rent, net of current portion</t>
  </si>
  <si>
    <t>long-term debt, net of current portion</t>
  </si>
  <si>
    <t>deferred income and gains</t>
  </si>
  <si>
    <t>deferred revenue, net of current portion</t>
  </si>
  <si>
    <t>other non-current liabilities</t>
  </si>
  <si>
    <t>contingent put option liability</t>
  </si>
  <si>
    <t>liability related to the sale of future royalties, net of current portion</t>
  </si>
  <si>
    <t>ordinary shares</t>
  </si>
  <si>
    <t>additional paid-in capital</t>
  </si>
  <si>
    <t>common stock, $0.001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</si>
</sst>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7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0" applyFont="1" applyAlignment="1">
      <alignment horizontal="center" vertical="center" wrapText="1"/>
    </xf>
    <xf numFmtId="3" fontId="4" fillId="0" borderId="0" xfId="0" applyFont="1"/>
    <xf numFmtId="3" fontId="4" fillId="0" borderId="0" xfId="0" applyFont="1" applyAlignment="1">
      <alignment horizontal="center" vertical="center"/>
    </xf>
    <xf numFmtId="3" fontId="4" fillId="0" borderId="0" xfId="0" applyFont="1" applyAlignment="1">
      <alignment horizontal="center"/>
    </xf>
    <xf numFmtId="3" fontId="0" fillId="0" borderId="0" xfId="0" applyAlignment="1">
      <alignment horizontal="center"/>
    </xf>
    <xf numFmtId="3" fontId="0" fillId="12" borderId="0" xfId="0" applyFill="1"/>
    <xf numFmtId="3" fontId="0" fillId="13" borderId="0" xfId="0" applyFill="1"/>
    <xf numFmtId="3" fontId="4" fillId="12" borderId="0" xfId="0" applyFont="1" applyFill="1"/>
  </cellXfs>
  <cellStyles count="2">
    <cellStyle name="Normal" xfId="0" builtinId="0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245-4800-B768-6E3BBBA2A8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861-4D4E-B183-BA3E789E78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750-443A-A5F6-2448E09443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34-402D-87AF-535DB8C9E4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1F5-4A86-8606-9E068987D0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FF9-48AA-BF81-0A65A5E8648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5D3-4885-B00D-6D077951F1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4F0-4ECA-81CC-56A7E70B6F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96-4833-9967-ED4376CE0D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0DA-4D03-AFB3-07566CD76C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26-409C-8E45-E2B8E09FD3D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21-42A7-8D8E-76753F459B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1C-4C38-A2B0-C3D8578EC1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8F-4979-9B15-2AD533A0C1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C0-4C00-B6E5-A74678D14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3.7109375" style="1" customWidth="1"/>
    <col min="6" max="7" width="14.7109375" style="38" customWidth="1"/>
    <col min="8" max="15" width="0" hidden="1" customWidth="1"/>
    <col min="16" max="16" width="8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-47149</v>
      </c>
      <c r="G6" s="7">
        <f t="shared" ref="G6:O6" si="1">IF(G4=$BF$1,"",G71)</f>
        <v>-51508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12539</v>
      </c>
      <c r="G7" s="7">
        <f t="shared" ref="G7:O7" si="2">IF(G4=$BF$1,"",G128)</f>
        <v>12139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107994</v>
      </c>
      <c r="G8" s="7">
        <f t="shared" ref="G8:O8" si="3">IF(G4=$BF$1,"",G161)</f>
        <v>63413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15928</v>
      </c>
      <c r="G9" s="7">
        <f t="shared" ref="G9:O9" si="4">IF(G4=$BF$1,"",G189)</f>
        <v>13660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100352</v>
      </c>
      <c r="G10" s="7">
        <f t="shared" ref="G10:O10" si="5">IF(G4=$BF$1,"",G210)</f>
        <v>98401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4253</v>
      </c>
      <c r="G11" s="7">
        <f t="shared" ref="G11:O11" si="6">IF(G4=$BF$1,"",G227)</f>
        <v>-36509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120533</v>
      </c>
      <c r="G12" s="35">
        <f t="shared" ref="G12:O12" si="7">IF(G4=$BF$1,"",SUM(G7:G8))</f>
        <v>75552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120533</v>
      </c>
      <c r="G13" s="35">
        <f t="shared" ref="G13:O13" si="8">IF(G4=$BF$1,"",SUM(G9:G11))</f>
        <v>75552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f>1313+838</f>
        <v>2151</v>
      </c>
      <c r="G24">
        <f>7143+852</f>
        <v>7995</v>
      </c>
      <c r="H24">
        <v>10917</v>
      </c>
      <c r="P24" s="44" t="s">
        <v>510</v>
      </c>
    </row>
    <row r="25" spans="5:16">
      <c r="E25" s="1" t="s">
        <v>27</v>
      </c>
      <c r="F25">
        <v>3976</v>
      </c>
      <c r="G25">
        <v>10659</v>
      </c>
      <c r="H25">
        <v>12315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-1825</v>
      </c>
      <c r="G30" s="7">
        <f>IF(G4=$BF$1,"",G24-G25+ABS(G26)-G27-G28-G29)</f>
        <v>-2664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20765</v>
      </c>
      <c r="G34">
        <v>16609</v>
      </c>
      <c r="H34">
        <v>15597</v>
      </c>
    </row>
    <row r="35" spans="5:16">
      <c r="E35" s="1" t="s">
        <v>37</v>
      </c>
      <c r="F35">
        <v>13137</v>
      </c>
      <c r="G35">
        <v>19409</v>
      </c>
      <c r="H35">
        <v>21402</v>
      </c>
    </row>
    <row r="36" spans="5:16">
      <c r="E36" s="1" t="s">
        <v>38</v>
      </c>
      <c r="F36">
        <v>0</v>
      </c>
      <c r="G36">
        <v>0</v>
      </c>
      <c r="H36">
        <v>0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33902</v>
      </c>
      <c r="G43" s="7">
        <f>G32+G33+G34+G35+G36+G37+G38+G39+G40+G41+G42</f>
        <v>36018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-35727</v>
      </c>
      <c r="G44" s="7">
        <f>IF(G4=$BF$1,"",G30+G31-G43)</f>
        <v>-38682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5"/>
    </row>
    <row r="45" spans="5:16">
      <c r="E45" s="1" t="s">
        <v>47</v>
      </c>
    </row>
    <row r="46" spans="5:16">
      <c r="E46" s="1" t="s">
        <v>48</v>
      </c>
      <c r="F46"/>
      <c r="G46"/>
      <c r="H46">
        <v>4</v>
      </c>
      <c r="P46" s="46" t="s">
        <v>519</v>
      </c>
    </row>
    <row r="47" spans="5:16">
      <c r="E47" s="1" t="s">
        <v>49</v>
      </c>
    </row>
    <row r="48" spans="5:16">
      <c r="E48" s="1" t="s">
        <v>50</v>
      </c>
      <c r="F48" s="38">
        <v>1138</v>
      </c>
      <c r="G48" s="38">
        <v>510</v>
      </c>
      <c r="P48" s="46" t="s">
        <v>518</v>
      </c>
    </row>
    <row r="49" spans="5:16">
      <c r="E49" s="12" t="s">
        <v>51</v>
      </c>
      <c r="F49">
        <f>2217+10341</f>
        <v>12558</v>
      </c>
      <c r="G49">
        <f>3316+10721</f>
        <v>14037</v>
      </c>
      <c r="H49">
        <v>-12152</v>
      </c>
      <c r="P49" s="46" t="s">
        <v>510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</row>
    <row r="53" spans="5:16">
      <c r="E53" s="1" t="s">
        <v>55</v>
      </c>
    </row>
    <row r="54" spans="5:16">
      <c r="E54" s="1" t="s">
        <v>56</v>
      </c>
      <c r="F54"/>
      <c r="G54"/>
      <c r="H54">
        <v>918</v>
      </c>
      <c r="P54" s="46" t="s">
        <v>519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-11234</v>
      </c>
      <c r="P56" s="46" t="s">
        <v>519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-47147</v>
      </c>
      <c r="G59" s="7">
        <f>IF(G4=$BF$1,"",G44+G45+G46+G47+G48-G49-G50-G51+G52-G53+G54+G55-G56+G57+G58)</f>
        <v>-52209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5"/>
    </row>
    <row r="60" spans="5:16">
      <c r="E60" s="1" t="s">
        <v>62</v>
      </c>
      <c r="F60">
        <v>2</v>
      </c>
      <c r="G60">
        <v>-701</v>
      </c>
      <c r="H60">
        <v>-34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-47149</v>
      </c>
      <c r="G67" s="7">
        <f>IF(G4=$BF$1,"",SUM(G59,-G60,-ABS(G61),-G62,-G66))</f>
        <v>-51508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45"/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-47149</v>
      </c>
      <c r="G71" s="7">
        <f t="shared" ref="G71:O71" si="14">IF(G4=$BF$1,"",SUM(G67:G70))</f>
        <v>-51508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2" t="s">
        <v>73</v>
      </c>
      <c r="F76" s="38">
        <v>0</v>
      </c>
      <c r="G76" s="38">
        <v>-3</v>
      </c>
      <c r="P76" s="46" t="s">
        <v>518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-47149</v>
      </c>
      <c r="G83" s="7">
        <f t="shared" ref="G83:O83" si="15">IF(G4=$BF$1,"",SUM(G71:G82))</f>
        <v>-51511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5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  <c r="F90" s="38">
        <v>10593</v>
      </c>
      <c r="G90" s="38">
        <v>9703</v>
      </c>
      <c r="P90" s="46" t="s">
        <v>518</v>
      </c>
    </row>
    <row r="91" spans="5:16">
      <c r="E91" s="1" t="s">
        <v>83</v>
      </c>
    </row>
    <row r="92" spans="5:16">
      <c r="E92" s="12" t="s">
        <v>84</v>
      </c>
      <c r="F92">
        <f>3972+237+47</f>
        <v>4256</v>
      </c>
      <c r="G92">
        <f>3920+241+47</f>
        <v>4208</v>
      </c>
      <c r="P92" s="46" t="s">
        <v>510</v>
      </c>
    </row>
    <row r="93" spans="5:16">
      <c r="E93" s="1" t="s">
        <v>85</v>
      </c>
    </row>
    <row r="94" spans="5:16">
      <c r="E94" s="1" t="s">
        <v>86</v>
      </c>
      <c r="F94" s="38">
        <v>4469</v>
      </c>
      <c r="G94" s="38">
        <v>4469</v>
      </c>
      <c r="P94" s="46" t="s">
        <v>518</v>
      </c>
    </row>
    <row r="95" spans="5:16">
      <c r="E95" s="1" t="s">
        <v>87</v>
      </c>
      <c r="F95" s="38">
        <v>1109</v>
      </c>
      <c r="G95" s="38">
        <v>1109</v>
      </c>
      <c r="P95" s="46" t="s">
        <v>518</v>
      </c>
    </row>
    <row r="96" spans="5:16">
      <c r="E96" s="12"/>
    </row>
    <row r="98" spans="5:16">
      <c r="E98" s="6" t="s">
        <v>88</v>
      </c>
      <c r="F98" s="7">
        <f>F89+F90+F91+F92+F93+F94+F95+F96</f>
        <v>20427</v>
      </c>
      <c r="G98" s="7">
        <f>IF(G4=$BF$1,"",G89+G90+G91+G92+G93+G94+G95+G96)</f>
        <v>19489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5"/>
    </row>
    <row r="99" spans="5:16">
      <c r="E99" s="1" t="s">
        <v>89</v>
      </c>
      <c r="F99" s="38">
        <v>-8944</v>
      </c>
      <c r="G99" s="38">
        <v>-8438</v>
      </c>
      <c r="P99" s="46" t="s">
        <v>518</v>
      </c>
    </row>
    <row r="100" spans="5:16">
      <c r="E100" s="6" t="s">
        <v>90</v>
      </c>
      <c r="F100" s="7">
        <f>F98+F99</f>
        <v>11483</v>
      </c>
      <c r="G100" s="7">
        <f t="shared" ref="G100:O100" si="17">IF(G4=$BF$1,"",G98+G99)</f>
        <v>11051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5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  <c r="F110">
        <v>351</v>
      </c>
      <c r="G110">
        <v>703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2" t="s">
        <v>112</v>
      </c>
      <c r="F125" s="38">
        <v>527</v>
      </c>
      <c r="G125" s="38">
        <v>207</v>
      </c>
      <c r="P125" s="46" t="s">
        <v>518</v>
      </c>
    </row>
    <row r="126" spans="5:16">
      <c r="E126" s="12" t="s">
        <v>113</v>
      </c>
      <c r="F126">
        <v>178</v>
      </c>
      <c r="G126">
        <v>178</v>
      </c>
      <c r="P126" s="46" t="s">
        <v>510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12539</v>
      </c>
      <c r="G128" s="7">
        <f t="shared" ref="G128:O128" si="19">IF(G4=$BF$1,"",G100+SUM(G104:G126))</f>
        <v>12139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5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87975</v>
      </c>
      <c r="G130">
        <v>52902</v>
      </c>
    </row>
    <row r="131" spans="5:16">
      <c r="E131" s="1" t="s">
        <v>118</v>
      </c>
      <c r="F131">
        <v>17740</v>
      </c>
      <c r="G131">
        <v>7567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105715</v>
      </c>
      <c r="G140" s="7">
        <f t="shared" ref="G140:O140" si="20">IF(G4=$BF$1,"",G130+G131+G132+G133+G134+G135+G136+G139)</f>
        <v>60469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694</v>
      </c>
      <c r="G142" s="38">
        <v>702</v>
      </c>
      <c r="P142" s="46" t="s">
        <v>518</v>
      </c>
    </row>
    <row r="143" spans="5:16">
      <c r="E143" s="1" t="s">
        <v>125</v>
      </c>
      <c r="F143" s="38">
        <v>160</v>
      </c>
      <c r="G143" s="38">
        <v>254</v>
      </c>
      <c r="P143" s="46" t="s">
        <v>518</v>
      </c>
    </row>
    <row r="144" spans="5:16">
      <c r="E144" s="1" t="s">
        <v>126</v>
      </c>
      <c r="F144"/>
      <c r="G144"/>
      <c r="P144" s="46" t="s">
        <v>519</v>
      </c>
    </row>
    <row r="145" spans="5:16">
      <c r="E145" s="6" t="s">
        <v>127</v>
      </c>
      <c r="F145" s="7">
        <f>F141+F142+F143+F144</f>
        <v>854</v>
      </c>
      <c r="G145" s="7">
        <f t="shared" ref="G145:O145" si="21">IF(G4=$BF$1,"",G141+G142+G143+G144)</f>
        <v>956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5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1024</v>
      </c>
      <c r="G154">
        <v>455</v>
      </c>
    </row>
    <row r="155" spans="5:16">
      <c r="E155" s="1" t="s">
        <v>135</v>
      </c>
    </row>
    <row r="156" spans="5:16">
      <c r="E156" s="12" t="s">
        <v>136</v>
      </c>
      <c r="F156" s="38">
        <v>352</v>
      </c>
      <c r="G156" s="38">
        <v>0</v>
      </c>
      <c r="P156" s="46" t="s">
        <v>518</v>
      </c>
    </row>
    <row r="157" spans="5:16">
      <c r="E157" s="12" t="s">
        <v>137</v>
      </c>
      <c r="F157">
        <v>49</v>
      </c>
      <c r="G157">
        <v>1533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1425</v>
      </c>
      <c r="G160" s="7">
        <f>IF(G4=$BF$1,"",G146+G147+G148+G149+G150+G151+G152+G153+G154+G155+G156+G157+G158+G159)</f>
        <v>1988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107994</v>
      </c>
      <c r="G161" s="7">
        <f t="shared" ref="G161:O161" si="22">IF(G4=$BF$1,"",G140+G145+G160)</f>
        <v>63413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5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2" t="s">
        <v>146</v>
      </c>
      <c r="F167">
        <v>8611</v>
      </c>
      <c r="G167">
        <v>7727</v>
      </c>
      <c r="P167" s="46" t="s">
        <v>510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/>
      <c r="G172"/>
      <c r="P172" s="46" t="s">
        <v>519</v>
      </c>
    </row>
    <row r="173" spans="5:16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 s="38">
        <f>2070+4540</f>
        <v>6610</v>
      </c>
      <c r="G184" s="38">
        <f>1424+3543</f>
        <v>4967</v>
      </c>
      <c r="P184" s="46" t="s">
        <v>518</v>
      </c>
    </row>
    <row r="185" spans="5:16">
      <c r="E185" s="12" t="s">
        <v>162</v>
      </c>
      <c r="F185">
        <v>315</v>
      </c>
      <c r="G185">
        <v>362</v>
      </c>
      <c r="P185" s="46" t="s">
        <v>510</v>
      </c>
    </row>
    <row r="187" spans="5:16">
      <c r="E187" s="1" t="s">
        <v>163</v>
      </c>
      <c r="F187">
        <v>392</v>
      </c>
      <c r="G187">
        <v>604</v>
      </c>
      <c r="P187" s="46" t="s">
        <v>510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15928</v>
      </c>
      <c r="G189" s="7">
        <f t="shared" ref="G189:O189" si="23">IF(G4=$BF$1,"",SUM(G163:G188))</f>
        <v>13660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5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2" t="s">
        <v>168</v>
      </c>
      <c r="F193" s="38">
        <v>3380</v>
      </c>
      <c r="G193" s="38">
        <v>11369</v>
      </c>
      <c r="P193" s="46" t="s">
        <v>518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  <c r="F197">
        <v>416</v>
      </c>
      <c r="G197">
        <v>378</v>
      </c>
      <c r="P197" s="46" t="s">
        <v>510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 s="38">
        <v>3148</v>
      </c>
      <c r="G206" s="38">
        <v>3463</v>
      </c>
      <c r="P206" s="46" t="s">
        <v>518</v>
      </c>
    </row>
    <row r="209" spans="5:16">
      <c r="E209" s="1" t="s">
        <v>180</v>
      </c>
      <c r="F209">
        <f>93287+121</f>
        <v>93408</v>
      </c>
      <c r="G209">
        <f>82984+207</f>
        <v>83191</v>
      </c>
      <c r="P209" s="46" t="s">
        <v>510</v>
      </c>
    </row>
    <row r="210" spans="5:16">
      <c r="E210" s="6" t="s">
        <v>14</v>
      </c>
      <c r="F210" s="7">
        <f>SUM(F191:F209)</f>
        <v>100352</v>
      </c>
      <c r="G210" s="7">
        <f t="shared" ref="G210:O210" si="24">IF(G4=$BF$1,"",SUM(G191:G209))</f>
        <v>98401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5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78+349194</f>
        <v>349272</v>
      </c>
      <c r="G212">
        <f>51+261310</f>
        <v>261361</v>
      </c>
      <c r="P212" s="46" t="s">
        <v>510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-345019</v>
      </c>
      <c r="G217">
        <v>-297870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4253</v>
      </c>
      <c r="G227" s="7">
        <f t="shared" ref="G227:O227" si="25">IF(G4=$BF$1,"",SUM(G212:G226))</f>
        <v>-36509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5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-47149</v>
      </c>
      <c r="G267">
        <v>-51508</v>
      </c>
      <c r="H267">
        <v>-184971</v>
      </c>
    </row>
    <row r="268" spans="5:15">
      <c r="E268" s="1" t="s">
        <v>233</v>
      </c>
    </row>
    <row r="269" spans="5:1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575</v>
      </c>
      <c r="G271">
        <v>1744</v>
      </c>
      <c r="H271">
        <v>2052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  <c r="F276">
        <v>0</v>
      </c>
      <c r="G276">
        <v>0</v>
      </c>
      <c r="H276">
        <v>0</v>
      </c>
    </row>
    <row r="277" spans="5:8" ht="25.5" customHeight="1">
      <c r="E277" s="1" t="s">
        <v>242</v>
      </c>
    </row>
    <row r="278" spans="5:8">
      <c r="E278" s="1" t="s">
        <v>243</v>
      </c>
      <c r="F278">
        <v>10954</v>
      </c>
      <c r="G278">
        <v>11986</v>
      </c>
      <c r="H278">
        <v>10259</v>
      </c>
    </row>
    <row r="279" spans="5:8">
      <c r="E279" s="1" t="s">
        <v>244</v>
      </c>
    </row>
    <row r="280" spans="5:8" ht="25.5" customHeight="1">
      <c r="E280" s="1" t="s">
        <v>245</v>
      </c>
      <c r="F280">
        <v>0</v>
      </c>
      <c r="G280">
        <v>12</v>
      </c>
      <c r="H280">
        <v>0</v>
      </c>
    </row>
    <row r="281" spans="5:8" ht="25.5" customHeight="1">
      <c r="E281" s="1" t="s">
        <v>246</v>
      </c>
    </row>
    <row r="284" spans="5:8">
      <c r="E284" s="1" t="s">
        <v>247</v>
      </c>
      <c r="F284">
        <v>2</v>
      </c>
      <c r="G284">
        <v>2</v>
      </c>
      <c r="H284">
        <v>-55</v>
      </c>
    </row>
    <row r="285" spans="5:8" ht="25.5">
      <c r="E285" s="1" t="s">
        <v>248</v>
      </c>
      <c r="F285">
        <v>5168</v>
      </c>
      <c r="G285">
        <v>18235</v>
      </c>
      <c r="H285">
        <v>4479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-490</v>
      </c>
      <c r="G288">
        <v>-361</v>
      </c>
      <c r="H288">
        <v>-757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16209</v>
      </c>
      <c r="G296" s="7">
        <f>IF(G4=$BF$1,"",G271+G272+G273+G274+G275+G276+G277+G278+G279+G280+G281+G282+G283+G284+G285+G286+G287+G288+G289+G290+G291+G292+G293+G294+G295)</f>
        <v>31618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-30940</v>
      </c>
      <c r="G297" s="7">
        <f t="shared" ref="G297:O297" si="27">IF(G4=$BF$1,"",MIN(F267,F268,F269)+F296)</f>
        <v>-30940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102</v>
      </c>
      <c r="G299">
        <v>1289</v>
      </c>
      <c r="H299">
        <v>-1688</v>
      </c>
    </row>
    <row r="300" spans="5:15" ht="25.5">
      <c r="E300" s="1" t="s">
        <v>262</v>
      </c>
    </row>
    <row r="301" spans="5:15" ht="25.5">
      <c r="E301" s="1" t="s">
        <v>263</v>
      </c>
      <c r="F301">
        <v>0</v>
      </c>
      <c r="G301">
        <v>-703</v>
      </c>
      <c r="H301">
        <v>0</v>
      </c>
    </row>
    <row r="302" spans="5:15" ht="25.5" customHeight="1">
      <c r="E302" s="1" t="s">
        <v>264</v>
      </c>
      <c r="F302">
        <v>-850</v>
      </c>
      <c r="G302">
        <v>175</v>
      </c>
      <c r="H302">
        <v>975</v>
      </c>
    </row>
    <row r="303" spans="5:15" ht="25.5">
      <c r="E303" s="1" t="s">
        <v>265</v>
      </c>
      <c r="F303">
        <v>1484</v>
      </c>
      <c r="G303">
        <v>4300</v>
      </c>
      <c r="H303">
        <v>-2547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-249</v>
      </c>
      <c r="G309">
        <v>-1</v>
      </c>
      <c r="H309">
        <v>787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458</v>
      </c>
      <c r="G315">
        <v>309</v>
      </c>
      <c r="H315">
        <v>-437</v>
      </c>
    </row>
    <row r="316" spans="5:15">
      <c r="E316" s="1" t="s">
        <v>276</v>
      </c>
    </row>
    <row r="317" spans="5:15">
      <c r="E317" s="1" t="s">
        <v>277</v>
      </c>
      <c r="F317">
        <v>922</v>
      </c>
      <c r="G317">
        <v>-1301</v>
      </c>
      <c r="H317">
        <v>639</v>
      </c>
    </row>
    <row r="318" spans="5:15" ht="25.5">
      <c r="E318" s="6" t="s">
        <v>278</v>
      </c>
      <c r="F318" s="7">
        <f>F299+F300+F301+F302+F303+F304+F305+F306+F307+F308+F309+F310+F311+F312+F313+F314+F315+F316+F317</f>
        <v>1867</v>
      </c>
      <c r="G318" s="7">
        <f>IF(G4=$BF$1,"",G299+G300+G301+G302+G303+G304+G305+G306+G307+G308+G309+G310+G311+G312+G313+G314+G315+G316+G317)</f>
        <v>4068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-29073</v>
      </c>
      <c r="G319" s="7">
        <f t="shared" ref="G319:O319" si="28">IF(G4=$BF$1,"",G297+G318)</f>
        <v>-26872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-29073</v>
      </c>
      <c r="G326" s="7">
        <f t="shared" ref="G326:O326" si="30">IF(G4=$BF$1,"",G325+G319)</f>
        <v>-26872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-409</v>
      </c>
      <c r="G328">
        <v>-2183</v>
      </c>
      <c r="H328">
        <v>-3188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  <c r="F331">
        <v>-30558</v>
      </c>
      <c r="G331">
        <v>-7565</v>
      </c>
      <c r="H331">
        <v>-996</v>
      </c>
    </row>
    <row r="332" spans="5:15">
      <c r="E332" s="12" t="s">
        <v>291</v>
      </c>
      <c r="F332">
        <v>20500</v>
      </c>
      <c r="G332">
        <v>0</v>
      </c>
      <c r="H332">
        <v>6525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>
      <c r="E337" s="6" t="s">
        <v>296</v>
      </c>
      <c r="F337" s="7">
        <f>SUM(F328:F336)</f>
        <v>-10467</v>
      </c>
      <c r="G337" s="7">
        <f>IF(G4=$BF$1,"",SUM(G328:G336))</f>
        <v>-9748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218128</v>
      </c>
      <c r="G339">
        <v>16446</v>
      </c>
      <c r="H339">
        <v>179</v>
      </c>
    </row>
    <row r="340" spans="5:15">
      <c r="E340" s="1" t="s">
        <v>299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-7718</v>
      </c>
      <c r="G343">
        <v>-3514</v>
      </c>
      <c r="H343">
        <v>0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182360</v>
      </c>
      <c r="G349">
        <v>71</v>
      </c>
      <c r="H349">
        <v>-205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392770</v>
      </c>
      <c r="G352" s="7">
        <f>IF(G4=$BF$1,"",SUM(G339:G351))</f>
        <v>13003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353230</v>
      </c>
      <c r="G353" s="7">
        <f t="shared" ref="G353:O353" si="33">IF(G4=$BF$1,"",G326+G337+G352)</f>
        <v>-23617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353230</v>
      </c>
      <c r="G355" s="7">
        <f t="shared" ref="G355:O355" si="34">IF(G4=$BF$1,"",G353+G354)</f>
        <v>-23617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0</v>
      </c>
      <c r="G356">
        <v>0</v>
      </c>
      <c r="H356">
        <v>0</v>
      </c>
    </row>
    <row r="357" spans="5:15">
      <c r="E357" s="6" t="s">
        <v>316</v>
      </c>
      <c r="F357" s="7">
        <f>F355+F356</f>
        <v>353230</v>
      </c>
      <c r="G357" s="7">
        <f t="shared" ref="G357:O357" si="35">IF(G4=$BF$1,"",G355+G356)</f>
        <v>-23617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-0.73095684803001881</v>
      </c>
      <c r="G364" s="24">
        <f t="shared" si="37"/>
        <v>-0.26765594943665844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-8.4627630659315056E-2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0.59536478187208808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-0.8484425848442585</v>
      </c>
      <c r="G369" s="27">
        <f t="shared" si="41"/>
        <v>-0.33320825515947466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-16.609483960948396</v>
      </c>
      <c r="G370" s="27">
        <f t="shared" si="42"/>
        <v>-4.8382739212007504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-21.91957229195723</v>
      </c>
      <c r="G371" s="28">
        <f t="shared" si="43"/>
        <v>-6.442526579111945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-0.39117088266283923</v>
      </c>
      <c r="G372" s="27">
        <f t="shared" si="44"/>
        <v>-0.68175561202880131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-11.086056901011052</v>
      </c>
      <c r="G373" s="27">
        <f t="shared" si="45"/>
        <v>1.4108302062505136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0.96471505728721596</v>
      </c>
      <c r="G376" s="30">
        <f t="shared" si="47"/>
        <v>1.4832300931808555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27.340700681871621</v>
      </c>
      <c r="G377" s="30">
        <f t="shared" si="48"/>
        <v>-3.0694075433454766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-2.8449593884376494</v>
      </c>
      <c r="G378" s="30">
        <f t="shared" si="49"/>
        <v>-2.7557170335541783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6.7801356102461074</v>
      </c>
      <c r="G382" s="32">
        <f t="shared" si="51"/>
        <v>4.6422401171303074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6.7265193370165743</v>
      </c>
      <c r="G383" s="32">
        <f t="shared" si="52"/>
        <v>4.5722547584187412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6.6370542440984428</v>
      </c>
      <c r="G384" s="32">
        <f t="shared" si="53"/>
        <v>4.4267203513909221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-1.8252762430939227</v>
      </c>
      <c r="G385" s="32">
        <f t="shared" si="54"/>
        <v>-1.9672035139092241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87975</v>
      </c>
      <c r="G418" s="17">
        <f>G130-G417</f>
        <v>52902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="110" zoomScaleNormal="110" workbookViewId="0"/>
  </sheetViews>
  <sheetFormatPr defaultRowHeight="12.75"/>
  <cols>
    <col min="1" max="2" width="33.7109375" customWidth="1"/>
    <col min="3" max="3" width="9.42578125" style="43" customWidth="1"/>
    <col min="4" max="4" width="15.28515625" bestFit="1" customWidth="1"/>
    <col min="5" max="5" width="14.7109375" customWidth="1"/>
  </cols>
  <sheetData>
    <row r="1" spans="1:5" ht="33.75" customHeight="1">
      <c r="A1" s="39" t="s">
        <v>505</v>
      </c>
      <c r="B1" s="39" t="s">
        <v>506</v>
      </c>
      <c r="C1" s="39" t="s">
        <v>507</v>
      </c>
      <c r="D1" s="39" t="s">
        <v>508</v>
      </c>
      <c r="E1" s="40"/>
    </row>
    <row r="2" spans="1:5">
      <c r="A2" s="40" t="s">
        <v>513</v>
      </c>
      <c r="B2" s="40" t="s">
        <v>511</v>
      </c>
      <c r="C2" s="41">
        <v>1</v>
      </c>
      <c r="D2" s="40" t="s">
        <v>509</v>
      </c>
      <c r="E2" s="40"/>
    </row>
    <row r="3" spans="1:5">
      <c r="A3" s="40" t="s">
        <v>512</v>
      </c>
      <c r="B3" s="40" t="s">
        <v>511</v>
      </c>
      <c r="C3" s="42">
        <v>1</v>
      </c>
      <c r="D3" s="40" t="s">
        <v>509</v>
      </c>
    </row>
    <row r="4" spans="1:5">
      <c r="A4" s="40" t="s">
        <v>515</v>
      </c>
      <c r="B4" s="40" t="s">
        <v>51</v>
      </c>
      <c r="C4" s="42">
        <v>0</v>
      </c>
      <c r="D4" s="40" t="s">
        <v>509</v>
      </c>
    </row>
    <row r="5" spans="1:5">
      <c r="A5" s="40" t="s">
        <v>514</v>
      </c>
      <c r="B5" s="40" t="s">
        <v>51</v>
      </c>
      <c r="C5" s="42">
        <v>0</v>
      </c>
      <c r="D5" s="40" t="s">
        <v>509</v>
      </c>
    </row>
    <row r="6" spans="1:5">
      <c r="A6" s="40" t="s">
        <v>516</v>
      </c>
      <c r="B6" s="40" t="s">
        <v>517</v>
      </c>
      <c r="C6" s="42">
        <v>1</v>
      </c>
      <c r="D6" s="40" t="s">
        <v>509</v>
      </c>
    </row>
    <row r="7" spans="1:5">
      <c r="A7" s="40" t="s">
        <v>520</v>
      </c>
      <c r="B7" s="40" t="s">
        <v>73</v>
      </c>
      <c r="C7" s="42">
        <v>1</v>
      </c>
      <c r="D7" s="40" t="s">
        <v>509</v>
      </c>
    </row>
    <row r="8" spans="1:5">
      <c r="A8" s="40" t="s">
        <v>521</v>
      </c>
      <c r="B8" s="40" t="s">
        <v>536</v>
      </c>
      <c r="C8" s="42">
        <v>1</v>
      </c>
      <c r="D8" s="40" t="s">
        <v>509</v>
      </c>
    </row>
    <row r="9" spans="1:5">
      <c r="A9" s="40" t="s">
        <v>522</v>
      </c>
      <c r="B9" s="40" t="s">
        <v>535</v>
      </c>
      <c r="C9" s="42">
        <v>1</v>
      </c>
      <c r="D9" s="40" t="s">
        <v>509</v>
      </c>
    </row>
    <row r="10" spans="1:5">
      <c r="A10" s="40" t="s">
        <v>523</v>
      </c>
      <c r="B10" s="40" t="s">
        <v>532</v>
      </c>
      <c r="C10" s="42">
        <v>1</v>
      </c>
      <c r="D10" s="40" t="s">
        <v>509</v>
      </c>
    </row>
    <row r="11" spans="1:5">
      <c r="A11" s="40" t="s">
        <v>524</v>
      </c>
      <c r="B11" s="40" t="s">
        <v>534</v>
      </c>
      <c r="C11" s="42">
        <v>1</v>
      </c>
      <c r="D11" s="40" t="s">
        <v>509</v>
      </c>
    </row>
    <row r="12" spans="1:5">
      <c r="A12" s="40" t="s">
        <v>525</v>
      </c>
      <c r="B12" s="40" t="s">
        <v>532</v>
      </c>
      <c r="C12" s="42">
        <v>1</v>
      </c>
      <c r="D12" s="40" t="s">
        <v>509</v>
      </c>
    </row>
    <row r="13" spans="1:5">
      <c r="A13" s="40" t="s">
        <v>526</v>
      </c>
      <c r="B13" s="40" t="s">
        <v>533</v>
      </c>
      <c r="C13" s="42">
        <v>1</v>
      </c>
      <c r="D13" s="40" t="s">
        <v>509</v>
      </c>
    </row>
    <row r="14" spans="1:5">
      <c r="A14" s="40" t="s">
        <v>527</v>
      </c>
      <c r="B14" s="40" t="s">
        <v>532</v>
      </c>
      <c r="C14" s="42">
        <v>1</v>
      </c>
      <c r="D14" s="40" t="s">
        <v>509</v>
      </c>
    </row>
    <row r="15" spans="1:5">
      <c r="A15" s="40" t="s">
        <v>528</v>
      </c>
      <c r="B15" s="40" t="s">
        <v>531</v>
      </c>
      <c r="C15" s="42">
        <v>1</v>
      </c>
      <c r="D15" s="40" t="s">
        <v>509</v>
      </c>
    </row>
    <row r="16" spans="1:5">
      <c r="A16" s="40" t="s">
        <v>529</v>
      </c>
      <c r="B16" s="40" t="s">
        <v>530</v>
      </c>
      <c r="C16" s="42">
        <v>1</v>
      </c>
      <c r="D16" s="40" t="s">
        <v>509</v>
      </c>
    </row>
    <row r="17" spans="1:4">
      <c r="A17" s="40" t="s">
        <v>538</v>
      </c>
      <c r="B17" s="40" t="s">
        <v>537</v>
      </c>
      <c r="C17" s="42">
        <v>1</v>
      </c>
      <c r="D17" s="40" t="s">
        <v>509</v>
      </c>
    </row>
    <row r="18" spans="1:4">
      <c r="A18" s="40" t="s">
        <v>539</v>
      </c>
      <c r="B18" s="40" t="s">
        <v>112</v>
      </c>
      <c r="C18" s="42">
        <v>1</v>
      </c>
      <c r="D18" s="40" t="s">
        <v>509</v>
      </c>
    </row>
    <row r="19" spans="1:4">
      <c r="A19" s="40" t="s">
        <v>540</v>
      </c>
      <c r="B19" s="40" t="s">
        <v>113</v>
      </c>
      <c r="C19" s="42">
        <v>1</v>
      </c>
      <c r="D19" s="40" t="s">
        <v>509</v>
      </c>
    </row>
    <row r="20" spans="1:4">
      <c r="A20" s="40" t="s">
        <v>541</v>
      </c>
      <c r="B20" s="40" t="s">
        <v>161</v>
      </c>
      <c r="C20" s="42">
        <v>1</v>
      </c>
      <c r="D20" s="40" t="s">
        <v>509</v>
      </c>
    </row>
    <row r="21" spans="1:4">
      <c r="A21" s="40" t="s">
        <v>542</v>
      </c>
      <c r="B21" t="s">
        <v>161</v>
      </c>
      <c r="C21" s="42">
        <v>1</v>
      </c>
      <c r="D21" s="40" t="s">
        <v>509</v>
      </c>
    </row>
    <row r="22" spans="1:4">
      <c r="A22" s="40" t="s">
        <v>543</v>
      </c>
      <c r="B22" t="s">
        <v>146</v>
      </c>
      <c r="C22" s="42">
        <v>1</v>
      </c>
      <c r="D22" s="40" t="s">
        <v>509</v>
      </c>
    </row>
    <row r="23" spans="1:4">
      <c r="A23" s="40" t="s">
        <v>544</v>
      </c>
      <c r="B23" t="s">
        <v>162</v>
      </c>
      <c r="C23" s="42">
        <v>1</v>
      </c>
      <c r="D23" s="40" t="s">
        <v>509</v>
      </c>
    </row>
    <row r="24" spans="1:4">
      <c r="A24" s="40" t="s">
        <v>546</v>
      </c>
      <c r="B24" s="40" t="s">
        <v>545</v>
      </c>
      <c r="C24" s="42">
        <v>1</v>
      </c>
      <c r="D24" s="40" t="s">
        <v>509</v>
      </c>
    </row>
    <row r="25" spans="1:4">
      <c r="A25" s="40" t="s">
        <v>548</v>
      </c>
      <c r="B25" s="40" t="s">
        <v>547</v>
      </c>
      <c r="C25" s="42">
        <v>1</v>
      </c>
      <c r="D25" s="40" t="s">
        <v>509</v>
      </c>
    </row>
    <row r="26" spans="1:4">
      <c r="A26" s="40" t="s">
        <v>549</v>
      </c>
      <c r="B26" t="s">
        <v>168</v>
      </c>
      <c r="C26" s="42">
        <v>1</v>
      </c>
      <c r="D26" s="40" t="s">
        <v>509</v>
      </c>
    </row>
    <row r="27" spans="1:4">
      <c r="A27" s="40" t="s">
        <v>551</v>
      </c>
      <c r="B27" s="40" t="s">
        <v>550</v>
      </c>
      <c r="C27" s="42">
        <v>1</v>
      </c>
      <c r="D27" s="40" t="s">
        <v>509</v>
      </c>
    </row>
    <row r="28" spans="1:4">
      <c r="A28" s="40" t="s">
        <v>554</v>
      </c>
      <c r="B28" s="40" t="s">
        <v>552</v>
      </c>
      <c r="C28" s="42">
        <v>1</v>
      </c>
      <c r="D28" s="40" t="s">
        <v>509</v>
      </c>
    </row>
    <row r="29" spans="1:4">
      <c r="A29" s="40" t="s">
        <v>553</v>
      </c>
      <c r="B29" s="40" t="s">
        <v>552</v>
      </c>
      <c r="C29" s="42">
        <v>1</v>
      </c>
      <c r="D29" s="40" t="s">
        <v>509</v>
      </c>
    </row>
    <row r="30" spans="1:4">
      <c r="A30" s="40" t="s">
        <v>557</v>
      </c>
      <c r="B30" s="40" t="s">
        <v>555</v>
      </c>
      <c r="C30" s="42">
        <v>1</v>
      </c>
      <c r="D30" s="40" t="s">
        <v>509</v>
      </c>
    </row>
    <row r="31" spans="1:4">
      <c r="A31" s="40" t="s">
        <v>556</v>
      </c>
      <c r="B31" s="40" t="s">
        <v>555</v>
      </c>
      <c r="C31" s="42">
        <v>1</v>
      </c>
      <c r="D31" s="40" t="s">
        <v>509</v>
      </c>
    </row>
    <row r="32" spans="1:4">
      <c r="C32" s="42"/>
      <c r="D32" s="40"/>
    </row>
    <row r="33" spans="3:4">
      <c r="C33" s="42"/>
      <c r="D33" s="40"/>
    </row>
    <row r="34" spans="3:4">
      <c r="C34" s="42"/>
      <c r="D34" s="40"/>
    </row>
    <row r="35" spans="3:4">
      <c r="C35" s="42"/>
      <c r="D35" s="40"/>
    </row>
    <row r="36" spans="3:4">
      <c r="C36" s="42"/>
      <c r="D36" s="40"/>
    </row>
    <row r="37" spans="3:4">
      <c r="C37" s="42"/>
      <c r="D37" s="40"/>
    </row>
    <row r="38" spans="3:4">
      <c r="C38" s="42"/>
      <c r="D38" s="40"/>
    </row>
    <row r="39" spans="3:4">
      <c r="C39" s="42"/>
      <c r="D39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9" workbookViewId="0">
      <selection activeCell="A26" sqref="A26"/>
    </sheetView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31</v>
      </c>
      <c r="F2">
        <v>31</v>
      </c>
    </row>
    <row r="3" spans="1:6">
      <c r="E3">
        <v>2018</v>
      </c>
      <c r="F3">
        <v>2017</v>
      </c>
    </row>
    <row r="4" spans="1:6">
      <c r="A4" t="s">
        <v>375</v>
      </c>
    </row>
    <row r="5" spans="1:6">
      <c r="A5" t="s">
        <v>376</v>
      </c>
      <c r="B5" t="s">
        <v>116</v>
      </c>
      <c r="C5" t="s">
        <v>116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87975</v>
      </c>
      <c r="F6">
        <v>52902</v>
      </c>
    </row>
    <row r="7" spans="1:6">
      <c r="A7" t="s">
        <v>378</v>
      </c>
      <c r="B7" t="s">
        <v>118</v>
      </c>
      <c r="C7" t="s">
        <v>118</v>
      </c>
      <c r="D7" t="s">
        <v>116</v>
      </c>
      <c r="E7">
        <v>17740</v>
      </c>
      <c r="F7">
        <v>7567</v>
      </c>
    </row>
    <row r="8" spans="1:6">
      <c r="A8" t="s">
        <v>379</v>
      </c>
      <c r="B8" t="s">
        <v>352</v>
      </c>
      <c r="C8" t="s">
        <v>137</v>
      </c>
      <c r="D8" t="s">
        <v>116</v>
      </c>
      <c r="E8">
        <v>49</v>
      </c>
      <c r="F8">
        <v>1533</v>
      </c>
    </row>
    <row r="9" spans="1:6">
      <c r="A9" t="s">
        <v>380</v>
      </c>
      <c r="B9" t="s">
        <v>97</v>
      </c>
      <c r="C9" t="s">
        <v>97</v>
      </c>
      <c r="D9" t="s">
        <v>116</v>
      </c>
      <c r="E9">
        <v>352</v>
      </c>
    </row>
    <row r="10" spans="1:6">
      <c r="A10" t="s">
        <v>381</v>
      </c>
      <c r="B10" t="s">
        <v>126</v>
      </c>
      <c r="C10" t="s">
        <v>126</v>
      </c>
      <c r="D10" t="s">
        <v>116</v>
      </c>
      <c r="E10">
        <v>854</v>
      </c>
      <c r="F10">
        <v>956</v>
      </c>
    </row>
    <row r="11" spans="1:6">
      <c r="A11" t="s">
        <v>382</v>
      </c>
      <c r="B11" t="s">
        <v>134</v>
      </c>
      <c r="C11" t="s">
        <v>134</v>
      </c>
      <c r="D11" t="s">
        <v>116</v>
      </c>
      <c r="E11">
        <v>1024</v>
      </c>
      <c r="F11">
        <v>455</v>
      </c>
    </row>
    <row r="12" spans="1:6">
      <c r="A12" t="s">
        <v>383</v>
      </c>
      <c r="B12" t="s">
        <v>12</v>
      </c>
      <c r="C12" t="s">
        <v>12</v>
      </c>
      <c r="D12" t="s">
        <v>116</v>
      </c>
      <c r="E12">
        <v>107994</v>
      </c>
      <c r="F12">
        <v>63413</v>
      </c>
    </row>
    <row r="13" spans="1:6">
      <c r="A13" t="s">
        <v>384</v>
      </c>
      <c r="B13" t="s">
        <v>385</v>
      </c>
      <c r="C13" t="s">
        <v>84</v>
      </c>
      <c r="D13" t="s">
        <v>80</v>
      </c>
      <c r="E13">
        <v>11483</v>
      </c>
      <c r="F13">
        <v>11051</v>
      </c>
    </row>
    <row r="14" spans="1:6">
      <c r="A14" t="s">
        <v>386</v>
      </c>
      <c r="B14" t="s">
        <v>113</v>
      </c>
      <c r="C14" t="s">
        <v>113</v>
      </c>
      <c r="D14" t="s">
        <v>80</v>
      </c>
      <c r="E14">
        <v>178</v>
      </c>
      <c r="F14">
        <v>178</v>
      </c>
    </row>
    <row r="15" spans="1:6">
      <c r="A15" t="s">
        <v>387</v>
      </c>
      <c r="B15" t="s">
        <v>100</v>
      </c>
      <c r="C15" t="s">
        <v>100</v>
      </c>
      <c r="D15" t="s">
        <v>80</v>
      </c>
      <c r="E15">
        <v>351</v>
      </c>
      <c r="F15">
        <v>703</v>
      </c>
    </row>
    <row r="16" spans="1:6">
      <c r="A16" t="s">
        <v>388</v>
      </c>
      <c r="B16" t="s">
        <v>113</v>
      </c>
      <c r="C16" t="s">
        <v>113</v>
      </c>
      <c r="D16" t="s">
        <v>80</v>
      </c>
      <c r="E16">
        <v>527</v>
      </c>
      <c r="F16">
        <v>207</v>
      </c>
    </row>
    <row r="17" spans="1:6">
      <c r="A17" t="s">
        <v>16</v>
      </c>
      <c r="D17" t="s">
        <v>80</v>
      </c>
      <c r="E17">
        <v>120533</v>
      </c>
      <c r="F17">
        <v>75552</v>
      </c>
    </row>
    <row r="18" spans="1:6">
      <c r="A18" t="s">
        <v>389</v>
      </c>
      <c r="D18" t="s">
        <v>80</v>
      </c>
    </row>
    <row r="19" spans="1:6">
      <c r="A19" t="s">
        <v>390</v>
      </c>
      <c r="B19" t="s">
        <v>141</v>
      </c>
      <c r="C19" t="s">
        <v>141</v>
      </c>
      <c r="D19" t="s">
        <v>141</v>
      </c>
    </row>
    <row r="20" spans="1:6">
      <c r="A20" t="s">
        <v>391</v>
      </c>
      <c r="B20" t="s">
        <v>391</v>
      </c>
      <c r="C20" t="s">
        <v>163</v>
      </c>
      <c r="D20" t="s">
        <v>141</v>
      </c>
      <c r="E20">
        <v>2070</v>
      </c>
      <c r="F20">
        <v>1424</v>
      </c>
    </row>
    <row r="21" spans="1:6">
      <c r="A21" t="s">
        <v>392</v>
      </c>
      <c r="B21" t="s">
        <v>151</v>
      </c>
      <c r="C21" t="s">
        <v>151</v>
      </c>
      <c r="D21" t="s">
        <v>141</v>
      </c>
      <c r="E21">
        <v>4540</v>
      </c>
      <c r="F21">
        <v>3543</v>
      </c>
    </row>
    <row r="22" spans="1:6">
      <c r="A22" t="s">
        <v>393</v>
      </c>
      <c r="B22" t="s">
        <v>146</v>
      </c>
      <c r="C22" t="s">
        <v>146</v>
      </c>
      <c r="D22" t="s">
        <v>141</v>
      </c>
      <c r="E22">
        <v>8611</v>
      </c>
      <c r="F22">
        <v>7727</v>
      </c>
    </row>
    <row r="23" spans="1:6">
      <c r="A23" t="s">
        <v>394</v>
      </c>
      <c r="B23" t="s">
        <v>395</v>
      </c>
      <c r="C23" t="s">
        <v>162</v>
      </c>
      <c r="D23" t="s">
        <v>141</v>
      </c>
      <c r="E23">
        <v>315</v>
      </c>
      <c r="F23">
        <v>362</v>
      </c>
    </row>
    <row r="24" spans="1:6">
      <c r="A24" t="s">
        <v>396</v>
      </c>
      <c r="B24" t="s">
        <v>163</v>
      </c>
      <c r="C24" t="s">
        <v>163</v>
      </c>
      <c r="D24" t="s">
        <v>141</v>
      </c>
      <c r="E24">
        <v>392</v>
      </c>
      <c r="F24">
        <v>604</v>
      </c>
    </row>
    <row r="25" spans="1:6">
      <c r="A25" t="s">
        <v>397</v>
      </c>
      <c r="B25" t="s">
        <v>13</v>
      </c>
      <c r="C25" t="s">
        <v>13</v>
      </c>
      <c r="D25" t="s">
        <v>141</v>
      </c>
      <c r="E25">
        <v>15928</v>
      </c>
      <c r="F25">
        <v>13660</v>
      </c>
    </row>
    <row r="26" spans="1:6">
      <c r="A26" t="s">
        <v>398</v>
      </c>
      <c r="B26" t="s">
        <v>172</v>
      </c>
      <c r="C26" t="s">
        <v>172</v>
      </c>
      <c r="D26" t="s">
        <v>165</v>
      </c>
      <c r="E26">
        <v>416</v>
      </c>
      <c r="F26">
        <v>378</v>
      </c>
    </row>
    <row r="27" spans="1:6">
      <c r="A27" t="s">
        <v>399</v>
      </c>
      <c r="B27" t="s">
        <v>146</v>
      </c>
      <c r="C27" t="s">
        <v>146</v>
      </c>
      <c r="D27" t="s">
        <v>141</v>
      </c>
      <c r="E27">
        <v>3380</v>
      </c>
      <c r="F27">
        <v>11369</v>
      </c>
    </row>
    <row r="28" spans="1:6">
      <c r="A28" t="s">
        <v>400</v>
      </c>
      <c r="B28" t="s">
        <v>172</v>
      </c>
      <c r="C28" t="s">
        <v>172</v>
      </c>
      <c r="D28" t="s">
        <v>165</v>
      </c>
      <c r="E28">
        <v>3148</v>
      </c>
      <c r="F28">
        <v>3463</v>
      </c>
    </row>
    <row r="29" spans="1:6">
      <c r="A29" t="s">
        <v>401</v>
      </c>
      <c r="B29" t="s">
        <v>180</v>
      </c>
      <c r="C29" t="s">
        <v>180</v>
      </c>
      <c r="D29" t="s">
        <v>165</v>
      </c>
      <c r="E29">
        <v>93287</v>
      </c>
      <c r="F29">
        <v>82984</v>
      </c>
    </row>
    <row r="30" spans="1:6">
      <c r="A30" t="s">
        <v>402</v>
      </c>
      <c r="B30" t="s">
        <v>180</v>
      </c>
      <c r="C30" t="s">
        <v>180</v>
      </c>
      <c r="D30" t="s">
        <v>165</v>
      </c>
      <c r="E30">
        <v>121</v>
      </c>
      <c r="F30">
        <v>207</v>
      </c>
    </row>
    <row r="31" spans="1:6">
      <c r="A31" t="s">
        <v>403</v>
      </c>
      <c r="B31" t="s">
        <v>164</v>
      </c>
      <c r="C31" t="s">
        <v>164</v>
      </c>
      <c r="D31" t="s">
        <v>165</v>
      </c>
      <c r="E31">
        <v>116280</v>
      </c>
      <c r="F31">
        <v>112061</v>
      </c>
    </row>
    <row r="32" spans="1:6">
      <c r="A32" t="s">
        <v>404</v>
      </c>
      <c r="B32" t="s">
        <v>180</v>
      </c>
      <c r="C32" t="s">
        <v>180</v>
      </c>
      <c r="D32" t="s">
        <v>165</v>
      </c>
    </row>
    <row r="33" spans="1:6">
      <c r="A33" t="s">
        <v>405</v>
      </c>
      <c r="D33" t="s">
        <v>165</v>
      </c>
    </row>
    <row r="34" spans="1:6">
      <c r="A34" t="s">
        <v>406</v>
      </c>
      <c r="B34" t="s">
        <v>182</v>
      </c>
      <c r="C34" t="s">
        <v>182</v>
      </c>
      <c r="D34" t="s">
        <v>181</v>
      </c>
    </row>
    <row r="35" spans="1:6">
      <c r="A35" t="s">
        <v>407</v>
      </c>
      <c r="D35" t="s">
        <v>181</v>
      </c>
      <c r="E35">
        <v>78</v>
      </c>
      <c r="F35">
        <v>51</v>
      </c>
    </row>
    <row r="36" spans="1:6">
      <c r="A36" t="s">
        <v>408</v>
      </c>
      <c r="B36" t="s">
        <v>182</v>
      </c>
      <c r="C36" t="s">
        <v>182</v>
      </c>
      <c r="D36" t="s">
        <v>181</v>
      </c>
      <c r="E36">
        <v>349194</v>
      </c>
      <c r="F36">
        <v>261310</v>
      </c>
    </row>
    <row r="37" spans="1:6">
      <c r="A37" t="s">
        <v>409</v>
      </c>
      <c r="B37" t="s">
        <v>187</v>
      </c>
      <c r="C37" t="s">
        <v>187</v>
      </c>
      <c r="D37" t="s">
        <v>181</v>
      </c>
      <c r="E37">
        <v>-345019</v>
      </c>
      <c r="F37">
        <v>-297870</v>
      </c>
    </row>
    <row r="38" spans="1:6">
      <c r="A38" t="s">
        <v>410</v>
      </c>
      <c r="D38" t="s">
        <v>181</v>
      </c>
      <c r="E38">
        <v>4253</v>
      </c>
      <c r="F38">
        <v>-36509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/>
  </sheetViews>
  <sheetFormatPr defaultRowHeight="12.75"/>
  <cols>
    <col min="1" max="4" width="25.7109375" customWidth="1"/>
  </cols>
  <sheetData>
    <row r="2" spans="1:7">
      <c r="E2">
        <v>2018</v>
      </c>
      <c r="F2">
        <v>2017</v>
      </c>
      <c r="G2">
        <v>2016</v>
      </c>
    </row>
    <row r="3" spans="1:7">
      <c r="A3" t="s">
        <v>411</v>
      </c>
      <c r="B3" t="s">
        <v>412</v>
      </c>
      <c r="C3" t="s">
        <v>26</v>
      </c>
      <c r="D3" t="s">
        <v>412</v>
      </c>
    </row>
    <row r="4" spans="1:7">
      <c r="A4" t="s">
        <v>413</v>
      </c>
      <c r="D4" t="s">
        <v>412</v>
      </c>
      <c r="E4">
        <v>1313</v>
      </c>
      <c r="F4">
        <v>7143</v>
      </c>
      <c r="G4">
        <v>6440</v>
      </c>
    </row>
    <row r="5" spans="1:7">
      <c r="A5" t="s">
        <v>414</v>
      </c>
      <c r="B5" t="s">
        <v>412</v>
      </c>
      <c r="C5" t="s">
        <v>26</v>
      </c>
      <c r="D5" t="s">
        <v>412</v>
      </c>
      <c r="E5">
        <v>838</v>
      </c>
      <c r="F5">
        <v>852</v>
      </c>
      <c r="G5">
        <v>10917</v>
      </c>
    </row>
    <row r="6" spans="1:7">
      <c r="A6" t="s">
        <v>415</v>
      </c>
      <c r="B6" t="s">
        <v>416</v>
      </c>
      <c r="C6" t="s">
        <v>417</v>
      </c>
      <c r="D6" t="s">
        <v>412</v>
      </c>
      <c r="E6">
        <v>-2151</v>
      </c>
      <c r="F6">
        <v>-7995</v>
      </c>
      <c r="G6">
        <v>17357</v>
      </c>
    </row>
    <row r="7" spans="1:7">
      <c r="A7" t="s">
        <v>418</v>
      </c>
      <c r="B7" t="s">
        <v>38</v>
      </c>
      <c r="C7" t="s">
        <v>38</v>
      </c>
      <c r="D7" t="s">
        <v>412</v>
      </c>
    </row>
    <row r="8" spans="1:7">
      <c r="A8" t="s">
        <v>419</v>
      </c>
      <c r="B8" t="s">
        <v>27</v>
      </c>
      <c r="C8" t="s">
        <v>27</v>
      </c>
      <c r="D8" t="s">
        <v>412</v>
      </c>
      <c r="E8">
        <v>3976</v>
      </c>
      <c r="F8">
        <v>10659</v>
      </c>
      <c r="G8">
        <v>12315</v>
      </c>
    </row>
    <row r="9" spans="1:7">
      <c r="A9" t="s">
        <v>420</v>
      </c>
      <c r="B9" t="s">
        <v>37</v>
      </c>
      <c r="C9" t="s">
        <v>37</v>
      </c>
      <c r="D9" t="s">
        <v>412</v>
      </c>
      <c r="E9">
        <v>13137</v>
      </c>
      <c r="F9">
        <v>19409</v>
      </c>
      <c r="G9">
        <v>21402</v>
      </c>
    </row>
    <row r="10" spans="1:7">
      <c r="A10" t="s">
        <v>421</v>
      </c>
      <c r="B10" t="s">
        <v>36</v>
      </c>
      <c r="C10" t="s">
        <v>36</v>
      </c>
      <c r="D10" t="s">
        <v>412</v>
      </c>
      <c r="E10">
        <v>20765</v>
      </c>
      <c r="F10">
        <v>16609</v>
      </c>
      <c r="G10">
        <v>15597</v>
      </c>
    </row>
    <row r="11" spans="1:7">
      <c r="A11" t="s">
        <v>422</v>
      </c>
      <c r="B11" t="s">
        <v>45</v>
      </c>
      <c r="C11" t="s">
        <v>45</v>
      </c>
      <c r="D11" t="s">
        <v>412</v>
      </c>
      <c r="E11">
        <v>37878</v>
      </c>
      <c r="F11">
        <v>46677</v>
      </c>
      <c r="G11">
        <v>49314</v>
      </c>
    </row>
    <row r="12" spans="1:7">
      <c r="A12" t="s">
        <v>423</v>
      </c>
      <c r="B12" t="s">
        <v>424</v>
      </c>
      <c r="C12" t="s">
        <v>46</v>
      </c>
      <c r="D12" t="s">
        <v>412</v>
      </c>
      <c r="E12">
        <v>-35727</v>
      </c>
      <c r="F12">
        <v>-38682</v>
      </c>
      <c r="G12">
        <v>-31957</v>
      </c>
    </row>
    <row r="13" spans="1:7">
      <c r="A13" t="s">
        <v>425</v>
      </c>
      <c r="B13" t="s">
        <v>426</v>
      </c>
      <c r="C13" t="s">
        <v>58</v>
      </c>
      <c r="D13" t="s">
        <v>412</v>
      </c>
    </row>
    <row r="14" spans="1:7">
      <c r="A14" t="s">
        <v>427</v>
      </c>
      <c r="B14" t="s">
        <v>51</v>
      </c>
      <c r="C14" t="s">
        <v>51</v>
      </c>
      <c r="D14" t="s">
        <v>412</v>
      </c>
      <c r="E14">
        <v>-2217</v>
      </c>
      <c r="F14">
        <v>-3316</v>
      </c>
      <c r="G14">
        <v>-2770</v>
      </c>
    </row>
    <row r="15" spans="1:7">
      <c r="A15" t="s">
        <v>428</v>
      </c>
      <c r="B15" t="s">
        <v>429</v>
      </c>
      <c r="C15" t="s">
        <v>56</v>
      </c>
      <c r="D15" t="s">
        <v>412</v>
      </c>
      <c r="E15">
        <v>1138</v>
      </c>
      <c r="F15">
        <v>510</v>
      </c>
      <c r="G15">
        <v>918</v>
      </c>
    </row>
    <row r="16" spans="1:7">
      <c r="A16" t="s">
        <v>430</v>
      </c>
      <c r="B16" t="s">
        <v>51</v>
      </c>
      <c r="C16" t="s">
        <v>51</v>
      </c>
      <c r="D16" t="s">
        <v>412</v>
      </c>
      <c r="E16">
        <v>-10341</v>
      </c>
      <c r="F16">
        <v>-10721</v>
      </c>
      <c r="G16">
        <v>-9382</v>
      </c>
    </row>
    <row r="17" spans="1:7">
      <c r="A17" t="s">
        <v>431</v>
      </c>
      <c r="B17" t="s">
        <v>426</v>
      </c>
      <c r="C17" t="s">
        <v>58</v>
      </c>
      <c r="D17" t="s">
        <v>412</v>
      </c>
      <c r="E17">
        <v>-11420</v>
      </c>
      <c r="F17">
        <v>-13527</v>
      </c>
      <c r="G17">
        <v>-11234</v>
      </c>
    </row>
    <row r="18" spans="1:7">
      <c r="A18" t="s">
        <v>432</v>
      </c>
      <c r="B18" t="s">
        <v>433</v>
      </c>
      <c r="C18" t="s">
        <v>61</v>
      </c>
      <c r="D18" t="s">
        <v>412</v>
      </c>
      <c r="E18">
        <v>-47147</v>
      </c>
      <c r="F18">
        <v>-52209</v>
      </c>
      <c r="G18">
        <v>-43191</v>
      </c>
    </row>
    <row r="19" spans="1:7">
      <c r="A19" t="s">
        <v>434</v>
      </c>
      <c r="B19" t="s">
        <v>62</v>
      </c>
      <c r="C19" t="s">
        <v>62</v>
      </c>
      <c r="D19" t="s">
        <v>412</v>
      </c>
      <c r="E19">
        <v>2</v>
      </c>
      <c r="F19">
        <v>-701</v>
      </c>
      <c r="G19">
        <v>-34</v>
      </c>
    </row>
    <row r="20" spans="1:7">
      <c r="A20" t="s">
        <v>435</v>
      </c>
      <c r="B20" t="s">
        <v>66</v>
      </c>
      <c r="C20" t="s">
        <v>66</v>
      </c>
      <c r="D20" t="s">
        <v>412</v>
      </c>
      <c r="E20">
        <v>-47149</v>
      </c>
      <c r="F20">
        <v>-51508</v>
      </c>
      <c r="G20">
        <v>-43157</v>
      </c>
    </row>
    <row r="21" spans="1:7">
      <c r="A21" t="s">
        <v>436</v>
      </c>
      <c r="B21" t="s">
        <v>437</v>
      </c>
      <c r="C21" t="s">
        <v>437</v>
      </c>
      <c r="D21" t="s">
        <v>412</v>
      </c>
    </row>
    <row r="22" spans="1:7">
      <c r="A22" t="s">
        <v>438</v>
      </c>
      <c r="B22" t="s">
        <v>48</v>
      </c>
      <c r="C22" t="s">
        <v>48</v>
      </c>
      <c r="D22" t="s">
        <v>412</v>
      </c>
      <c r="F22">
        <v>-3</v>
      </c>
      <c r="G22">
        <v>4</v>
      </c>
    </row>
    <row r="23" spans="1:7">
      <c r="A23" t="s">
        <v>439</v>
      </c>
      <c r="B23" t="s">
        <v>440</v>
      </c>
      <c r="C23" t="s">
        <v>437</v>
      </c>
      <c r="D23" t="s">
        <v>412</v>
      </c>
      <c r="E23">
        <v>-47149</v>
      </c>
      <c r="F23">
        <v>-51511</v>
      </c>
      <c r="G23">
        <v>-43153</v>
      </c>
    </row>
    <row r="24" spans="1:7">
      <c r="A24" t="s">
        <v>441</v>
      </c>
      <c r="D24" t="s">
        <v>412</v>
      </c>
      <c r="E24">
        <v>-81</v>
      </c>
      <c r="F24">
        <v>-110</v>
      </c>
      <c r="G24">
        <v>-95</v>
      </c>
    </row>
    <row r="25" spans="1:7">
      <c r="A25" t="s">
        <v>442</v>
      </c>
      <c r="D25" t="s">
        <v>412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83"/>
  <sheetViews>
    <sheetView workbookViewId="0"/>
  </sheetViews>
  <sheetFormatPr defaultRowHeight="12.75"/>
  <cols>
    <col min="1" max="4" width="25.7109375" customWidth="1"/>
  </cols>
  <sheetData>
    <row r="6" spans="1:7">
      <c r="A6" t="s">
        <v>443</v>
      </c>
      <c r="E6">
        <v>45273772</v>
      </c>
      <c r="F6">
        <v>236274</v>
      </c>
      <c r="G6">
        <v>-203205</v>
      </c>
    </row>
    <row r="7" spans="1:7">
      <c r="A7" t="s">
        <v>444</v>
      </c>
      <c r="B7" t="s">
        <v>248</v>
      </c>
      <c r="C7" t="s">
        <v>248</v>
      </c>
      <c r="D7" t="s">
        <v>445</v>
      </c>
      <c r="F7">
        <v>4479</v>
      </c>
    </row>
    <row r="8" spans="1:7">
      <c r="A8" t="s">
        <v>446</v>
      </c>
      <c r="F8">
        <v>45</v>
      </c>
    </row>
    <row r="9" spans="1:7">
      <c r="A9" t="s">
        <v>447</v>
      </c>
      <c r="E9">
        <v>60018</v>
      </c>
      <c r="F9">
        <v>179</v>
      </c>
    </row>
    <row r="10" spans="1:7">
      <c r="A10" t="s">
        <v>448</v>
      </c>
    </row>
    <row r="11" spans="1:7">
      <c r="A11" t="s">
        <v>435</v>
      </c>
      <c r="B11" t="s">
        <v>232</v>
      </c>
      <c r="C11" t="s">
        <v>232</v>
      </c>
      <c r="D11" t="s">
        <v>445</v>
      </c>
      <c r="G11">
        <v>-43157</v>
      </c>
    </row>
    <row r="12" spans="1:7">
      <c r="A12" t="s">
        <v>449</v>
      </c>
      <c r="E12">
        <v>45333790</v>
      </c>
      <c r="F12">
        <v>240977</v>
      </c>
      <c r="G12">
        <v>-246362</v>
      </c>
    </row>
    <row r="13" spans="1:7">
      <c r="A13" t="s">
        <v>444</v>
      </c>
      <c r="B13" t="s">
        <v>248</v>
      </c>
      <c r="C13" t="s">
        <v>248</v>
      </c>
      <c r="D13" t="s">
        <v>445</v>
      </c>
      <c r="F13">
        <v>4294</v>
      </c>
    </row>
    <row r="14" spans="1:7">
      <c r="A14" t="s">
        <v>450</v>
      </c>
      <c r="B14" t="s">
        <v>298</v>
      </c>
      <c r="C14" t="s">
        <v>298</v>
      </c>
      <c r="D14" t="s">
        <v>451</v>
      </c>
    </row>
    <row r="15" spans="1:7">
      <c r="A15" t="s">
        <v>452</v>
      </c>
      <c r="E15">
        <v>5401099</v>
      </c>
      <c r="F15">
        <v>15688</v>
      </c>
    </row>
    <row r="16" spans="1:7">
      <c r="A16" t="s">
        <v>453</v>
      </c>
      <c r="B16" t="s">
        <v>298</v>
      </c>
      <c r="C16" t="s">
        <v>298</v>
      </c>
      <c r="E16">
        <v>69372</v>
      </c>
      <c r="F16">
        <v>105</v>
      </c>
    </row>
    <row r="17" spans="1:7">
      <c r="A17" t="s">
        <v>447</v>
      </c>
      <c r="E17">
        <v>94893</v>
      </c>
      <c r="F17">
        <v>246</v>
      </c>
    </row>
    <row r="18" spans="1:7">
      <c r="A18" t="s">
        <v>448</v>
      </c>
      <c r="B18" t="s">
        <v>241</v>
      </c>
      <c r="C18" t="s">
        <v>241</v>
      </c>
      <c r="D18" t="s">
        <v>445</v>
      </c>
    </row>
    <row r="19" spans="1:7">
      <c r="A19" t="s">
        <v>435</v>
      </c>
      <c r="B19" t="s">
        <v>232</v>
      </c>
      <c r="C19" t="s">
        <v>232</v>
      </c>
      <c r="D19" t="s">
        <v>445</v>
      </c>
      <c r="G19">
        <v>-51508</v>
      </c>
    </row>
    <row r="20" spans="1:7">
      <c r="A20" t="s">
        <v>454</v>
      </c>
      <c r="E20">
        <v>50899154</v>
      </c>
      <c r="F20">
        <v>261310</v>
      </c>
      <c r="G20">
        <v>-297870</v>
      </c>
    </row>
    <row r="21" spans="1:7">
      <c r="A21" t="s">
        <v>444</v>
      </c>
      <c r="B21" t="s">
        <v>248</v>
      </c>
      <c r="C21" t="s">
        <v>248</v>
      </c>
      <c r="D21" t="s">
        <v>445</v>
      </c>
      <c r="F21">
        <v>5168</v>
      </c>
    </row>
    <row r="22" spans="1:7">
      <c r="A22" t="s">
        <v>450</v>
      </c>
      <c r="B22" t="s">
        <v>298</v>
      </c>
      <c r="C22" t="s">
        <v>298</v>
      </c>
      <c r="D22" t="s">
        <v>451</v>
      </c>
    </row>
    <row r="23" spans="1:7">
      <c r="A23" t="s">
        <v>452</v>
      </c>
      <c r="E23">
        <v>27364301</v>
      </c>
      <c r="F23">
        <v>81498</v>
      </c>
    </row>
    <row r="24" spans="1:7">
      <c r="A24" t="s">
        <v>453</v>
      </c>
      <c r="B24" t="s">
        <v>298</v>
      </c>
      <c r="C24" t="s">
        <v>298</v>
      </c>
      <c r="D24" t="s">
        <v>451</v>
      </c>
      <c r="E24">
        <v>135385</v>
      </c>
      <c r="F24">
        <v>401</v>
      </c>
    </row>
    <row r="25" spans="1:7">
      <c r="A25" t="s">
        <v>455</v>
      </c>
      <c r="E25">
        <v>176730</v>
      </c>
      <c r="F25">
        <v>542</v>
      </c>
    </row>
    <row r="26" spans="1:7">
      <c r="A26" t="s">
        <v>447</v>
      </c>
      <c r="B26" t="s">
        <v>456</v>
      </c>
      <c r="C26" t="s">
        <v>456</v>
      </c>
      <c r="D26" t="s">
        <v>451</v>
      </c>
      <c r="E26">
        <v>182360</v>
      </c>
      <c r="F26">
        <v>275</v>
      </c>
    </row>
    <row r="27" spans="1:7">
      <c r="A27" t="s">
        <v>435</v>
      </c>
      <c r="B27" t="s">
        <v>232</v>
      </c>
      <c r="C27" t="s">
        <v>232</v>
      </c>
      <c r="D27" t="s">
        <v>445</v>
      </c>
      <c r="G27">
        <v>-47149</v>
      </c>
    </row>
    <row r="29" spans="1:7">
      <c r="E29">
        <v>2018</v>
      </c>
      <c r="F29">
        <v>2017</v>
      </c>
      <c r="G29">
        <v>2016</v>
      </c>
    </row>
    <row r="30" spans="1:7">
      <c r="A30" t="s">
        <v>457</v>
      </c>
      <c r="B30" t="s">
        <v>231</v>
      </c>
      <c r="C30" t="s">
        <v>231</v>
      </c>
      <c r="D30" t="s">
        <v>445</v>
      </c>
    </row>
    <row r="31" spans="1:7">
      <c r="A31" t="s">
        <v>435</v>
      </c>
      <c r="B31" t="s">
        <v>232</v>
      </c>
      <c r="C31" t="s">
        <v>232</v>
      </c>
      <c r="D31" t="s">
        <v>445</v>
      </c>
      <c r="E31">
        <v>-47149</v>
      </c>
      <c r="F31">
        <v>-51508</v>
      </c>
      <c r="G31">
        <v>-43157</v>
      </c>
    </row>
    <row r="32" spans="1:7">
      <c r="A32" t="s">
        <v>458</v>
      </c>
      <c r="D32" t="s">
        <v>445</v>
      </c>
    </row>
    <row r="33" spans="1:7">
      <c r="A33" t="s">
        <v>459</v>
      </c>
      <c r="B33" t="s">
        <v>251</v>
      </c>
      <c r="C33" t="s">
        <v>251</v>
      </c>
      <c r="D33" t="s">
        <v>445</v>
      </c>
      <c r="E33">
        <v>-289</v>
      </c>
      <c r="F33">
        <v>-151</v>
      </c>
      <c r="G33">
        <v>-7</v>
      </c>
    </row>
    <row r="34" spans="1:7">
      <c r="A34" t="s">
        <v>460</v>
      </c>
      <c r="B34" t="s">
        <v>243</v>
      </c>
      <c r="C34" t="s">
        <v>243</v>
      </c>
      <c r="D34" t="s">
        <v>445</v>
      </c>
      <c r="E34">
        <v>10341</v>
      </c>
      <c r="F34">
        <v>10721</v>
      </c>
      <c r="G34">
        <v>9382</v>
      </c>
    </row>
    <row r="35" spans="1:7">
      <c r="A35" t="s">
        <v>461</v>
      </c>
      <c r="B35" t="s">
        <v>236</v>
      </c>
      <c r="C35" t="s">
        <v>236</v>
      </c>
      <c r="D35" t="s">
        <v>445</v>
      </c>
      <c r="E35">
        <v>575</v>
      </c>
      <c r="F35">
        <v>1744</v>
      </c>
      <c r="G35">
        <v>2052</v>
      </c>
    </row>
    <row r="36" spans="1:7">
      <c r="A36" t="s">
        <v>462</v>
      </c>
      <c r="B36" t="s">
        <v>243</v>
      </c>
      <c r="C36" t="s">
        <v>243</v>
      </c>
      <c r="D36" t="s">
        <v>445</v>
      </c>
      <c r="E36">
        <v>613</v>
      </c>
      <c r="F36">
        <v>1265</v>
      </c>
      <c r="G36">
        <v>877</v>
      </c>
    </row>
    <row r="37" spans="1:7">
      <c r="A37" t="s">
        <v>444</v>
      </c>
      <c r="B37" t="s">
        <v>248</v>
      </c>
      <c r="C37" t="s">
        <v>248</v>
      </c>
      <c r="D37" t="s">
        <v>445</v>
      </c>
      <c r="E37">
        <v>5168</v>
      </c>
      <c r="F37">
        <v>4294</v>
      </c>
      <c r="G37">
        <v>4479</v>
      </c>
    </row>
    <row r="38" spans="1:7">
      <c r="A38" t="s">
        <v>463</v>
      </c>
      <c r="B38" t="s">
        <v>251</v>
      </c>
      <c r="C38" t="s">
        <v>251</v>
      </c>
      <c r="D38" t="s">
        <v>445</v>
      </c>
      <c r="E38">
        <v>-86</v>
      </c>
      <c r="F38">
        <v>-205</v>
      </c>
      <c r="G38">
        <v>-767</v>
      </c>
    </row>
    <row r="39" spans="1:7">
      <c r="A39" t="s">
        <v>464</v>
      </c>
      <c r="B39" t="s">
        <v>245</v>
      </c>
      <c r="C39" t="s">
        <v>245</v>
      </c>
      <c r="D39" t="s">
        <v>445</v>
      </c>
      <c r="F39">
        <v>12</v>
      </c>
    </row>
    <row r="40" spans="1:7">
      <c r="A40" t="s">
        <v>465</v>
      </c>
      <c r="B40" t="s">
        <v>261</v>
      </c>
      <c r="C40" t="s">
        <v>261</v>
      </c>
      <c r="D40" t="s">
        <v>445</v>
      </c>
      <c r="F40">
        <v>369</v>
      </c>
    </row>
    <row r="41" spans="1:7">
      <c r="A41" t="s">
        <v>466</v>
      </c>
      <c r="B41" t="s">
        <v>251</v>
      </c>
      <c r="C41" t="s">
        <v>251</v>
      </c>
      <c r="D41" t="s">
        <v>445</v>
      </c>
      <c r="E41">
        <v>-115</v>
      </c>
      <c r="F41">
        <v>-5</v>
      </c>
      <c r="G41">
        <v>17</v>
      </c>
    </row>
    <row r="42" spans="1:7">
      <c r="A42" t="s">
        <v>467</v>
      </c>
      <c r="B42" t="s">
        <v>251</v>
      </c>
      <c r="C42" t="s">
        <v>251</v>
      </c>
      <c r="D42" t="s">
        <v>445</v>
      </c>
    </row>
    <row r="43" spans="1:7">
      <c r="A43" t="s">
        <v>468</v>
      </c>
      <c r="B43" t="s">
        <v>265</v>
      </c>
      <c r="C43" t="s">
        <v>265</v>
      </c>
      <c r="D43" t="s">
        <v>445</v>
      </c>
      <c r="E43">
        <v>1484</v>
      </c>
      <c r="F43">
        <v>4300</v>
      </c>
      <c r="G43">
        <v>-2547</v>
      </c>
    </row>
    <row r="44" spans="1:7">
      <c r="A44" t="s">
        <v>381</v>
      </c>
      <c r="B44" t="s">
        <v>261</v>
      </c>
      <c r="C44" t="s">
        <v>261</v>
      </c>
      <c r="D44" t="s">
        <v>445</v>
      </c>
      <c r="E44">
        <v>102</v>
      </c>
      <c r="F44">
        <v>920</v>
      </c>
      <c r="G44">
        <v>-1688</v>
      </c>
    </row>
    <row r="45" spans="1:7">
      <c r="A45" t="s">
        <v>469</v>
      </c>
      <c r="B45" t="s">
        <v>264</v>
      </c>
      <c r="C45" t="s">
        <v>264</v>
      </c>
      <c r="D45" t="s">
        <v>445</v>
      </c>
      <c r="E45">
        <v>-850</v>
      </c>
      <c r="F45">
        <v>175</v>
      </c>
      <c r="G45">
        <v>975</v>
      </c>
    </row>
    <row r="46" spans="1:7">
      <c r="A46" t="s">
        <v>380</v>
      </c>
      <c r="B46" t="s">
        <v>263</v>
      </c>
      <c r="C46" t="s">
        <v>263</v>
      </c>
      <c r="D46" t="s">
        <v>445</v>
      </c>
      <c r="F46">
        <v>-703</v>
      </c>
    </row>
    <row r="47" spans="1:7">
      <c r="A47" t="s">
        <v>391</v>
      </c>
      <c r="B47" t="s">
        <v>275</v>
      </c>
      <c r="C47" t="s">
        <v>275</v>
      </c>
      <c r="D47" t="s">
        <v>445</v>
      </c>
      <c r="E47">
        <v>458</v>
      </c>
      <c r="F47">
        <v>309</v>
      </c>
      <c r="G47">
        <v>-437</v>
      </c>
    </row>
    <row r="48" spans="1:7">
      <c r="A48" t="s">
        <v>392</v>
      </c>
      <c r="B48" t="s">
        <v>277</v>
      </c>
      <c r="C48" t="s">
        <v>277</v>
      </c>
      <c r="D48" t="s">
        <v>445</v>
      </c>
      <c r="E48">
        <v>922</v>
      </c>
      <c r="F48">
        <v>-1301</v>
      </c>
      <c r="G48">
        <v>639</v>
      </c>
    </row>
    <row r="49" spans="1:7">
      <c r="A49" t="s">
        <v>470</v>
      </c>
      <c r="B49" t="s">
        <v>269</v>
      </c>
      <c r="C49" t="s">
        <v>269</v>
      </c>
      <c r="D49" t="s">
        <v>445</v>
      </c>
      <c r="E49">
        <v>-362</v>
      </c>
      <c r="F49">
        <v>-361</v>
      </c>
      <c r="G49">
        <v>989</v>
      </c>
    </row>
    <row r="50" spans="1:7">
      <c r="A50" t="s">
        <v>471</v>
      </c>
      <c r="B50" t="s">
        <v>269</v>
      </c>
      <c r="C50" t="s">
        <v>269</v>
      </c>
      <c r="D50" t="s">
        <v>445</v>
      </c>
      <c r="E50">
        <v>113</v>
      </c>
      <c r="F50">
        <v>360</v>
      </c>
      <c r="G50">
        <v>-202</v>
      </c>
    </row>
    <row r="51" spans="1:7">
      <c r="A51" t="s">
        <v>472</v>
      </c>
      <c r="B51" t="s">
        <v>285</v>
      </c>
      <c r="C51" t="s">
        <v>285</v>
      </c>
      <c r="D51" t="s">
        <v>445</v>
      </c>
      <c r="E51">
        <v>-29075</v>
      </c>
      <c r="F51">
        <v>-29765</v>
      </c>
      <c r="G51">
        <v>-29395</v>
      </c>
    </row>
    <row r="52" spans="1:7">
      <c r="A52" t="s">
        <v>473</v>
      </c>
      <c r="B52" t="s">
        <v>231</v>
      </c>
      <c r="C52" t="s">
        <v>231</v>
      </c>
      <c r="D52" t="s">
        <v>474</v>
      </c>
    </row>
    <row r="53" spans="1:7">
      <c r="A53" t="s">
        <v>475</v>
      </c>
      <c r="B53" t="s">
        <v>287</v>
      </c>
      <c r="C53" t="s">
        <v>287</v>
      </c>
      <c r="D53" t="s">
        <v>474</v>
      </c>
      <c r="E53">
        <v>-819</v>
      </c>
      <c r="F53">
        <v>-2405</v>
      </c>
      <c r="G53">
        <v>-3720</v>
      </c>
    </row>
    <row r="54" spans="1:7">
      <c r="A54" t="s">
        <v>476</v>
      </c>
      <c r="B54" t="s">
        <v>290</v>
      </c>
      <c r="C54" t="s">
        <v>290</v>
      </c>
      <c r="D54" t="s">
        <v>474</v>
      </c>
      <c r="E54">
        <v>-30558</v>
      </c>
      <c r="F54">
        <v>-7565</v>
      </c>
      <c r="G54">
        <v>-996</v>
      </c>
    </row>
    <row r="55" spans="1:7">
      <c r="A55" t="s">
        <v>477</v>
      </c>
      <c r="B55" t="s">
        <v>291</v>
      </c>
      <c r="C55" t="s">
        <v>291</v>
      </c>
      <c r="D55" t="s">
        <v>474</v>
      </c>
      <c r="E55">
        <v>20500</v>
      </c>
      <c r="G55">
        <v>6525</v>
      </c>
    </row>
    <row r="56" spans="1:7">
      <c r="A56" t="s">
        <v>478</v>
      </c>
      <c r="B56" t="s">
        <v>296</v>
      </c>
      <c r="C56" t="s">
        <v>296</v>
      </c>
      <c r="D56" t="s">
        <v>474</v>
      </c>
      <c r="E56">
        <v>-10877</v>
      </c>
      <c r="F56">
        <v>-9970</v>
      </c>
      <c r="G56">
        <v>1809</v>
      </c>
    </row>
    <row r="57" spans="1:7">
      <c r="A57" t="s">
        <v>479</v>
      </c>
      <c r="B57" t="s">
        <v>297</v>
      </c>
      <c r="C57" t="s">
        <v>297</v>
      </c>
      <c r="D57" t="s">
        <v>451</v>
      </c>
    </row>
    <row r="58" spans="1:7">
      <c r="A58" t="s">
        <v>480</v>
      </c>
      <c r="B58" t="s">
        <v>302</v>
      </c>
      <c r="C58" t="s">
        <v>302</v>
      </c>
      <c r="D58" t="s">
        <v>451</v>
      </c>
      <c r="E58">
        <v>-7718</v>
      </c>
      <c r="F58">
        <v>-3514</v>
      </c>
    </row>
    <row r="59" spans="1:7">
      <c r="A59" t="s">
        <v>481</v>
      </c>
      <c r="B59" t="s">
        <v>456</v>
      </c>
      <c r="C59" t="s">
        <v>456</v>
      </c>
      <c r="D59" t="s">
        <v>451</v>
      </c>
      <c r="F59">
        <v>-204</v>
      </c>
      <c r="G59">
        <v>-205</v>
      </c>
    </row>
    <row r="60" spans="1:7">
      <c r="A60" t="s">
        <v>482</v>
      </c>
      <c r="B60" t="s">
        <v>298</v>
      </c>
      <c r="C60" t="s">
        <v>298</v>
      </c>
      <c r="D60" t="s">
        <v>451</v>
      </c>
      <c r="E60">
        <v>81525</v>
      </c>
      <c r="F60">
        <v>15694</v>
      </c>
    </row>
    <row r="61" spans="1:7">
      <c r="A61" t="s">
        <v>483</v>
      </c>
      <c r="B61" t="s">
        <v>298</v>
      </c>
      <c r="C61" t="s">
        <v>298</v>
      </c>
      <c r="D61" t="s">
        <v>451</v>
      </c>
      <c r="E61">
        <v>1218</v>
      </c>
      <c r="F61">
        <v>351</v>
      </c>
      <c r="G61">
        <v>179</v>
      </c>
    </row>
    <row r="62" spans="1:7">
      <c r="A62" t="s">
        <v>484</v>
      </c>
      <c r="B62" t="s">
        <v>311</v>
      </c>
      <c r="C62" t="s">
        <v>311</v>
      </c>
      <c r="D62" t="s">
        <v>451</v>
      </c>
      <c r="E62">
        <v>75025</v>
      </c>
      <c r="F62">
        <v>12327</v>
      </c>
      <c r="G62">
        <v>-26</v>
      </c>
    </row>
    <row r="63" spans="1:7">
      <c r="A63" t="s">
        <v>485</v>
      </c>
      <c r="B63" t="s">
        <v>486</v>
      </c>
      <c r="C63" t="s">
        <v>312</v>
      </c>
      <c r="D63" t="s">
        <v>451</v>
      </c>
    </row>
    <row r="64" spans="1:7">
      <c r="A64" t="s">
        <v>487</v>
      </c>
      <c r="D64" t="s">
        <v>451</v>
      </c>
      <c r="E64">
        <v>35073</v>
      </c>
      <c r="F64">
        <v>-27408</v>
      </c>
      <c r="G64">
        <v>-27612</v>
      </c>
    </row>
    <row r="65" spans="1:7">
      <c r="A65" t="s">
        <v>488</v>
      </c>
      <c r="B65" t="s">
        <v>316</v>
      </c>
      <c r="C65" t="s">
        <v>316</v>
      </c>
      <c r="D65" t="s">
        <v>451</v>
      </c>
      <c r="E65">
        <v>53080</v>
      </c>
      <c r="F65">
        <v>80488</v>
      </c>
      <c r="G65">
        <v>108100</v>
      </c>
    </row>
    <row r="66" spans="1:7">
      <c r="A66" t="s">
        <v>489</v>
      </c>
      <c r="B66" t="s">
        <v>316</v>
      </c>
      <c r="C66" t="s">
        <v>316</v>
      </c>
      <c r="D66" t="s">
        <v>451</v>
      </c>
      <c r="E66">
        <v>88153</v>
      </c>
      <c r="F66">
        <v>53080</v>
      </c>
      <c r="G66">
        <v>80488</v>
      </c>
    </row>
    <row r="67" spans="1:7">
      <c r="A67" t="s">
        <v>490</v>
      </c>
      <c r="D67" t="s">
        <v>451</v>
      </c>
    </row>
    <row r="68" spans="1:7">
      <c r="A68" t="s">
        <v>491</v>
      </c>
      <c r="D68" t="s">
        <v>451</v>
      </c>
      <c r="E68">
        <v>1667</v>
      </c>
      <c r="F68">
        <v>2043</v>
      </c>
      <c r="G68">
        <v>1893</v>
      </c>
    </row>
    <row r="69" spans="1:7">
      <c r="A69" t="s">
        <v>492</v>
      </c>
      <c r="B69" t="s">
        <v>493</v>
      </c>
      <c r="C69" t="s">
        <v>247</v>
      </c>
      <c r="D69" t="s">
        <v>445</v>
      </c>
      <c r="E69">
        <v>2</v>
      </c>
      <c r="F69">
        <v>2</v>
      </c>
      <c r="G69">
        <v>-55</v>
      </c>
    </row>
    <row r="70" spans="1:7">
      <c r="A70" t="s">
        <v>494</v>
      </c>
      <c r="D70" t="s">
        <v>451</v>
      </c>
    </row>
    <row r="71" spans="1:7">
      <c r="A71" t="s">
        <v>495</v>
      </c>
      <c r="D71" t="s">
        <v>451</v>
      </c>
      <c r="G71">
        <v>45</v>
      </c>
    </row>
    <row r="72" spans="1:7">
      <c r="A72" t="s">
        <v>496</v>
      </c>
      <c r="B72" t="s">
        <v>287</v>
      </c>
      <c r="C72" t="s">
        <v>287</v>
      </c>
      <c r="D72" t="s">
        <v>474</v>
      </c>
      <c r="E72">
        <v>410</v>
      </c>
      <c r="F72">
        <v>222</v>
      </c>
      <c r="G72">
        <v>532</v>
      </c>
    </row>
    <row r="73" spans="1:7">
      <c r="A73" t="s">
        <v>497</v>
      </c>
      <c r="D73" t="s">
        <v>451</v>
      </c>
    </row>
    <row r="74" spans="1:7">
      <c r="A74" t="s">
        <v>498</v>
      </c>
      <c r="D74" t="s">
        <v>451</v>
      </c>
    </row>
    <row r="75" spans="1:7">
      <c r="D75" t="s">
        <v>451</v>
      </c>
    </row>
    <row r="76" spans="1:7">
      <c r="D76" t="s">
        <v>451</v>
      </c>
      <c r="E76">
        <v>2018</v>
      </c>
      <c r="F76">
        <v>2017</v>
      </c>
      <c r="G76">
        <v>2016</v>
      </c>
    </row>
    <row r="77" spans="1:7">
      <c r="A77" t="s">
        <v>499</v>
      </c>
      <c r="B77" t="s">
        <v>500</v>
      </c>
      <c r="C77" t="s">
        <v>315</v>
      </c>
      <c r="D77" t="s">
        <v>451</v>
      </c>
    </row>
    <row r="78" spans="1:7">
      <c r="D78" t="s">
        <v>451</v>
      </c>
      <c r="E78">
        <v>87975</v>
      </c>
      <c r="F78">
        <v>52902</v>
      </c>
      <c r="G78">
        <v>80310</v>
      </c>
    </row>
    <row r="79" spans="1:7">
      <c r="A79" t="s">
        <v>487</v>
      </c>
      <c r="D79" t="s">
        <v>451</v>
      </c>
      <c r="E79">
        <v>178</v>
      </c>
      <c r="F79">
        <v>178</v>
      </c>
      <c r="G79">
        <v>178</v>
      </c>
    </row>
    <row r="80" spans="1:7">
      <c r="A80" t="s">
        <v>501</v>
      </c>
      <c r="B80" t="s">
        <v>486</v>
      </c>
      <c r="C80" t="s">
        <v>312</v>
      </c>
      <c r="D80" t="s">
        <v>451</v>
      </c>
    </row>
    <row r="81" spans="1:7">
      <c r="A81" t="s">
        <v>502</v>
      </c>
      <c r="D81" t="s">
        <v>451</v>
      </c>
      <c r="E81">
        <v>88153</v>
      </c>
      <c r="F81">
        <v>53080</v>
      </c>
      <c r="G81">
        <v>80488</v>
      </c>
    </row>
    <row r="82" spans="1:7">
      <c r="A82" t="s">
        <v>503</v>
      </c>
      <c r="D82" t="s">
        <v>451</v>
      </c>
    </row>
    <row r="83" spans="1:7">
      <c r="A83" t="s">
        <v>504</v>
      </c>
      <c r="D83" t="s">
        <v>451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0498EB-F4F8-4BE3-BC13-007414F91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69F54F-4543-4D20-A08C-0698656EDE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CE8A7-550D-4959-A3B4-8C79908C457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2021-12-04T05:11:10Z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