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Aptivaa Consulting Solutions Pvt Ltd\Aptivaa Working Folder\Ground Truth\"/>
    </mc:Choice>
  </mc:AlternateContent>
  <bookViews>
    <workbookView xWindow="0" yWindow="0" windowWidth="19200" windowHeight="7050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Template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O355" i="1"/>
  <c r="N355" i="1"/>
  <c r="M355" i="1"/>
  <c r="L355" i="1"/>
  <c r="K355" i="1"/>
  <c r="J355" i="1"/>
  <c r="I355" i="1"/>
  <c r="O353" i="1"/>
  <c r="N353" i="1"/>
  <c r="M353" i="1"/>
  <c r="L353" i="1"/>
  <c r="K353" i="1"/>
  <c r="J353" i="1"/>
  <c r="I353" i="1"/>
  <c r="O352" i="1"/>
  <c r="N352" i="1"/>
  <c r="M352" i="1"/>
  <c r="L352" i="1"/>
  <c r="K352" i="1"/>
  <c r="J352" i="1"/>
  <c r="I352" i="1"/>
  <c r="G352" i="1"/>
  <c r="F352" i="1"/>
  <c r="O337" i="1"/>
  <c r="N337" i="1"/>
  <c r="M337" i="1"/>
  <c r="L337" i="1"/>
  <c r="K337" i="1"/>
  <c r="J337" i="1"/>
  <c r="I337" i="1"/>
  <c r="G337" i="1"/>
  <c r="F337" i="1"/>
  <c r="O326" i="1"/>
  <c r="N326" i="1"/>
  <c r="M326" i="1"/>
  <c r="L326" i="1"/>
  <c r="K326" i="1"/>
  <c r="J326" i="1"/>
  <c r="I326" i="1"/>
  <c r="O325" i="1"/>
  <c r="N325" i="1"/>
  <c r="M325" i="1"/>
  <c r="L325" i="1"/>
  <c r="K325" i="1"/>
  <c r="J325" i="1"/>
  <c r="I325" i="1"/>
  <c r="G325" i="1"/>
  <c r="F325" i="1"/>
  <c r="O319" i="1"/>
  <c r="N319" i="1"/>
  <c r="M319" i="1"/>
  <c r="L319" i="1"/>
  <c r="K319" i="1"/>
  <c r="J319" i="1"/>
  <c r="I319" i="1"/>
  <c r="O318" i="1"/>
  <c r="N318" i="1"/>
  <c r="M318" i="1"/>
  <c r="L318" i="1"/>
  <c r="K318" i="1"/>
  <c r="J318" i="1"/>
  <c r="I318" i="1"/>
  <c r="G318" i="1"/>
  <c r="F318" i="1"/>
  <c r="O297" i="1"/>
  <c r="N297" i="1"/>
  <c r="M297" i="1"/>
  <c r="L297" i="1"/>
  <c r="K297" i="1"/>
  <c r="J297" i="1"/>
  <c r="I297" i="1"/>
  <c r="O296" i="1"/>
  <c r="N296" i="1"/>
  <c r="M296" i="1"/>
  <c r="L296" i="1"/>
  <c r="K296" i="1"/>
  <c r="J296" i="1"/>
  <c r="I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N44" i="1"/>
  <c r="M44" i="1"/>
  <c r="L44" i="1"/>
  <c r="K44" i="1"/>
  <c r="J44" i="1"/>
  <c r="I44" i="1"/>
  <c r="H44" i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G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H6" i="1"/>
  <c r="O5" i="1"/>
  <c r="N5" i="1"/>
  <c r="M5" i="1"/>
  <c r="L5" i="1"/>
  <c r="K5" i="1"/>
  <c r="J5" i="1"/>
  <c r="I5" i="1"/>
  <c r="H5" i="1"/>
  <c r="G5" i="1"/>
  <c r="F5" i="1"/>
  <c r="G161" i="1" l="1"/>
  <c r="G8" i="1" s="1"/>
  <c r="G12" i="1" s="1"/>
  <c r="F161" i="1"/>
  <c r="H16" i="3"/>
  <c r="H15" i="3"/>
  <c r="H17" i="3" s="1"/>
  <c r="F381" i="1"/>
  <c r="F375" i="1"/>
  <c r="F368" i="1"/>
  <c r="F363" i="1"/>
  <c r="G381" i="1"/>
  <c r="G375" i="1"/>
  <c r="G368" i="1"/>
  <c r="G363" i="1"/>
  <c r="H381" i="1"/>
  <c r="H375" i="1"/>
  <c r="H368" i="1"/>
  <c r="H363" i="1"/>
  <c r="I381" i="1"/>
  <c r="I375" i="1"/>
  <c r="I368" i="1"/>
  <c r="I363" i="1"/>
  <c r="H371" i="1"/>
  <c r="H365" i="1"/>
  <c r="I371" i="1"/>
  <c r="I365" i="1"/>
  <c r="H383" i="1"/>
  <c r="H382" i="1"/>
  <c r="I383" i="1"/>
  <c r="I382" i="1"/>
  <c r="J383" i="1"/>
  <c r="J382" i="1"/>
  <c r="K383" i="1"/>
  <c r="K382" i="1"/>
  <c r="L383" i="1"/>
  <c r="L382" i="1"/>
  <c r="M383" i="1"/>
  <c r="M382" i="1"/>
  <c r="N383" i="1"/>
  <c r="N382" i="1"/>
  <c r="O383" i="1"/>
  <c r="O382" i="1"/>
  <c r="F384" i="1"/>
  <c r="F377" i="1"/>
  <c r="F13" i="1"/>
  <c r="G384" i="1"/>
  <c r="G377" i="1"/>
  <c r="G13" i="1"/>
  <c r="H384" i="1"/>
  <c r="H377" i="1"/>
  <c r="H376" i="1"/>
  <c r="I384" i="1"/>
  <c r="I377" i="1"/>
  <c r="I376" i="1"/>
  <c r="J384" i="1"/>
  <c r="J377" i="1"/>
  <c r="J376" i="1"/>
  <c r="J368" i="1"/>
  <c r="K384" i="1"/>
  <c r="K377" i="1"/>
  <c r="K376" i="1"/>
  <c r="K368" i="1"/>
  <c r="L384" i="1"/>
  <c r="L377" i="1"/>
  <c r="L376" i="1"/>
  <c r="L368" i="1"/>
  <c r="M384" i="1"/>
  <c r="M377" i="1"/>
  <c r="M376" i="1"/>
  <c r="M368" i="1"/>
  <c r="N384" i="1"/>
  <c r="N377" i="1"/>
  <c r="N376" i="1"/>
  <c r="N368" i="1"/>
  <c r="O384" i="1"/>
  <c r="O377" i="1"/>
  <c r="O376" i="1"/>
  <c r="O368" i="1"/>
  <c r="F369" i="1"/>
  <c r="F44" i="1"/>
  <c r="G369" i="1"/>
  <c r="G44" i="1"/>
  <c r="H378" i="1"/>
  <c r="H370" i="1"/>
  <c r="I378" i="1"/>
  <c r="I370" i="1"/>
  <c r="J378" i="1"/>
  <c r="J370" i="1"/>
  <c r="K378" i="1"/>
  <c r="K370" i="1"/>
  <c r="L378" i="1"/>
  <c r="L370" i="1"/>
  <c r="M378" i="1"/>
  <c r="M370" i="1"/>
  <c r="N378" i="1"/>
  <c r="N370" i="1"/>
  <c r="O378" i="1"/>
  <c r="O370" i="1"/>
  <c r="H373" i="1"/>
  <c r="H372" i="1"/>
  <c r="I373" i="1"/>
  <c r="I372" i="1"/>
  <c r="J373" i="1"/>
  <c r="J372" i="1"/>
  <c r="K373" i="1"/>
  <c r="K372" i="1"/>
  <c r="L373" i="1"/>
  <c r="L372" i="1"/>
  <c r="M373" i="1"/>
  <c r="M372" i="1"/>
  <c r="N373" i="1"/>
  <c r="N372" i="1"/>
  <c r="O373" i="1"/>
  <c r="O372" i="1"/>
  <c r="G297" i="1"/>
  <c r="G319" i="1" s="1"/>
  <c r="F297" i="1"/>
  <c r="F319" i="1" s="1"/>
  <c r="F326" i="1"/>
  <c r="G326" i="1"/>
  <c r="H385" i="1"/>
  <c r="I385" i="1"/>
  <c r="J385" i="1"/>
  <c r="K385" i="1"/>
  <c r="L385" i="1"/>
  <c r="M385" i="1"/>
  <c r="N385" i="1"/>
  <c r="O385" i="1"/>
  <c r="G382" i="1" l="1"/>
  <c r="G366" i="1"/>
  <c r="G376" i="1"/>
  <c r="G383" i="1"/>
  <c r="G14" i="1"/>
  <c r="F8" i="1"/>
  <c r="H13" i="3"/>
  <c r="I13" i="3" s="1"/>
  <c r="G385" i="1"/>
  <c r="G353" i="1"/>
  <c r="G355" i="1" s="1"/>
  <c r="G357" i="1" s="1"/>
  <c r="F385" i="1"/>
  <c r="F353" i="1"/>
  <c r="F355" i="1" s="1"/>
  <c r="F357" i="1" s="1"/>
  <c r="G378" i="1"/>
  <c r="G370" i="1"/>
  <c r="G59" i="1"/>
  <c r="G67" i="1" s="1"/>
  <c r="G71" i="1" s="1"/>
  <c r="F378" i="1"/>
  <c r="F370" i="1"/>
  <c r="F59" i="1"/>
  <c r="F67" i="1" s="1"/>
  <c r="F71" i="1" s="1"/>
  <c r="F383" i="1" l="1"/>
  <c r="F382" i="1"/>
  <c r="F12" i="1"/>
  <c r="F372" i="1" s="1"/>
  <c r="F373" i="1"/>
  <c r="F83" i="1"/>
  <c r="F6" i="1"/>
  <c r="G373" i="1"/>
  <c r="G372" i="1"/>
  <c r="G83" i="1"/>
  <c r="G6" i="1"/>
  <c r="F376" i="1" l="1"/>
  <c r="F14" i="1"/>
  <c r="F366" i="1"/>
  <c r="G371" i="1"/>
  <c r="G365" i="1"/>
  <c r="F371" i="1"/>
  <c r="F365" i="1"/>
</calcChain>
</file>

<file path=xl/sharedStrings.xml><?xml version="1.0" encoding="utf-8"?>
<sst xmlns="http://schemas.openxmlformats.org/spreadsheetml/2006/main" count="838" uniqueCount="508">
  <si>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</si>
  <si>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</si>
  <si>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</si>
  <si>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</si>
  <si>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</si>
  <si>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</si>
  <si>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</si>
  <si>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</si>
  <si>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</si>
  <si>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</si>
  <si>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</si>
  <si>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</si>
  <si>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</si>
  <si>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</si>
  <si>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</si>
  <si>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</si>
  <si>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</si>
  <si>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</si>
  <si>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</si>
  <si>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</si>
  <si>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</si>
  <si>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</si>
  <si>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</si>
  <si>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</si>
  <si>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</si>
  <si>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</si>
  <si>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</si>
  <si>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</si>
  <si>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</si>
  <si>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</si>
  <si>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</si>
  <si>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</si>
  <si>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</si>
  <si>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</si>
  <si>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</si>
  <si>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</si>
  <si>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</si>
  <si>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</si>
  <si>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</si>
  <si>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</si>
  <si>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</si>
  <si>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</si>
  <si>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</si>
  <si>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</si>
  <si>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</si>
  <si>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</si>
  <si>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</si>
  <si>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</si>
  <si>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</si>
  <si>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</si>
  <si>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</si>
  <si>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</si>
  <si>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</si>
  <si>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</si>
  <si>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</si>
  <si>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</si>
  <si>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</si>
  <si>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</si>
  <si>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</si>
  <si>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</si>
  <si>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</si>
  <si>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</si>
  <si>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</si>
  <si>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</si>
  <si>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</si>
  <si>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</si>
  <si>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</si>
  <si>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</si>
  <si>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</si>
  <si>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</si>
  <si>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</si>
  <si>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</si>
  <si>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</si>
  <si>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</si>
  <si>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</si>
  <si>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</si>
  <si>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</si>
  <si>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</si>
  <si>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</si>
  <si>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</si>
  <si>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</si>
  <si>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</si>
  <si>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</si>
  <si>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</si>
  <si>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</si>
  <si>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</si>
  <si>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</si>
  <si>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</si>
  <si>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</si>
  <si>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</si>
  <si>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</si>
  <si>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</si>
  <si>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</si>
  <si>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</si>
  <si>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</si>
  <si>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</si>
  <si>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</si>
  <si>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</si>
  <si>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</si>
  <si>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</si>
  <si>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</si>
  <si>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</si>
  <si>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</si>
  <si>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</si>
  <si>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</si>
  <si>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</si>
  <si>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</si>
  <si>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</si>
  <si>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</si>
  <si>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</si>
  <si>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</si>
  <si>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</si>
  <si>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</si>
  <si>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</si>
  <si>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</si>
  <si>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</si>
  <si>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</si>
  <si>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</si>
  <si>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</si>
  <si>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</si>
  <si>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</si>
  <si>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</si>
  <si>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</si>
  <si>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</si>
  <si>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</si>
  <si>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</si>
  <si>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</si>
  <si>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</si>
  <si>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</si>
  <si>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</si>
  <si>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</si>
  <si>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</si>
  <si>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</si>
  <si>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</si>
  <si>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</si>
  <si>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</si>
  <si>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</si>
  <si>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</si>
  <si>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</si>
  <si>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</si>
  <si>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</si>
  <si>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</si>
  <si>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</si>
  <si>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</si>
  <si>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</si>
  <si>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</si>
  <si>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</si>
  <si>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</si>
  <si>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</si>
  <si>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</si>
  <si>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</si>
  <si>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</si>
  <si>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</si>
  <si>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</si>
  <si>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</si>
  <si>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</si>
  <si>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</si>
  <si>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</si>
  <si>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</si>
  <si>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</si>
  <si>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</si>
  <si>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</si>
  <si>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</si>
  <si>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</si>
  <si>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</si>
  <si>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</si>
  <si>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</si>
  <si>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</si>
  <si>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</si>
  <si>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</si>
  <si>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</si>
  <si>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</si>
  <si>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</si>
  <si>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</si>
  <si>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</si>
  <si>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</si>
  <si>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</si>
  <si>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</si>
  <si>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</si>
  <si>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</si>
  <si>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</si>
  <si>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</si>
  <si>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</si>
  <si>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</si>
  <si>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</si>
  <si>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</si>
  <si>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</si>
  <si>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</si>
  <si>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</si>
  <si>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</si>
  <si>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</si>
  <si>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</si>
  <si>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</si>
  <si>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</si>
  <si>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</si>
  <si>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</si>
  <si>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</si>
  <si>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</si>
  <si>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</si>
  <si>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</si>
  <si>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</si>
  <si>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</si>
  <si>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</si>
  <si>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</si>
  <si>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</si>
  <si>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</si>
  <si>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</si>
  <si>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</si>
  <si>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</si>
  <si>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</si>
  <si>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</si>
  <si>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</si>
  <si>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</si>
  <si>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</si>
  <si>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</si>
  <si>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</si>
  <si>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</si>
  <si>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</si>
  <si>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</si>
  <si>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</si>
  <si>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</si>
  <si>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</si>
  <si>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</si>
  <si>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</si>
  <si>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</si>
  <si>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</si>
  <si>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</si>
  <si>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</si>
  <si>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</si>
  <si>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</si>
  <si>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</si>
  <si>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</si>
  <si>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</si>
  <si>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</si>
  <si>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</si>
  <si>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</si>
  <si>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</si>
  <si>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</si>
  <si>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</si>
  <si>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</si>
  <si>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</si>
  <si>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</si>
  <si>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</si>
  <si>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</si>
  <si>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</si>
  <si>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</si>
  <si>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</si>
  <si>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</si>
  <si>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</si>
  <si>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</si>
  <si>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</si>
  <si>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</si>
  <si>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</si>
  <si>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</si>
  <si>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</si>
  <si>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</si>
  <si>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</si>
  <si>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</si>
  <si>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</si>
  <si>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</si>
  <si>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</si>
  <si>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</si>
  <si>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</si>
  <si>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</si>
  <si>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</si>
  <si>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</si>
  <si>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</si>
  <si>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</si>
  <si>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</si>
  <si>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</si>
  <si>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</si>
  <si>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</si>
  <si>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</si>
  <si>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</si>
  <si>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</si>
  <si>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</si>
  <si>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</si>
  <si>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</si>
  <si>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</si>
  <si>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</si>
  <si>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</si>
  <si>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</si>
  <si>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</si>
  <si>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</si>
  <si>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</si>
  <si>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</si>
  <si>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</si>
  <si>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</si>
  <si>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</si>
  <si>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</si>
  <si>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</si>
  <si>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</si>
  <si>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</si>
  <si>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</si>
  <si>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</si>
  <si>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</si>
  <si>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</si>
  <si>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</si>
  <si>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</si>
  <si>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</si>
  <si>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</si>
  <si>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</si>
  <si>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</si>
  <si>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</si>
  <si>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</si>
  <si>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</si>
  <si>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</si>
  <si>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</si>
  <si>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</si>
  <si>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</si>
  <si>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</si>
  <si>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</si>
  <si>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</si>
  <si>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</si>
  <si>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</si>
  <si>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</si>
  <si>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</si>
  <si>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</si>
  <si>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</si>
  <si>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</si>
  <si>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</si>
  <si>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</si>
  <si>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</si>
  <si>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</si>
  <si>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</si>
  <si>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</si>
  <si>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</si>
  <si>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</si>
  <si>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</si>
  <si>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</si>
  <si>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</si>
  <si>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</si>
  <si>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</si>
  <si>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</si>
  <si>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</si>
  <si>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</si>
  <si>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</si>
  <si>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</si>
  <si>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</si>
  <si>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</si>
  <si>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</si>
  <si>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</si>
  <si>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</si>
  <si>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</si>
  <si>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</si>
  <si>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</si>
  <si>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</si>
  <si>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</si>
  <si>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</si>
  <si>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</si>
  <si>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</si>
  <si>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</si>
  <si>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</si>
  <si>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</si>
  <si>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</si>
  <si>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</si>
  <si>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</si>
  <si>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</si>
  <si>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</si>
  <si>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</si>
  <si>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</si>
  <si>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</si>
  <si>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</si>
  <si>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</si>
  <si>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</si>
  <si>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</si>
  <si>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</si>
  <si>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</si>
  <si>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</si>
  <si>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</si>
  <si>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</si>
  <si>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</si>
  <si>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</si>
  <si>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</si>
  <si>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 OF JUNE 30, 2017 AND 2016</t>
  </si>
  <si>
    <t>(in thousands, except per-share amounts)</t>
  </si>
  <si>
    <t>ASSETS</t>
  </si>
  <si>
    <t>Current assets:</t>
  </si>
  <si>
    <t>Cash and cash equivalents</t>
  </si>
  <si>
    <t>Investments</t>
  </si>
  <si>
    <t>Trade receivables: less allowance for doubtful accounts (2017, $485; 2016, $513)</t>
  </si>
  <si>
    <t>Inventory</t>
  </si>
  <si>
    <t>Prepaid expenses and other current assets</t>
  </si>
  <si>
    <t>Deferred income tax asset, net</t>
  </si>
  <si>
    <t>Total current assets</t>
  </si>
  <si>
    <t>Property and equipment, net</t>
  </si>
  <si>
    <t>Property and Equipment</t>
  </si>
  <si>
    <t>Property held for sale</t>
  </si>
  <si>
    <t>Goodwill</t>
  </si>
  <si>
    <t>Intangible assets, net</t>
  </si>
  <si>
    <t>Other Intangibles</t>
  </si>
  <si>
    <t>Other assets</t>
  </si>
  <si>
    <t>TOTAL ASSETS</t>
  </si>
  <si>
    <t>LIABILITIES AND SHAREHOLDERS EQUITY</t>
  </si>
  <si>
    <t>Current liabilities:</t>
  </si>
  <si>
    <t>Current portion of long-term debt</t>
  </si>
  <si>
    <t>Accounts payable</t>
  </si>
  <si>
    <t>Accruals</t>
  </si>
  <si>
    <t>Total current liabilities</t>
  </si>
  <si>
    <t>Long-term debt</t>
  </si>
  <si>
    <t>Long-term liabilities</t>
  </si>
  <si>
    <t>Environmental remediation liability</t>
  </si>
  <si>
    <t>Deferred income tax liability</t>
  </si>
  <si>
    <t>Total liabilities</t>
  </si>
  <si>
    <t>Commitments and contingencies (Note 16)</t>
  </si>
  <si>
    <t>Shareholders equity:</t>
  </si>
  <si>
    <t>Preferred stock, 2,000 shares authorized; no shares issued and outstanding</t>
  </si>
  <si>
    <t>Common stock, $.01 par value, 75,000 shares authorized at June 30, 2017 and June 30, 2016; 30,094 and 29,595 shares issued and outstanding at June 30, 2017 and 2016, respectively</t>
  </si>
  <si>
    <t>Capital in excess of par value</t>
  </si>
  <si>
    <t>Retained earnings</t>
  </si>
  <si>
    <t>Accumulated other comprehensive loss</t>
  </si>
  <si>
    <t>Total shareholders equity</t>
  </si>
  <si>
    <t>Net sales</t>
  </si>
  <si>
    <t>Net revenue</t>
  </si>
  <si>
    <t>Revenue</t>
  </si>
  <si>
    <t>Cost of sales</t>
  </si>
  <si>
    <t>Gross profit</t>
  </si>
  <si>
    <t>Gross Profit</t>
  </si>
  <si>
    <t>Selling, general and administrative expenses</t>
  </si>
  <si>
    <t>Research and development expenses</t>
  </si>
  <si>
    <t>Operating income</t>
  </si>
  <si>
    <t>Other (expense) income:</t>
  </si>
  <si>
    <t>Interest expense</t>
  </si>
  <si>
    <t>Interest and other income, net</t>
  </si>
  <si>
    <t>Other Income - Net profit (loss)</t>
  </si>
  <si>
    <t>Income before income taxes</t>
  </si>
  <si>
    <t>Profit before Zakat</t>
  </si>
  <si>
    <t>Provision for income taxes</t>
  </si>
  <si>
    <t>Net income</t>
  </si>
  <si>
    <t>Basic income per common share</t>
  </si>
  <si>
    <t>Diluted income per common share</t>
  </si>
  <si>
    <t>Weighted average shares outstanding:</t>
  </si>
  <si>
    <t>Basic</t>
  </si>
  <si>
    <t>ACETO CORPORATION AND SUBSIDIARIES</t>
  </si>
  <si>
    <t>CONSOLIDATED STATEMENTS OF COMPREHENSIVE INCOME</t>
  </si>
  <si>
    <t>FOR THE YEARS ENDED JUNE 30, 2017, 2016 AND 2015</t>
  </si>
  <si>
    <t>(in thousands)</t>
  </si>
  <si>
    <t>Other comprehensive income (loss):</t>
  </si>
  <si>
    <t>Total Other Comprehensive Income</t>
  </si>
  <si>
    <t>Foreign currency translation adjustments</t>
  </si>
  <si>
    <t>Change in fair value of interest rate swaps</t>
  </si>
  <si>
    <t>Reclassification for realized loss on interest rate swap included in interest expense</t>
  </si>
  <si>
    <t>Defined benefit plans, net of tax of $7, $31 and $100 respectively</t>
  </si>
  <si>
    <t>Total other comprehensive income (loss)</t>
  </si>
  <si>
    <t>Total Other Comprehensive Income (Loss)</t>
  </si>
  <si>
    <t>Operating activities:</t>
  </si>
  <si>
    <t>Operating Activities</t>
  </si>
  <si>
    <t>Adjustments to reconcile net income to net cash provided by operating activities:</t>
  </si>
  <si>
    <t>Depreciation and amortization</t>
  </si>
  <si>
    <t>Amortization of debt issuance costs and debt discount</t>
  </si>
  <si>
    <t>Amortization of deferred financing costs</t>
  </si>
  <si>
    <t>Provision for doubtful accounts</t>
  </si>
  <si>
    <t>Non-cash stock compensation</t>
  </si>
  <si>
    <t>Deferred income taxes</t>
  </si>
  <si>
    <t>Earnings on equity investment in joint venture</t>
  </si>
  <si>
    <t>Contingent consideration</t>
  </si>
  <si>
    <t>Amortization of inventory step-up</t>
  </si>
  <si>
    <t>Environmental remediation charge</t>
  </si>
  <si>
    <t>Changes in assets and liabilities:</t>
  </si>
  <si>
    <t>Trade accounts receivable</t>
  </si>
  <si>
    <t>Accrued expenses and other liabilities</t>
  </si>
  <si>
    <t>Distributions from joint venture</t>
  </si>
  <si>
    <t>Net cash provided by operating activities</t>
  </si>
  <si>
    <t>Investing activities:</t>
  </si>
  <si>
    <t>Investing Activities</t>
  </si>
  <si>
    <t>Payment for net assets acquired</t>
  </si>
  <si>
    <t>Purchases of investments</t>
  </si>
  <si>
    <t>Sales of investments</t>
  </si>
  <si>
    <t>Payments for intangible assets</t>
  </si>
  <si>
    <t>Purchases of property and equipment, net</t>
  </si>
  <si>
    <t>Net cash used in investing activities</t>
  </si>
  <si>
    <t>Financing activities:</t>
  </si>
  <si>
    <t>Financing Activities</t>
  </si>
  <si>
    <t>Proceeds from exercise of stock options</t>
  </si>
  <si>
    <t>Excess income tax benefit on stock option exercises and restricted stock</t>
  </si>
  <si>
    <t>Finance Costs</t>
  </si>
  <si>
    <t>Payment of cash dividends</t>
  </si>
  <si>
    <t xml:space="preserve">Dividend paid to shareholders to parent on minority interests </t>
  </si>
  <si>
    <t>Payment of deferred consideration</t>
  </si>
  <si>
    <t>Payment of contingent consideration</t>
  </si>
  <si>
    <t>Proceeds from convertible senior notes</t>
  </si>
  <si>
    <t>Payment for debt issuance costs</t>
  </si>
  <si>
    <t>Proceeds from sold warrants</t>
  </si>
  <si>
    <t>Purchase of call option (hedge)</t>
  </si>
  <si>
    <t>Termination payment for interest rate swap</t>
  </si>
  <si>
    <t>Borrowings of bank loans</t>
  </si>
  <si>
    <t>Payment for deferred financing costs</t>
  </si>
  <si>
    <t>Repayment of bank loans</t>
  </si>
  <si>
    <t>Net cash provided by (used in) financing activities</t>
  </si>
  <si>
    <t>Effect of foreign exchange rate changes on cash</t>
  </si>
  <si>
    <t>Net (decrease) increase in cash and cash equivalents</t>
  </si>
  <si>
    <t>Net increase (decrease) in cash and cash equivalents</t>
  </si>
  <si>
    <t>Cash and cash equivalents at beginning of period</t>
  </si>
  <si>
    <t>sum</t>
  </si>
  <si>
    <t>total</t>
  </si>
  <si>
    <t>Original Line Item in the pdf</t>
  </si>
  <si>
    <t xml:space="preserve">Person mapping </t>
  </si>
  <si>
    <t>Niharika</t>
  </si>
  <si>
    <t>Line item in the accounts Template into which Original line item is mapped</t>
  </si>
  <si>
    <t>Amount changed</t>
  </si>
  <si>
    <t>Negative sign removed</t>
  </si>
  <si>
    <t>Line item and amount not found in pdf</t>
  </si>
  <si>
    <t>"Capital in excess of par value" from the balance sheet added to this line item</t>
  </si>
  <si>
    <t>"Property held for sale" in balance sheet</t>
  </si>
  <si>
    <t>"Investments" in balance sheet</t>
  </si>
  <si>
    <t>"Deferred income tax asset, net" in balance sheet</t>
  </si>
  <si>
    <t>Amount changed, "Net sales" in balance sheet</t>
  </si>
  <si>
    <t>Sum of "Long term liabilities" and "Environmental remediation liability"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</si>
</sst>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0" fillId="13" borderId="0" xfId="0" applyFill="1"/>
    <xf numFmtId="3" fontId="8" fillId="14" borderId="0" xfId="0" applyFont="1" applyFill="1" applyAlignment="1">
      <alignment wrapText="1"/>
    </xf>
    <xf numFmtId="3" fontId="4" fillId="12" borderId="0" xfId="0" applyFont="1" applyFill="1"/>
    <xf numFmtId="3" fontId="4" fillId="0" borderId="0" xfId="0" applyFont="1"/>
    <xf numFmtId="3" fontId="8" fillId="0" borderId="0" xfId="0" applyFont="1" applyAlignment="1">
      <alignment wrapText="1"/>
    </xf>
    <xf numFmtId="3" fontId="0" fillId="0" borderId="0" xfId="0" applyNumberFormat="1"/>
    <xf numFmtId="3" fontId="0" fillId="0" borderId="0" xfId="0" applyFill="1"/>
    <xf numFmtId="3" fontId="9" fillId="0" borderId="0" xfId="0" applyFont="1" applyAlignment="1">
      <alignment wrapText="1"/>
    </xf>
    <xf numFmtId="3" fontId="8" fillId="0" borderId="0" xfId="0" applyFont="1"/>
    <xf numFmtId="3" fontId="4" fillId="11" borderId="0" xfId="0" applyFont="1" applyFill="1" applyAlignment="1">
      <alignment horizontal="center" vertical="center"/>
    </xf>
    <xf numFmtId="3" fontId="0" fillId="11" borderId="0" xfId="0" applyFill="1" applyAlignment="1">
      <alignment horizontal="center" vertical="center"/>
    </xf>
    <xf numFmtId="3" fontId="8" fillId="0" borderId="0" xfId="0" applyFont="1" applyFill="1"/>
  </cellXfs>
  <cellStyles count="2">
    <cellStyle name="Normal" xfId="0" builtinId="0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F6-4131-A7B1-50A1C4FBD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DD-4C07-AD96-A0BDDB2B3F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16-462F-BCA7-54471EB785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8-4431-AC95-3EC4760FAA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A9-4FE0-AB3F-65E0D76843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C5-4C2C-B8CE-4A0DB996C3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E9-47F9-AF75-85C3E7CE3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0C-4009-8F1D-5753C9978B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8A-44BF-9014-07AB3FE744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65-483E-958D-03E62EE18D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BD-4F32-B415-A1C499BC1A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9E-4AED-9C98-C293A551A0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EA-42A4-BD9C-D464982AFC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EA-43DC-BA7F-200C6A658B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03-4FAE-9DDE-E7A6D79A2E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G18" sqref="G18"/>
    </sheetView>
  </sheetViews>
  <sheetFormatPr defaultColWidth="9" defaultRowHeight="12.5"/>
  <cols>
    <col min="1" max="4" width="13" style="38" hidden="1" customWidth="1"/>
    <col min="5" max="5" width="59.453125" style="1" customWidth="1"/>
    <col min="6" max="7" width="16.1796875" style="38" customWidth="1"/>
    <col min="16" max="16" width="14.1796875" style="45" bestFit="1" customWidth="1"/>
  </cols>
  <sheetData>
    <row r="1" spans="5:15" ht="13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 ht="13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11376</v>
      </c>
      <c r="G6" s="7">
        <f t="shared" ref="G6:O6" si="1">IF(G4=$BF$1,"",G71)</f>
        <v>34766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566630</v>
      </c>
      <c r="G7" s="7">
        <f t="shared" ref="G7:O7" si="2">IF(G4=$BF$1,"",G128)</f>
        <v>188117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474160</v>
      </c>
      <c r="G8" s="7">
        <f t="shared" ref="G8:O8" si="3">IF(G4=$BF$1,"",G161)</f>
        <v>352661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222805</v>
      </c>
      <c r="G9" s="7">
        <f t="shared" ref="G9:O9" si="4">IF(G4=$BF$1,"",G189)</f>
        <v>98906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410313</v>
      </c>
      <c r="G10" s="7">
        <f t="shared" ref="G10:O10" si="5">IF(G4=$BF$1,"",G210)</f>
        <v>137430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407672</v>
      </c>
      <c r="G11" s="7">
        <f t="shared" ref="G11:O11" si="6">IF(G4=$BF$1,"",G227)</f>
        <v>304442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1040790</v>
      </c>
      <c r="G12" s="35">
        <f t="shared" ref="G12:O12" si="7">IF(G4=$BF$1,"",SUM(G7:G8))</f>
        <v>540778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1040790</v>
      </c>
      <c r="G13" s="35">
        <f t="shared" ref="G13:O13" si="8">IF(G4=$BF$1,"",SUM(G9:G11))</f>
        <v>540778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 ht="13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43" t="s">
        <v>26</v>
      </c>
      <c r="F24">
        <v>638318</v>
      </c>
      <c r="G24">
        <v>558524</v>
      </c>
      <c r="P24" s="50" t="s">
        <v>506</v>
      </c>
    </row>
    <row r="25" spans="5:16">
      <c r="E25" s="1" t="s">
        <v>27</v>
      </c>
      <c r="F25">
        <v>497526</v>
      </c>
      <c r="G25">
        <v>415739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140792</v>
      </c>
      <c r="G30" s="7">
        <f>IF(G4=$BF$1,"",G24-G25+ABS(G26)-G27-G28-G29)</f>
        <v>142785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102340</v>
      </c>
      <c r="G34">
        <v>76820</v>
      </c>
    </row>
    <row r="35" spans="5:16">
      <c r="E35" s="43" t="s">
        <v>37</v>
      </c>
      <c r="F35">
        <v>7898</v>
      </c>
      <c r="G35">
        <v>7937</v>
      </c>
      <c r="P35" s="50" t="s">
        <v>500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110238</v>
      </c>
      <c r="G43" s="7">
        <f>G32+G33+G34+G35+G36+G37+G38+G39+G40+G41+G42</f>
        <v>84757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30554</v>
      </c>
      <c r="G44" s="7">
        <f>IF(G4=$BF$1,"",G30+G31-G43)</f>
        <v>58028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43" t="s">
        <v>51</v>
      </c>
      <c r="F49">
        <v>15770</v>
      </c>
      <c r="G49">
        <v>6997</v>
      </c>
      <c r="P49" s="50" t="s">
        <v>500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2577</v>
      </c>
      <c r="G54">
        <v>2823</v>
      </c>
    </row>
    <row r="55" spans="5:16">
      <c r="E55" s="1" t="s">
        <v>57</v>
      </c>
    </row>
    <row r="56" spans="5:16">
      <c r="E56" s="1" t="s">
        <v>58</v>
      </c>
    </row>
    <row r="57" spans="5:16">
      <c r="E57" s="43" t="s">
        <v>59</v>
      </c>
      <c r="F57">
        <v>0</v>
      </c>
      <c r="G57">
        <v>0</v>
      </c>
      <c r="P57" s="50" t="s">
        <v>501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17361</v>
      </c>
      <c r="G59" s="7">
        <f>IF(G4=$BF$1,"",G44+G45+G46+G47+G48-G49-G50-G51+G52-G53+G54+G55-G56+G57+G58)</f>
        <v>53854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  <c r="F60">
        <v>5985</v>
      </c>
      <c r="G60">
        <v>19088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11376</v>
      </c>
      <c r="G67" s="7">
        <f>IF(G4=$BF$1,"",SUM(G59,-G60,-ABS(G61),-G62,-G66))</f>
        <v>34766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11376</v>
      </c>
      <c r="G71" s="7">
        <f t="shared" ref="G71:O71" si="14">IF(G4=$BF$1,"",SUM(G67:G70))</f>
        <v>34766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11376</v>
      </c>
      <c r="G83" s="7">
        <f t="shared" ref="G83:O83" si="15">IF(G4=$BF$1,"",SUM(G71:G82))</f>
        <v>34766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  <c r="F92">
        <v>10428</v>
      </c>
      <c r="G92">
        <v>10044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10428</v>
      </c>
      <c r="G98" s="7">
        <f>IF(G4=$BF$1,"",G89+G90+G91+G92+G93+G94+G95+G96)</f>
        <v>10044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2" t="s">
        <v>89</v>
      </c>
    </row>
    <row r="100" spans="5:15">
      <c r="E100" s="6" t="s">
        <v>90</v>
      </c>
      <c r="F100" s="7">
        <f>F98+F99</f>
        <v>10428</v>
      </c>
      <c r="G100" s="7">
        <f t="shared" ref="G100:O100" si="17">IF(G4=$BF$1,"",G98+G99)</f>
        <v>10044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  <c r="F101">
        <v>236970</v>
      </c>
      <c r="G101">
        <v>67871</v>
      </c>
    </row>
    <row r="102" spans="5:15">
      <c r="E102" s="1" t="s">
        <v>92</v>
      </c>
      <c r="F102">
        <v>285081</v>
      </c>
      <c r="G102">
        <v>79071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522051</v>
      </c>
      <c r="G104" s="7">
        <f t="shared" ref="G104:O104" si="18">IF(G4=$BF$1,"",G101+G102+G103)</f>
        <v>146942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  <c r="F111">
        <v>19453</v>
      </c>
      <c r="G111">
        <v>18053</v>
      </c>
    </row>
    <row r="112" spans="5:15">
      <c r="E112" s="1" t="s">
        <v>102</v>
      </c>
    </row>
    <row r="113" spans="5:16">
      <c r="E113" s="46" t="s">
        <v>103</v>
      </c>
      <c r="F113"/>
      <c r="G113"/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43" t="s">
        <v>112</v>
      </c>
      <c r="F125" s="44">
        <v>7152</v>
      </c>
      <c r="G125" s="44">
        <v>6868</v>
      </c>
      <c r="P125" s="50" t="s">
        <v>503</v>
      </c>
    </row>
    <row r="126" spans="5:16">
      <c r="E126" s="1" t="s">
        <v>113</v>
      </c>
      <c r="F126">
        <v>7546</v>
      </c>
      <c r="G126">
        <v>6210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566630</v>
      </c>
      <c r="G128" s="7">
        <f t="shared" ref="G128:O128" si="19">IF(G4=$BF$1,"",G100+SUM(G104:G126))</f>
        <v>188117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40" t="s">
        <v>117</v>
      </c>
      <c r="F130">
        <v>55680</v>
      </c>
      <c r="G130">
        <v>66828</v>
      </c>
      <c r="P130" s="50" t="s">
        <v>499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55680</v>
      </c>
      <c r="G140" s="7">
        <f t="shared" ref="G140:O140" si="20">IF(G4=$BF$1,"",G130+G131+G132+G133+G134+G135+G136+G139)</f>
        <v>66828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136387</v>
      </c>
      <c r="G144">
        <v>98107</v>
      </c>
    </row>
    <row r="145" spans="5:16">
      <c r="E145" s="6" t="s">
        <v>127</v>
      </c>
      <c r="F145" s="7">
        <f>F141+F142+F143+F144</f>
        <v>136387</v>
      </c>
      <c r="G145" s="7">
        <f t="shared" ref="G145:O145" si="21">IF(G4=$BF$1,"",G141+G142+G143+G144)</f>
        <v>98107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3941</v>
      </c>
      <c r="G154">
        <v>3339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275560</v>
      </c>
      <c r="G157">
        <v>180262</v>
      </c>
    </row>
    <row r="158" spans="5:16">
      <c r="E158" s="43" t="s">
        <v>138</v>
      </c>
      <c r="F158" s="44">
        <v>546</v>
      </c>
      <c r="G158" s="44">
        <v>3244</v>
      </c>
      <c r="P158" s="50" t="s">
        <v>505</v>
      </c>
    </row>
    <row r="159" spans="5:16">
      <c r="E159" s="43" t="s">
        <v>139</v>
      </c>
      <c r="F159" s="44">
        <v>2046</v>
      </c>
      <c r="G159" s="44">
        <v>881</v>
      </c>
      <c r="P159" s="50" t="s">
        <v>504</v>
      </c>
    </row>
    <row r="160" spans="5:16">
      <c r="E160" s="6" t="s">
        <v>140</v>
      </c>
      <c r="F160" s="7">
        <f>F146+F147+F148+F149+F150+F151+F152+F153+F154+F155+F156+F157+F158+F159</f>
        <v>282093</v>
      </c>
      <c r="G160" s="7">
        <f>IF(G4=$BF$1,"",G146+G147+G148+G149+G150+G151+G152+G153+G154+G155+G156+G157+G158+G159)</f>
        <v>187726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474160</v>
      </c>
      <c r="G161" s="7">
        <f t="shared" ref="G161:O161" si="22">IF(G4=$BF$1,"",G140+G145+G160)</f>
        <v>352661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  <c r="F167">
        <v>14466</v>
      </c>
      <c r="G167">
        <v>197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5">
      <c r="E177" s="1" t="s">
        <v>156</v>
      </c>
    </row>
    <row r="178" spans="5:15">
      <c r="E178" s="1" t="s">
        <v>157</v>
      </c>
    </row>
    <row r="180" spans="5:15">
      <c r="E180" s="1" t="s">
        <v>158</v>
      </c>
    </row>
    <row r="181" spans="5:15">
      <c r="E181" s="1" t="s">
        <v>159</v>
      </c>
    </row>
    <row r="183" spans="5:15">
      <c r="E183" s="1" t="s">
        <v>160</v>
      </c>
    </row>
    <row r="184" spans="5:15">
      <c r="E184" s="12" t="s">
        <v>161</v>
      </c>
      <c r="F184">
        <v>118328</v>
      </c>
      <c r="G184">
        <v>52675</v>
      </c>
    </row>
    <row r="185" spans="5:15">
      <c r="E185" s="12" t="s">
        <v>162</v>
      </c>
    </row>
    <row r="187" spans="5:15">
      <c r="E187" s="1" t="s">
        <v>163</v>
      </c>
      <c r="F187">
        <v>90011</v>
      </c>
      <c r="G187">
        <v>46034</v>
      </c>
    </row>
    <row r="188" spans="5:15">
      <c r="E188" s="1" t="s">
        <v>164</v>
      </c>
    </row>
    <row r="189" spans="5:15">
      <c r="E189" s="6" t="s">
        <v>13</v>
      </c>
      <c r="F189" s="7">
        <f>SUM(F163:F188)</f>
        <v>222805</v>
      </c>
      <c r="G189" s="7">
        <f t="shared" ref="G189:O189" si="23">IF(G4=$BF$1,"",SUM(G163:G188))</f>
        <v>98906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166</v>
      </c>
    </row>
    <row r="192" spans="5:15">
      <c r="E192" s="1" t="s">
        <v>167</v>
      </c>
    </row>
    <row r="193" spans="5:7">
      <c r="E193" s="1" t="s">
        <v>168</v>
      </c>
      <c r="F193">
        <v>339200</v>
      </c>
      <c r="G193">
        <v>118592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7325</v>
      </c>
      <c r="G203">
        <v>9142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43" t="s">
        <v>180</v>
      </c>
      <c r="F209">
        <v>63788</v>
      </c>
      <c r="G209">
        <v>9696</v>
      </c>
      <c r="P209" s="50" t="s">
        <v>507</v>
      </c>
    </row>
    <row r="210" spans="5:16">
      <c r="E210" s="6" t="s">
        <v>14</v>
      </c>
      <c r="F210" s="7">
        <f>SUM(F191:F209)</f>
        <v>410313</v>
      </c>
      <c r="G210" s="7">
        <f t="shared" ref="G210:O210" si="24">IF(G4=$BF$1,"",SUM(G191:G209))</f>
        <v>137430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43" t="s">
        <v>182</v>
      </c>
      <c r="F212">
        <v>214499</v>
      </c>
      <c r="G212">
        <v>115963</v>
      </c>
      <c r="P212" s="50" t="s">
        <v>502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198285</v>
      </c>
      <c r="G217">
        <v>194804</v>
      </c>
    </row>
    <row r="218" spans="5:16">
      <c r="E218" s="1" t="s">
        <v>188</v>
      </c>
    </row>
    <row r="219" spans="5:16">
      <c r="E219" s="1" t="s">
        <v>189</v>
      </c>
      <c r="F219">
        <v>-5112</v>
      </c>
      <c r="G219">
        <v>-6325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407672</v>
      </c>
      <c r="G227" s="7">
        <f t="shared" ref="G227:O227" si="25">IF(G4=$BF$1,"",SUM(G212:G226))</f>
        <v>304442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11376</v>
      </c>
      <c r="G267">
        <v>34766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28256</v>
      </c>
      <c r="G271">
        <v>12698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6417</v>
      </c>
      <c r="G275">
        <v>3496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  <c r="F279">
        <v>-2336</v>
      </c>
      <c r="G279">
        <v>-2060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  <c r="F285">
        <v>6956</v>
      </c>
      <c r="G285">
        <v>6719</v>
      </c>
    </row>
    <row r="286" spans="5:7" ht="25.5" customHeight="1">
      <c r="E286" s="1" t="s">
        <v>249</v>
      </c>
    </row>
    <row r="287" spans="5:7">
      <c r="E287" s="1" t="s">
        <v>250</v>
      </c>
      <c r="F287">
        <v>-3</v>
      </c>
      <c r="G287">
        <v>76</v>
      </c>
    </row>
    <row r="288" spans="5:7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39290</v>
      </c>
      <c r="G296" s="7">
        <f>IF(G4=$BF$1,"",G271+G272+G273+G274+G275+G276+G277+G278+G279+G280+G281+G282+G283+G284+G285+G286+G287+G288+G289+G290+G291+G292+G293+G294+G295)</f>
        <v>20929</v>
      </c>
      <c r="H296" s="7"/>
      <c r="I296" s="7" t="str">
        <f t="shared" ref="I296:O296" si="26">IF(I4=$BF$1,"",I271+I272+I273+I274+I275+I276+I277+I278+I279+I280+I281+I282+I283+I284+I285+I286+I287+I288+I291)</f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50666</v>
      </c>
      <c r="G297" s="7">
        <f t="shared" ref="G297:O297" si="27">IF(G4=$BF$1,"",MIN(F267,F268,F269)+F296)</f>
        <v>50666</v>
      </c>
      <c r="H297" s="7"/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-2958</v>
      </c>
      <c r="G299">
        <v>-2489</v>
      </c>
    </row>
    <row r="300" spans="5:15">
      <c r="E300" s="1" t="s">
        <v>262</v>
      </c>
      <c r="F300">
        <v>185</v>
      </c>
      <c r="G300">
        <v>136</v>
      </c>
    </row>
    <row r="301" spans="5:15">
      <c r="E301" s="1" t="s">
        <v>263</v>
      </c>
    </row>
    <row r="302" spans="5:15" ht="25.5" customHeight="1">
      <c r="E302" s="1" t="s">
        <v>264</v>
      </c>
      <c r="F302">
        <v>1209</v>
      </c>
      <c r="G302">
        <v>-243</v>
      </c>
    </row>
    <row r="303" spans="5:15">
      <c r="E303" s="1" t="s">
        <v>265</v>
      </c>
      <c r="F303">
        <v>-17598</v>
      </c>
      <c r="G303">
        <v>-6149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-504</v>
      </c>
      <c r="G309">
        <v>-18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-3097</v>
      </c>
      <c r="G315">
        <v>-8937</v>
      </c>
    </row>
    <row r="316" spans="5:15">
      <c r="E316" s="1" t="s">
        <v>276</v>
      </c>
      <c r="F316">
        <v>-157</v>
      </c>
      <c r="G316">
        <v>-557</v>
      </c>
    </row>
    <row r="317" spans="5:15">
      <c r="E317" s="1" t="s">
        <v>277</v>
      </c>
      <c r="F317">
        <v>14010</v>
      </c>
      <c r="G317">
        <v>-10263</v>
      </c>
    </row>
    <row r="318" spans="5:15">
      <c r="E318" s="6" t="s">
        <v>278</v>
      </c>
      <c r="F318" s="7">
        <f>F299+F300+F301+F302+F303+F304+F305+F306+F307+F308+F309+F310+F311+F312+F313+F314+F315+F316+F317</f>
        <v>-8910</v>
      </c>
      <c r="G318" s="7">
        <f>IF(G4=$BF$1,"",G299+G300+G301+G302+G303+G304+G305+G306+G307+G308+G309+G310+G311+G312+G313+G314+G315+G316+G317)</f>
        <v>-28520</v>
      </c>
      <c r="H318" s="7"/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41756</v>
      </c>
      <c r="G319" s="7">
        <f t="shared" ref="G319:O319" si="28">IF(G4=$BF$1,"",G297+G318)</f>
        <v>22146</v>
      </c>
      <c r="H319" s="7"/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/>
      <c r="I325" s="7" t="str">
        <f t="shared" ref="I325:O325" si="29">IF(I4=$BF$1,"",I321+I322+I323)</f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41756</v>
      </c>
      <c r="G326" s="7">
        <f t="shared" ref="G326:O326" si="30">IF(G4=$BF$1,"",G325+G319)</f>
        <v>22146</v>
      </c>
      <c r="H326" s="7"/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-1893</v>
      </c>
      <c r="G328">
        <v>-1128</v>
      </c>
    </row>
    <row r="329" spans="5:15">
      <c r="E329" s="1" t="s">
        <v>288</v>
      </c>
    </row>
    <row r="330" spans="5:15">
      <c r="E330" s="1" t="s">
        <v>289</v>
      </c>
      <c r="F330">
        <v>-273359</v>
      </c>
      <c r="G330">
        <v>-11249</v>
      </c>
    </row>
    <row r="331" spans="5:15">
      <c r="E331" s="1" t="s">
        <v>290</v>
      </c>
      <c r="F331">
        <v>-2035</v>
      </c>
      <c r="G331">
        <v>-34</v>
      </c>
    </row>
    <row r="332" spans="5:15">
      <c r="E332" s="12" t="s">
        <v>291</v>
      </c>
      <c r="F332">
        <v>909</v>
      </c>
      <c r="G332">
        <v>2517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-276378</v>
      </c>
      <c r="G337" s="7">
        <f>IF(G4=$BF$1,"",SUM(G328:G336))</f>
        <v>-9894</v>
      </c>
      <c r="H337" s="7"/>
      <c r="I337" s="7" t="str">
        <f t="shared" ref="I337:O337" si="31">IF(I4=$BF$1,"",SUM(I328:I334))</f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551</v>
      </c>
      <c r="G339">
        <v>729</v>
      </c>
    </row>
    <row r="340" spans="5:15">
      <c r="E340" s="1" t="s">
        <v>299</v>
      </c>
      <c r="F340">
        <v>0</v>
      </c>
      <c r="G340">
        <v>157435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232303</v>
      </c>
      <c r="G343">
        <v>-107197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-7831</v>
      </c>
      <c r="G348">
        <v>-7084</v>
      </c>
    </row>
    <row r="349" spans="5:15">
      <c r="E349" s="12" t="s">
        <v>308</v>
      </c>
      <c r="F349">
        <v>-4861</v>
      </c>
      <c r="G349">
        <v>-31528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220162</v>
      </c>
      <c r="G352" s="7">
        <f>IF(G4=$BF$1,"",SUM(G339:G351))</f>
        <v>12355</v>
      </c>
      <c r="H352" s="7"/>
      <c r="I352" s="7" t="str">
        <f t="shared" ref="I352:O352" si="32">IF(I4=$BF$1,"",SUM(I339:I346))</f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-14460</v>
      </c>
      <c r="G353" s="7">
        <f t="shared" ref="G353:O353" si="33">IF(G4=$BF$1,"",G326+G337+G352)</f>
        <v>24607</v>
      </c>
      <c r="H353" s="7"/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501</v>
      </c>
      <c r="G354">
        <v>16</v>
      </c>
    </row>
    <row r="355" spans="5:15">
      <c r="E355" s="6" t="s">
        <v>314</v>
      </c>
      <c r="F355" s="7">
        <f>F353+F354</f>
        <v>-13959</v>
      </c>
      <c r="G355" s="7">
        <f t="shared" ref="G355:O355" si="34">IF(G4=$BF$1,"",G353+G354)</f>
        <v>24623</v>
      </c>
      <c r="H355" s="7"/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66828</v>
      </c>
      <c r="G356">
        <v>34020</v>
      </c>
    </row>
    <row r="357" spans="5:15">
      <c r="E357" s="6" t="s">
        <v>316</v>
      </c>
      <c r="F357" s="7">
        <f>F355+F356</f>
        <v>52869</v>
      </c>
      <c r="G357" s="7">
        <f t="shared" ref="G357:O357" si="35">IF(G4=$BF$1,"",G355+G356)</f>
        <v>58643</v>
      </c>
      <c r="H357" s="7"/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0.14286583924773152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-0.67278375424265091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0.92461601618409028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0.22056717811498344</v>
      </c>
      <c r="G369" s="27">
        <f t="shared" si="41"/>
        <v>0.25564702680636819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4.7866423945431585E-2</v>
      </c>
      <c r="G370" s="27">
        <f t="shared" si="42"/>
        <v>0.10389526681037878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1.7821838018041165E-2</v>
      </c>
      <c r="G371" s="28">
        <f t="shared" si="43"/>
        <v>6.2246206071717596E-2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1.0930158821664312E-2</v>
      </c>
      <c r="G372" s="27">
        <f t="shared" si="44"/>
        <v>6.4288857904722455E-2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2.7904786200671126E-2</v>
      </c>
      <c r="G373" s="27">
        <f t="shared" si="45"/>
        <v>0.11419580741159235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0.60830522968129974</v>
      </c>
      <c r="G376" s="30">
        <f t="shared" si="47"/>
        <v>0.43702961289105696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1.5530083007908317</v>
      </c>
      <c r="G377" s="30">
        <f t="shared" si="48"/>
        <v>0.77629236439124694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1.9374762206721623</v>
      </c>
      <c r="G378" s="30">
        <f t="shared" si="49"/>
        <v>8.2932685436615685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2.1281389555889678</v>
      </c>
      <c r="G382" s="32">
        <f t="shared" si="51"/>
        <v>3.5656178593816352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1.516002782702363</v>
      </c>
      <c r="G383" s="32">
        <f t="shared" si="52"/>
        <v>2.5736962368309304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0.24990462512062117</v>
      </c>
      <c r="G384" s="32">
        <f t="shared" si="53"/>
        <v>0.67567185003943142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0.18741051592199456</v>
      </c>
      <c r="G385" s="32">
        <f t="shared" si="54"/>
        <v>0.22390957070349624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55680</v>
      </c>
      <c r="G418" s="17">
        <f>G130-G417</f>
        <v>66828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H146:O159 E267:O269 F333:O336 E330:E336 E339:O351 E156:G159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14" sqref="E14:E19"/>
    </sheetView>
  </sheetViews>
  <sheetFormatPr defaultRowHeight="12.5"/>
  <cols>
    <col min="1" max="1" width="25.81640625" customWidth="1"/>
    <col min="2" max="2" width="25.54296875" customWidth="1"/>
    <col min="3" max="3" width="34.1796875" customWidth="1"/>
    <col min="4" max="4" width="33.6328125" customWidth="1"/>
  </cols>
  <sheetData>
    <row r="1" spans="1:9">
      <c r="A1" t="s">
        <v>374</v>
      </c>
    </row>
    <row r="2" spans="1:9">
      <c r="A2" t="s">
        <v>375</v>
      </c>
    </row>
    <row r="3" spans="1:9">
      <c r="E3">
        <v>2017</v>
      </c>
      <c r="F3">
        <v>2016</v>
      </c>
    </row>
    <row r="4" spans="1:9">
      <c r="A4" t="s">
        <v>376</v>
      </c>
    </row>
    <row r="5" spans="1:9">
      <c r="A5" t="s">
        <v>377</v>
      </c>
      <c r="B5" t="s">
        <v>116</v>
      </c>
      <c r="C5" t="s">
        <v>116</v>
      </c>
      <c r="D5" t="s">
        <v>116</v>
      </c>
    </row>
    <row r="6" spans="1:9">
      <c r="A6" t="s">
        <v>378</v>
      </c>
      <c r="B6" t="s">
        <v>117</v>
      </c>
      <c r="C6" t="s">
        <v>117</v>
      </c>
      <c r="D6" t="s">
        <v>116</v>
      </c>
      <c r="E6">
        <v>55680</v>
      </c>
      <c r="F6">
        <v>66828</v>
      </c>
    </row>
    <row r="7" spans="1:9">
      <c r="A7" t="s">
        <v>379</v>
      </c>
      <c r="B7" t="s">
        <v>103</v>
      </c>
      <c r="C7" t="s">
        <v>103</v>
      </c>
      <c r="D7" t="s">
        <v>80</v>
      </c>
      <c r="E7">
        <v>2046</v>
      </c>
      <c r="F7">
        <v>881</v>
      </c>
      <c r="G7" s="39"/>
    </row>
    <row r="8" spans="1:9">
      <c r="A8" t="s">
        <v>380</v>
      </c>
      <c r="B8" t="s">
        <v>352</v>
      </c>
      <c r="C8" t="s">
        <v>137</v>
      </c>
      <c r="D8" t="s">
        <v>116</v>
      </c>
      <c r="E8">
        <v>264896</v>
      </c>
      <c r="F8">
        <v>167612</v>
      </c>
      <c r="G8" s="48" t="s">
        <v>493</v>
      </c>
    </row>
    <row r="9" spans="1:9">
      <c r="A9" t="s">
        <v>354</v>
      </c>
      <c r="B9" t="s">
        <v>354</v>
      </c>
      <c r="C9" t="s">
        <v>137</v>
      </c>
      <c r="D9" t="s">
        <v>116</v>
      </c>
      <c r="E9">
        <v>10664</v>
      </c>
      <c r="F9">
        <v>12650</v>
      </c>
      <c r="G9" s="49"/>
    </row>
    <row r="10" spans="1:9">
      <c r="A10" t="s">
        <v>381</v>
      </c>
      <c r="B10" t="s">
        <v>126</v>
      </c>
      <c r="C10" t="s">
        <v>126</v>
      </c>
      <c r="D10" t="s">
        <v>116</v>
      </c>
      <c r="E10">
        <v>136387</v>
      </c>
      <c r="F10">
        <v>98107</v>
      </c>
      <c r="G10" s="39"/>
    </row>
    <row r="11" spans="1:9">
      <c r="A11" t="s">
        <v>382</v>
      </c>
      <c r="B11" t="s">
        <v>134</v>
      </c>
      <c r="C11" t="s">
        <v>134</v>
      </c>
      <c r="D11" t="s">
        <v>116</v>
      </c>
      <c r="E11">
        <v>3941</v>
      </c>
      <c r="F11">
        <v>3339</v>
      </c>
      <c r="G11" s="39"/>
    </row>
    <row r="12" spans="1:9">
      <c r="A12" t="s">
        <v>383</v>
      </c>
      <c r="B12" t="s">
        <v>101</v>
      </c>
      <c r="C12" t="s">
        <v>101</v>
      </c>
      <c r="D12" t="s">
        <v>116</v>
      </c>
      <c r="E12">
        <v>546</v>
      </c>
      <c r="F12">
        <v>3244</v>
      </c>
    </row>
    <row r="13" spans="1:9">
      <c r="A13" t="s">
        <v>384</v>
      </c>
      <c r="B13" t="s">
        <v>12</v>
      </c>
      <c r="C13" t="s">
        <v>12</v>
      </c>
      <c r="D13" t="s">
        <v>116</v>
      </c>
      <c r="E13">
        <v>474160</v>
      </c>
      <c r="F13">
        <v>352661</v>
      </c>
      <c r="G13" s="41" t="s">
        <v>494</v>
      </c>
      <c r="H13">
        <f>Accounts!F161</f>
        <v>474160</v>
      </c>
      <c r="I13">
        <f>E13-H13</f>
        <v>0</v>
      </c>
    </row>
    <row r="14" spans="1:9">
      <c r="A14" t="s">
        <v>385</v>
      </c>
      <c r="B14" t="s">
        <v>386</v>
      </c>
      <c r="C14" t="s">
        <v>84</v>
      </c>
      <c r="D14" t="s">
        <v>80</v>
      </c>
      <c r="E14">
        <v>10428</v>
      </c>
      <c r="F14">
        <v>10044</v>
      </c>
      <c r="G14" s="39"/>
    </row>
    <row r="15" spans="1:9">
      <c r="A15" t="s">
        <v>387</v>
      </c>
      <c r="D15" t="s">
        <v>80</v>
      </c>
      <c r="E15">
        <v>7152</v>
      </c>
      <c r="F15">
        <v>6868</v>
      </c>
      <c r="G15" s="39"/>
      <c r="H15">
        <f>E15+Accounts!F128</f>
        <v>573782</v>
      </c>
    </row>
    <row r="16" spans="1:9">
      <c r="A16" t="s">
        <v>388</v>
      </c>
      <c r="B16" t="s">
        <v>388</v>
      </c>
      <c r="C16" t="s">
        <v>91</v>
      </c>
      <c r="D16" t="s">
        <v>80</v>
      </c>
      <c r="E16">
        <v>236970</v>
      </c>
      <c r="F16">
        <v>67871</v>
      </c>
      <c r="G16" s="39"/>
      <c r="H16">
        <f>Accounts!F128</f>
        <v>566630</v>
      </c>
    </row>
    <row r="17" spans="1:8">
      <c r="A17" t="s">
        <v>389</v>
      </c>
      <c r="B17" t="s">
        <v>390</v>
      </c>
      <c r="C17" t="s">
        <v>92</v>
      </c>
      <c r="D17" t="s">
        <v>80</v>
      </c>
      <c r="E17">
        <v>285081</v>
      </c>
      <c r="F17">
        <v>79071</v>
      </c>
      <c r="G17" s="39"/>
      <c r="H17">
        <f>H15-H16</f>
        <v>7152</v>
      </c>
    </row>
    <row r="18" spans="1:8">
      <c r="A18" t="s">
        <v>383</v>
      </c>
      <c r="B18" t="s">
        <v>101</v>
      </c>
      <c r="C18" t="s">
        <v>101</v>
      </c>
      <c r="D18" t="s">
        <v>80</v>
      </c>
      <c r="E18">
        <v>19453</v>
      </c>
      <c r="F18">
        <v>18053</v>
      </c>
      <c r="G18" s="39"/>
    </row>
    <row r="19" spans="1:8">
      <c r="A19" t="s">
        <v>391</v>
      </c>
      <c r="B19" t="s">
        <v>113</v>
      </c>
      <c r="C19" t="s">
        <v>113</v>
      </c>
      <c r="D19" t="s">
        <v>80</v>
      </c>
      <c r="E19">
        <v>7546</v>
      </c>
      <c r="F19">
        <v>6210</v>
      </c>
      <c r="G19" s="39"/>
    </row>
    <row r="20" spans="1:8">
      <c r="A20" t="s">
        <v>392</v>
      </c>
      <c r="D20" t="s">
        <v>80</v>
      </c>
      <c r="E20">
        <v>1040790</v>
      </c>
      <c r="F20">
        <v>540778</v>
      </c>
      <c r="G20" s="41" t="s">
        <v>494</v>
      </c>
    </row>
    <row r="21" spans="1:8">
      <c r="A21" t="s">
        <v>393</v>
      </c>
      <c r="D21" t="s">
        <v>80</v>
      </c>
    </row>
    <row r="22" spans="1:8">
      <c r="A22" t="s">
        <v>394</v>
      </c>
      <c r="B22" t="s">
        <v>141</v>
      </c>
      <c r="C22" t="s">
        <v>141</v>
      </c>
      <c r="D22" t="s">
        <v>141</v>
      </c>
    </row>
    <row r="23" spans="1:8">
      <c r="A23" t="s">
        <v>395</v>
      </c>
      <c r="B23" t="s">
        <v>146</v>
      </c>
      <c r="C23" t="s">
        <v>146</v>
      </c>
      <c r="D23" t="s">
        <v>141</v>
      </c>
      <c r="E23">
        <v>14466</v>
      </c>
      <c r="F23">
        <v>197</v>
      </c>
    </row>
    <row r="24" spans="1:8">
      <c r="A24" t="s">
        <v>396</v>
      </c>
      <c r="B24" t="s">
        <v>396</v>
      </c>
      <c r="C24" t="s">
        <v>163</v>
      </c>
      <c r="D24" t="s">
        <v>141</v>
      </c>
      <c r="E24">
        <v>90011</v>
      </c>
      <c r="F24">
        <v>46034</v>
      </c>
    </row>
    <row r="25" spans="1:8">
      <c r="A25" t="s">
        <v>364</v>
      </c>
      <c r="B25" t="s">
        <v>397</v>
      </c>
      <c r="C25" t="s">
        <v>161</v>
      </c>
      <c r="D25" t="s">
        <v>141</v>
      </c>
      <c r="E25">
        <v>118328</v>
      </c>
      <c r="F25">
        <v>52675</v>
      </c>
    </row>
    <row r="26" spans="1:8">
      <c r="A26" t="s">
        <v>398</v>
      </c>
      <c r="B26" t="s">
        <v>13</v>
      </c>
      <c r="C26" t="s">
        <v>13</v>
      </c>
      <c r="D26" t="s">
        <v>141</v>
      </c>
      <c r="E26">
        <v>222805</v>
      </c>
      <c r="F26">
        <v>98906</v>
      </c>
    </row>
    <row r="27" spans="1:8">
      <c r="A27" t="s">
        <v>399</v>
      </c>
      <c r="B27" t="s">
        <v>169</v>
      </c>
      <c r="C27" t="s">
        <v>168</v>
      </c>
      <c r="D27" t="s">
        <v>165</v>
      </c>
      <c r="E27">
        <v>339200</v>
      </c>
      <c r="F27">
        <v>118592</v>
      </c>
    </row>
    <row r="28" spans="1:8">
      <c r="A28" t="s">
        <v>400</v>
      </c>
      <c r="B28" t="s">
        <v>180</v>
      </c>
      <c r="C28" t="s">
        <v>180</v>
      </c>
      <c r="D28" t="s">
        <v>165</v>
      </c>
      <c r="E28">
        <v>61449</v>
      </c>
      <c r="F28">
        <v>6344</v>
      </c>
    </row>
    <row r="29" spans="1:8">
      <c r="A29" t="s">
        <v>401</v>
      </c>
      <c r="D29" t="s">
        <v>165</v>
      </c>
      <c r="E29">
        <v>2339</v>
      </c>
      <c r="F29">
        <v>3352</v>
      </c>
    </row>
    <row r="30" spans="1:8">
      <c r="A30" t="s">
        <v>402</v>
      </c>
      <c r="B30" t="s">
        <v>178</v>
      </c>
      <c r="C30" t="s">
        <v>178</v>
      </c>
      <c r="D30" t="s">
        <v>165</v>
      </c>
      <c r="E30">
        <v>7325</v>
      </c>
      <c r="F30">
        <v>9142</v>
      </c>
    </row>
    <row r="31" spans="1:8">
      <c r="A31" t="s">
        <v>403</v>
      </c>
      <c r="B31" t="s">
        <v>164</v>
      </c>
      <c r="C31" t="s">
        <v>164</v>
      </c>
      <c r="D31" t="s">
        <v>165</v>
      </c>
      <c r="E31">
        <v>633118</v>
      </c>
      <c r="F31">
        <v>236336</v>
      </c>
    </row>
    <row r="32" spans="1:8">
      <c r="A32" t="s">
        <v>404</v>
      </c>
      <c r="B32" t="s">
        <v>180</v>
      </c>
      <c r="C32" t="s">
        <v>180</v>
      </c>
      <c r="D32" t="s">
        <v>165</v>
      </c>
    </row>
    <row r="33" spans="1:6">
      <c r="A33" t="s">
        <v>405</v>
      </c>
      <c r="B33" t="s">
        <v>181</v>
      </c>
      <c r="C33" t="s">
        <v>181</v>
      </c>
      <c r="D33" t="s">
        <v>181</v>
      </c>
    </row>
    <row r="34" spans="1:6">
      <c r="A34" t="s">
        <v>406</v>
      </c>
      <c r="D34" t="s">
        <v>181</v>
      </c>
    </row>
    <row r="35" spans="1:6">
      <c r="A35" t="s">
        <v>407</v>
      </c>
      <c r="B35" t="s">
        <v>182</v>
      </c>
      <c r="C35" t="s">
        <v>182</v>
      </c>
      <c r="D35" t="s">
        <v>181</v>
      </c>
      <c r="E35">
        <v>301</v>
      </c>
      <c r="F35">
        <v>296</v>
      </c>
    </row>
    <row r="36" spans="1:6">
      <c r="A36" t="s">
        <v>408</v>
      </c>
      <c r="B36" t="s">
        <v>117</v>
      </c>
      <c r="C36" t="s">
        <v>117</v>
      </c>
      <c r="D36" t="s">
        <v>116</v>
      </c>
      <c r="E36">
        <v>214198</v>
      </c>
      <c r="F36">
        <v>115667</v>
      </c>
    </row>
    <row r="37" spans="1:6">
      <c r="A37" t="s">
        <v>409</v>
      </c>
      <c r="B37" t="s">
        <v>187</v>
      </c>
      <c r="C37" t="s">
        <v>187</v>
      </c>
      <c r="D37" t="s">
        <v>181</v>
      </c>
      <c r="E37">
        <v>198285</v>
      </c>
      <c r="F37">
        <v>194804</v>
      </c>
    </row>
    <row r="38" spans="1:6">
      <c r="A38" t="s">
        <v>410</v>
      </c>
      <c r="B38" t="s">
        <v>189</v>
      </c>
      <c r="C38" t="s">
        <v>189</v>
      </c>
      <c r="D38" t="s">
        <v>181</v>
      </c>
      <c r="E38">
        <v>-5112</v>
      </c>
      <c r="F38">
        <v>-6325</v>
      </c>
    </row>
    <row r="39" spans="1:6">
      <c r="A39" t="s">
        <v>411</v>
      </c>
      <c r="B39" t="s">
        <v>195</v>
      </c>
      <c r="C39" t="s">
        <v>195</v>
      </c>
      <c r="D39" t="s">
        <v>181</v>
      </c>
      <c r="E39">
        <v>407672</v>
      </c>
      <c r="F39">
        <v>304442</v>
      </c>
    </row>
  </sheetData>
  <mergeCells count="1">
    <mergeCell ref="G8:G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E3" sqref="E3"/>
    </sheetView>
  </sheetViews>
  <sheetFormatPr defaultRowHeight="12.5"/>
  <cols>
    <col min="1" max="1" width="40" customWidth="1"/>
    <col min="2" max="2" width="22.6328125" customWidth="1"/>
    <col min="3" max="3" width="19.81640625" customWidth="1"/>
  </cols>
  <sheetData>
    <row r="2" spans="1:7">
      <c r="E2">
        <v>2017</v>
      </c>
      <c r="F2">
        <v>2016</v>
      </c>
      <c r="G2">
        <v>2015</v>
      </c>
    </row>
    <row r="3" spans="1:7">
      <c r="A3" t="s">
        <v>412</v>
      </c>
      <c r="B3" t="s">
        <v>413</v>
      </c>
      <c r="C3" t="s">
        <v>26</v>
      </c>
      <c r="D3" t="s">
        <v>414</v>
      </c>
      <c r="E3">
        <v>638318</v>
      </c>
      <c r="F3">
        <v>558524</v>
      </c>
      <c r="G3">
        <v>546951</v>
      </c>
    </row>
    <row r="4" spans="1:7">
      <c r="A4" t="s">
        <v>415</v>
      </c>
      <c r="B4" t="s">
        <v>27</v>
      </c>
      <c r="C4" t="s">
        <v>27</v>
      </c>
      <c r="D4" t="s">
        <v>414</v>
      </c>
      <c r="E4">
        <v>497526</v>
      </c>
      <c r="F4">
        <v>415739</v>
      </c>
      <c r="G4">
        <v>411517</v>
      </c>
    </row>
    <row r="5" spans="1:7">
      <c r="A5" t="s">
        <v>416</v>
      </c>
      <c r="B5" t="s">
        <v>417</v>
      </c>
      <c r="C5" t="s">
        <v>32</v>
      </c>
      <c r="D5" t="s">
        <v>414</v>
      </c>
      <c r="E5">
        <v>140792</v>
      </c>
      <c r="F5">
        <v>142785</v>
      </c>
      <c r="G5">
        <v>135434</v>
      </c>
    </row>
    <row r="6" spans="1:7">
      <c r="A6" t="s">
        <v>418</v>
      </c>
      <c r="B6" t="s">
        <v>36</v>
      </c>
      <c r="C6" t="s">
        <v>36</v>
      </c>
      <c r="D6" t="s">
        <v>414</v>
      </c>
      <c r="E6">
        <v>102340</v>
      </c>
      <c r="F6">
        <v>76820</v>
      </c>
      <c r="G6">
        <v>73159</v>
      </c>
    </row>
    <row r="7" spans="1:7">
      <c r="A7" t="s">
        <v>419</v>
      </c>
      <c r="B7" t="s">
        <v>37</v>
      </c>
      <c r="C7" t="s">
        <v>37</v>
      </c>
      <c r="D7" t="s">
        <v>414</v>
      </c>
      <c r="E7">
        <v>-7898</v>
      </c>
      <c r="F7">
        <v>-7937</v>
      </c>
      <c r="G7">
        <v>5942</v>
      </c>
    </row>
    <row r="8" spans="1:7">
      <c r="A8" t="s">
        <v>420</v>
      </c>
      <c r="B8" t="s">
        <v>414</v>
      </c>
      <c r="C8" t="s">
        <v>26</v>
      </c>
      <c r="D8" t="s">
        <v>414</v>
      </c>
      <c r="E8">
        <v>30554</v>
      </c>
      <c r="F8">
        <v>58028</v>
      </c>
      <c r="G8">
        <v>56333</v>
      </c>
    </row>
    <row r="9" spans="1:7">
      <c r="A9" t="s">
        <v>421</v>
      </c>
      <c r="B9" t="s">
        <v>56</v>
      </c>
      <c r="C9" t="s">
        <v>56</v>
      </c>
      <c r="D9" t="s">
        <v>414</v>
      </c>
    </row>
    <row r="10" spans="1:7">
      <c r="A10" t="s">
        <v>422</v>
      </c>
      <c r="B10" t="s">
        <v>51</v>
      </c>
      <c r="C10" t="s">
        <v>51</v>
      </c>
      <c r="D10" t="s">
        <v>414</v>
      </c>
      <c r="E10">
        <v>-15770</v>
      </c>
      <c r="F10">
        <v>-6997</v>
      </c>
      <c r="G10">
        <v>-3954</v>
      </c>
    </row>
    <row r="11" spans="1:7">
      <c r="A11" t="s">
        <v>423</v>
      </c>
      <c r="B11" t="s">
        <v>424</v>
      </c>
      <c r="C11" t="s">
        <v>56</v>
      </c>
      <c r="D11" t="s">
        <v>414</v>
      </c>
      <c r="E11">
        <v>2577</v>
      </c>
      <c r="F11">
        <v>2823</v>
      </c>
      <c r="G11">
        <v>1486</v>
      </c>
    </row>
    <row r="12" spans="1:7">
      <c r="D12" t="s">
        <v>414</v>
      </c>
      <c r="E12">
        <v>-13193</v>
      </c>
      <c r="F12">
        <v>-4174</v>
      </c>
      <c r="G12">
        <v>-2468</v>
      </c>
    </row>
    <row r="13" spans="1:7">
      <c r="A13" t="s">
        <v>425</v>
      </c>
      <c r="B13" t="s">
        <v>426</v>
      </c>
      <c r="C13" t="s">
        <v>61</v>
      </c>
      <c r="D13" t="s">
        <v>414</v>
      </c>
      <c r="E13">
        <v>17361</v>
      </c>
      <c r="F13">
        <v>53854</v>
      </c>
      <c r="G13">
        <v>53865</v>
      </c>
    </row>
    <row r="14" spans="1:7">
      <c r="A14" t="s">
        <v>427</v>
      </c>
      <c r="B14" t="s">
        <v>62</v>
      </c>
      <c r="C14" t="s">
        <v>62</v>
      </c>
      <c r="D14" t="s">
        <v>414</v>
      </c>
      <c r="E14">
        <v>5985</v>
      </c>
      <c r="F14">
        <v>19088</v>
      </c>
      <c r="G14">
        <v>20382</v>
      </c>
    </row>
    <row r="15" spans="1:7">
      <c r="A15" t="s">
        <v>428</v>
      </c>
      <c r="B15" t="s">
        <v>70</v>
      </c>
      <c r="C15" t="s">
        <v>70</v>
      </c>
      <c r="D15" t="s">
        <v>414</v>
      </c>
      <c r="E15">
        <v>11376</v>
      </c>
      <c r="F15">
        <v>34766</v>
      </c>
      <c r="G15">
        <v>33483</v>
      </c>
    </row>
    <row r="16" spans="1:7">
      <c r="A16" t="s">
        <v>429</v>
      </c>
      <c r="D16" t="s">
        <v>414</v>
      </c>
      <c r="E16">
        <v>35</v>
      </c>
      <c r="F16">
        <v>119</v>
      </c>
      <c r="G16">
        <v>117</v>
      </c>
    </row>
    <row r="17" spans="1:7">
      <c r="A17" t="s">
        <v>430</v>
      </c>
      <c r="D17" t="s">
        <v>414</v>
      </c>
      <c r="E17">
        <v>35</v>
      </c>
      <c r="F17">
        <v>118</v>
      </c>
      <c r="G17">
        <v>114</v>
      </c>
    </row>
    <row r="18" spans="1:7">
      <c r="A18" t="s">
        <v>431</v>
      </c>
      <c r="D18" t="s">
        <v>414</v>
      </c>
    </row>
    <row r="19" spans="1:7">
      <c r="A19" t="s">
        <v>432</v>
      </c>
      <c r="D19" t="s">
        <v>414</v>
      </c>
      <c r="E19">
        <v>32283</v>
      </c>
      <c r="F19">
        <v>29110</v>
      </c>
      <c r="G19">
        <v>28731</v>
      </c>
    </row>
    <row r="20" spans="1:7">
      <c r="A20" t="s">
        <v>433</v>
      </c>
      <c r="D20" t="s">
        <v>414</v>
      </c>
    </row>
    <row r="21" spans="1:7">
      <c r="A21" t="s">
        <v>434</v>
      </c>
      <c r="D21" t="s">
        <v>414</v>
      </c>
    </row>
    <row r="22" spans="1:7">
      <c r="A22" t="s">
        <v>435</v>
      </c>
      <c r="D22" t="s">
        <v>414</v>
      </c>
    </row>
    <row r="23" spans="1:7">
      <c r="A23" t="s">
        <v>436</v>
      </c>
      <c r="D23" t="s">
        <v>414</v>
      </c>
    </row>
    <row r="24" spans="1:7">
      <c r="D24" t="s">
        <v>414</v>
      </c>
      <c r="E24">
        <v>2017</v>
      </c>
      <c r="F24">
        <v>2016</v>
      </c>
      <c r="G24">
        <v>2015</v>
      </c>
    </row>
    <row r="25" spans="1:7">
      <c r="A25" t="s">
        <v>428</v>
      </c>
      <c r="B25" t="s">
        <v>70</v>
      </c>
      <c r="C25" t="s">
        <v>70</v>
      </c>
      <c r="D25" t="s">
        <v>414</v>
      </c>
      <c r="E25">
        <v>11376</v>
      </c>
      <c r="F25">
        <v>34766</v>
      </c>
      <c r="G25">
        <v>33483</v>
      </c>
    </row>
    <row r="26" spans="1:7">
      <c r="A26" t="s">
        <v>437</v>
      </c>
      <c r="B26" t="s">
        <v>438</v>
      </c>
      <c r="C26" t="s">
        <v>438</v>
      </c>
      <c r="D26" t="s">
        <v>414</v>
      </c>
    </row>
    <row r="27" spans="1:7">
      <c r="A27" t="s">
        <v>439</v>
      </c>
      <c r="B27" t="s">
        <v>59</v>
      </c>
      <c r="C27" t="s">
        <v>59</v>
      </c>
      <c r="D27" t="s">
        <v>414</v>
      </c>
      <c r="E27">
        <v>-1780</v>
      </c>
      <c r="F27">
        <v>-368</v>
      </c>
      <c r="G27">
        <v>-12354</v>
      </c>
    </row>
    <row r="28" spans="1:7">
      <c r="A28" t="s">
        <v>440</v>
      </c>
      <c r="D28" t="s">
        <v>414</v>
      </c>
      <c r="E28">
        <v>-581</v>
      </c>
      <c r="F28">
        <v>-149</v>
      </c>
      <c r="G28">
        <v>99</v>
      </c>
    </row>
    <row r="29" spans="1:7">
      <c r="A29" t="s">
        <v>441</v>
      </c>
      <c r="D29" t="s">
        <v>414</v>
      </c>
      <c r="F29">
        <v>487</v>
      </c>
    </row>
    <row r="30" spans="1:7">
      <c r="A30" t="s">
        <v>442</v>
      </c>
      <c r="D30" t="s">
        <v>414</v>
      </c>
      <c r="E30">
        <v>14</v>
      </c>
      <c r="F30">
        <v>65</v>
      </c>
      <c r="G30">
        <v>-213</v>
      </c>
    </row>
    <row r="31" spans="1:7">
      <c r="A31" t="s">
        <v>443</v>
      </c>
      <c r="B31" t="s">
        <v>444</v>
      </c>
      <c r="C31" t="s">
        <v>438</v>
      </c>
      <c r="D31" t="s">
        <v>414</v>
      </c>
      <c r="E31">
        <v>1213</v>
      </c>
      <c r="F31">
        <v>771</v>
      </c>
      <c r="G31">
        <v>-12468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8" sqref="C8"/>
    </sheetView>
  </sheetViews>
  <sheetFormatPr defaultRowHeight="12.5"/>
  <sheetData>
    <row r="1" spans="1:7">
      <c r="A1" t="s">
        <v>436</v>
      </c>
    </row>
    <row r="2" spans="1:7">
      <c r="E2">
        <v>2017</v>
      </c>
      <c r="F2">
        <v>2016</v>
      </c>
      <c r="G2">
        <v>2015</v>
      </c>
    </row>
    <row r="3" spans="1:7">
      <c r="A3" t="s">
        <v>445</v>
      </c>
      <c r="B3" t="s">
        <v>231</v>
      </c>
      <c r="C3" t="s">
        <v>231</v>
      </c>
      <c r="D3" t="s">
        <v>446</v>
      </c>
    </row>
    <row r="4" spans="1:7">
      <c r="A4" t="s">
        <v>428</v>
      </c>
      <c r="B4" t="s">
        <v>232</v>
      </c>
      <c r="C4" t="s">
        <v>232</v>
      </c>
      <c r="D4" t="s">
        <v>446</v>
      </c>
      <c r="E4">
        <v>11376</v>
      </c>
      <c r="F4">
        <v>34766</v>
      </c>
      <c r="G4">
        <v>33483</v>
      </c>
    </row>
    <row r="5" spans="1:7">
      <c r="A5" t="s">
        <v>447</v>
      </c>
      <c r="D5" t="s">
        <v>446</v>
      </c>
    </row>
    <row r="6" spans="1:7">
      <c r="A6" t="s">
        <v>448</v>
      </c>
      <c r="B6" t="s">
        <v>236</v>
      </c>
      <c r="C6" t="s">
        <v>236</v>
      </c>
      <c r="D6" t="s">
        <v>446</v>
      </c>
      <c r="E6">
        <v>23754</v>
      </c>
      <c r="F6">
        <v>12698</v>
      </c>
      <c r="G6">
        <v>11849</v>
      </c>
    </row>
    <row r="7" spans="1:7">
      <c r="A7" t="s">
        <v>449</v>
      </c>
      <c r="B7" t="s">
        <v>240</v>
      </c>
      <c r="C7" t="s">
        <v>240</v>
      </c>
      <c r="D7" t="s">
        <v>446</v>
      </c>
      <c r="E7">
        <v>5847</v>
      </c>
      <c r="F7">
        <v>3496</v>
      </c>
    </row>
    <row r="8" spans="1:7">
      <c r="A8" t="s">
        <v>450</v>
      </c>
      <c r="B8" t="s">
        <v>240</v>
      </c>
      <c r="C8" t="s">
        <v>240</v>
      </c>
      <c r="D8" t="s">
        <v>446</v>
      </c>
      <c r="E8">
        <v>570</v>
      </c>
    </row>
    <row r="9" spans="1:7">
      <c r="A9" t="s">
        <v>451</v>
      </c>
      <c r="B9" t="s">
        <v>250</v>
      </c>
      <c r="C9" t="s">
        <v>250</v>
      </c>
      <c r="D9" t="s">
        <v>446</v>
      </c>
      <c r="E9">
        <v>-3</v>
      </c>
      <c r="F9">
        <v>76</v>
      </c>
      <c r="G9">
        <v>484</v>
      </c>
    </row>
    <row r="10" spans="1:7">
      <c r="A10" t="s">
        <v>452</v>
      </c>
      <c r="B10" t="s">
        <v>248</v>
      </c>
      <c r="C10" t="s">
        <v>248</v>
      </c>
      <c r="D10" t="s">
        <v>446</v>
      </c>
      <c r="E10">
        <v>6956</v>
      </c>
      <c r="F10">
        <v>6719</v>
      </c>
      <c r="G10">
        <v>4537</v>
      </c>
    </row>
    <row r="11" spans="1:7">
      <c r="A11" t="s">
        <v>453</v>
      </c>
      <c r="B11" t="s">
        <v>269</v>
      </c>
      <c r="C11" t="s">
        <v>269</v>
      </c>
      <c r="D11" t="s">
        <v>446</v>
      </c>
      <c r="E11">
        <v>-504</v>
      </c>
      <c r="F11">
        <v>-18</v>
      </c>
      <c r="G11">
        <v>-1874</v>
      </c>
    </row>
    <row r="12" spans="1:7">
      <c r="A12" t="s">
        <v>454</v>
      </c>
      <c r="B12" t="s">
        <v>244</v>
      </c>
      <c r="C12" t="s">
        <v>244</v>
      </c>
      <c r="D12" t="s">
        <v>446</v>
      </c>
      <c r="E12">
        <v>-2336</v>
      </c>
      <c r="F12">
        <v>-2060</v>
      </c>
      <c r="G12">
        <v>-1761</v>
      </c>
    </row>
    <row r="13" spans="1:7">
      <c r="A13" t="s">
        <v>455</v>
      </c>
      <c r="B13" t="s">
        <v>277</v>
      </c>
      <c r="C13" t="s">
        <v>277</v>
      </c>
      <c r="D13" t="s">
        <v>446</v>
      </c>
      <c r="F13">
        <v>-1074</v>
      </c>
      <c r="G13">
        <v>-3468</v>
      </c>
    </row>
    <row r="14" spans="1:7">
      <c r="A14" t="s">
        <v>456</v>
      </c>
      <c r="B14" t="s">
        <v>236</v>
      </c>
      <c r="C14" t="s">
        <v>236</v>
      </c>
      <c r="D14" t="s">
        <v>446</v>
      </c>
      <c r="E14">
        <v>4502</v>
      </c>
    </row>
    <row r="15" spans="1:7">
      <c r="A15" t="s">
        <v>457</v>
      </c>
      <c r="D15" t="s">
        <v>446</v>
      </c>
      <c r="E15">
        <v>903</v>
      </c>
      <c r="F15">
        <v>1313</v>
      </c>
      <c r="G15">
        <v>1618</v>
      </c>
    </row>
    <row r="16" spans="1:7">
      <c r="A16" t="s">
        <v>458</v>
      </c>
      <c r="D16" t="s">
        <v>446</v>
      </c>
    </row>
    <row r="17" spans="1:7">
      <c r="A17" t="s">
        <v>459</v>
      </c>
      <c r="B17" t="s">
        <v>265</v>
      </c>
      <c r="C17" t="s">
        <v>265</v>
      </c>
      <c r="D17" t="s">
        <v>446</v>
      </c>
      <c r="E17">
        <v>-17598</v>
      </c>
      <c r="F17">
        <v>-6149</v>
      </c>
      <c r="G17">
        <v>-44181</v>
      </c>
    </row>
    <row r="18" spans="1:7">
      <c r="A18" t="s">
        <v>354</v>
      </c>
      <c r="B18" t="s">
        <v>262</v>
      </c>
      <c r="C18" t="s">
        <v>262</v>
      </c>
      <c r="D18" t="s">
        <v>446</v>
      </c>
      <c r="E18">
        <v>185</v>
      </c>
      <c r="F18">
        <v>136</v>
      </c>
      <c r="G18">
        <v>-5644</v>
      </c>
    </row>
    <row r="19" spans="1:7">
      <c r="A19" t="s">
        <v>381</v>
      </c>
      <c r="B19" t="s">
        <v>261</v>
      </c>
      <c r="C19" t="s">
        <v>261</v>
      </c>
      <c r="D19" t="s">
        <v>446</v>
      </c>
      <c r="E19">
        <v>-2958</v>
      </c>
      <c r="F19">
        <v>-2489</v>
      </c>
      <c r="G19">
        <v>-229</v>
      </c>
    </row>
    <row r="20" spans="1:7">
      <c r="A20" t="s">
        <v>382</v>
      </c>
      <c r="B20" t="s">
        <v>264</v>
      </c>
      <c r="C20" t="s">
        <v>264</v>
      </c>
      <c r="D20" t="s">
        <v>446</v>
      </c>
      <c r="E20">
        <v>1209</v>
      </c>
      <c r="F20">
        <v>-243</v>
      </c>
      <c r="G20">
        <v>304</v>
      </c>
    </row>
    <row r="21" spans="1:7">
      <c r="A21" t="s">
        <v>391</v>
      </c>
      <c r="B21" t="s">
        <v>276</v>
      </c>
      <c r="C21" t="s">
        <v>276</v>
      </c>
      <c r="D21" t="s">
        <v>446</v>
      </c>
      <c r="E21">
        <v>-157</v>
      </c>
      <c r="F21">
        <v>-557</v>
      </c>
      <c r="G21">
        <v>1254</v>
      </c>
    </row>
    <row r="22" spans="1:7">
      <c r="A22" t="s">
        <v>396</v>
      </c>
      <c r="B22" t="s">
        <v>275</v>
      </c>
      <c r="C22" t="s">
        <v>275</v>
      </c>
      <c r="D22" t="s">
        <v>446</v>
      </c>
      <c r="E22">
        <v>-3097</v>
      </c>
      <c r="F22">
        <v>-8937</v>
      </c>
      <c r="G22">
        <v>8133</v>
      </c>
    </row>
    <row r="23" spans="1:7">
      <c r="A23" t="s">
        <v>460</v>
      </c>
      <c r="B23" t="s">
        <v>277</v>
      </c>
      <c r="C23" t="s">
        <v>277</v>
      </c>
      <c r="D23" t="s">
        <v>446</v>
      </c>
      <c r="E23">
        <v>14010</v>
      </c>
      <c r="F23">
        <v>-7689</v>
      </c>
      <c r="G23">
        <v>1816</v>
      </c>
    </row>
    <row r="24" spans="1:7">
      <c r="A24" t="s">
        <v>461</v>
      </c>
      <c r="D24" t="s">
        <v>446</v>
      </c>
      <c r="E24">
        <v>1908</v>
      </c>
      <c r="F24">
        <v>1843</v>
      </c>
      <c r="G24">
        <v>2022</v>
      </c>
    </row>
    <row r="25" spans="1:7">
      <c r="A25" t="s">
        <v>462</v>
      </c>
      <c r="B25" t="s">
        <v>285</v>
      </c>
      <c r="C25" t="s">
        <v>285</v>
      </c>
      <c r="D25" t="s">
        <v>446</v>
      </c>
      <c r="E25">
        <v>44567</v>
      </c>
      <c r="F25">
        <v>31831</v>
      </c>
      <c r="G25">
        <v>8343</v>
      </c>
    </row>
    <row r="26" spans="1:7">
      <c r="A26" t="s">
        <v>463</v>
      </c>
      <c r="B26" t="s">
        <v>286</v>
      </c>
      <c r="C26" t="s">
        <v>286</v>
      </c>
      <c r="D26" t="s">
        <v>464</v>
      </c>
    </row>
    <row r="27" spans="1:7">
      <c r="A27" t="s">
        <v>465</v>
      </c>
      <c r="B27" t="s">
        <v>289</v>
      </c>
      <c r="C27" t="s">
        <v>289</v>
      </c>
      <c r="D27" t="s">
        <v>464</v>
      </c>
      <c r="E27">
        <v>-270000</v>
      </c>
    </row>
    <row r="28" spans="1:7">
      <c r="A28" t="s">
        <v>466</v>
      </c>
      <c r="B28" t="s">
        <v>290</v>
      </c>
      <c r="C28" t="s">
        <v>290</v>
      </c>
      <c r="D28" t="s">
        <v>464</v>
      </c>
      <c r="E28">
        <v>-2035</v>
      </c>
      <c r="F28">
        <v>-34</v>
      </c>
      <c r="G28">
        <v>-2720</v>
      </c>
    </row>
    <row r="29" spans="1:7">
      <c r="A29" t="s">
        <v>467</v>
      </c>
      <c r="B29" t="s">
        <v>291</v>
      </c>
      <c r="C29" t="s">
        <v>291</v>
      </c>
      <c r="D29" t="s">
        <v>464</v>
      </c>
      <c r="E29">
        <v>909</v>
      </c>
      <c r="F29">
        <v>2517</v>
      </c>
    </row>
    <row r="30" spans="1:7">
      <c r="A30" t="s">
        <v>468</v>
      </c>
      <c r="B30" t="s">
        <v>289</v>
      </c>
      <c r="C30" t="s">
        <v>289</v>
      </c>
      <c r="D30" t="s">
        <v>464</v>
      </c>
      <c r="E30">
        <v>-3359</v>
      </c>
      <c r="F30">
        <v>-11249</v>
      </c>
      <c r="G30">
        <v>-1564</v>
      </c>
    </row>
    <row r="31" spans="1:7">
      <c r="A31" t="s">
        <v>469</v>
      </c>
      <c r="B31" t="s">
        <v>287</v>
      </c>
      <c r="C31" t="s">
        <v>287</v>
      </c>
      <c r="D31" t="s">
        <v>464</v>
      </c>
      <c r="E31">
        <v>-1893</v>
      </c>
      <c r="F31">
        <v>-1128</v>
      </c>
      <c r="G31">
        <v>-617</v>
      </c>
    </row>
    <row r="32" spans="1:7">
      <c r="A32" t="s">
        <v>470</v>
      </c>
      <c r="B32" t="s">
        <v>296</v>
      </c>
      <c r="C32" t="s">
        <v>296</v>
      </c>
      <c r="D32" t="s">
        <v>464</v>
      </c>
      <c r="E32">
        <v>-276378</v>
      </c>
      <c r="F32">
        <v>-9894</v>
      </c>
      <c r="G32">
        <v>-4901</v>
      </c>
    </row>
    <row r="33" spans="1:7">
      <c r="A33" t="s">
        <v>471</v>
      </c>
      <c r="B33" t="s">
        <v>297</v>
      </c>
      <c r="C33" t="s">
        <v>297</v>
      </c>
      <c r="D33" t="s">
        <v>472</v>
      </c>
    </row>
    <row r="34" spans="1:7">
      <c r="A34" t="s">
        <v>473</v>
      </c>
      <c r="B34" t="s">
        <v>298</v>
      </c>
      <c r="C34" t="s">
        <v>298</v>
      </c>
      <c r="D34" t="s">
        <v>472</v>
      </c>
      <c r="E34">
        <v>551</v>
      </c>
      <c r="F34">
        <v>729</v>
      </c>
      <c r="G34">
        <v>1273</v>
      </c>
    </row>
    <row r="35" spans="1:7">
      <c r="A35" t="s">
        <v>474</v>
      </c>
      <c r="B35" t="s">
        <v>475</v>
      </c>
      <c r="C35" t="s">
        <v>475</v>
      </c>
      <c r="D35" t="s">
        <v>472</v>
      </c>
      <c r="E35">
        <v>546</v>
      </c>
      <c r="F35">
        <v>1219</v>
      </c>
      <c r="G35">
        <v>790</v>
      </c>
    </row>
    <row r="36" spans="1:7">
      <c r="A36" t="s">
        <v>476</v>
      </c>
      <c r="B36" t="s">
        <v>477</v>
      </c>
      <c r="C36" t="s">
        <v>307</v>
      </c>
      <c r="D36" t="s">
        <v>472</v>
      </c>
      <c r="E36">
        <v>-7831</v>
      </c>
      <c r="F36">
        <v>-7084</v>
      </c>
      <c r="G36">
        <v>-6964</v>
      </c>
    </row>
    <row r="37" spans="1:7">
      <c r="A37" t="s">
        <v>478</v>
      </c>
      <c r="B37" t="s">
        <v>302</v>
      </c>
      <c r="C37" t="s">
        <v>302</v>
      </c>
      <c r="D37" t="s">
        <v>472</v>
      </c>
      <c r="G37">
        <v>-3500</v>
      </c>
    </row>
    <row r="38" spans="1:7">
      <c r="A38" t="s">
        <v>479</v>
      </c>
      <c r="B38" t="s">
        <v>277</v>
      </c>
      <c r="C38" t="s">
        <v>277</v>
      </c>
      <c r="D38" t="s">
        <v>446</v>
      </c>
      <c r="F38">
        <v>-1500</v>
      </c>
      <c r="G38">
        <v>-4500</v>
      </c>
    </row>
    <row r="39" spans="1:7">
      <c r="A39" t="s">
        <v>480</v>
      </c>
      <c r="B39" t="s">
        <v>299</v>
      </c>
      <c r="C39" t="s">
        <v>299</v>
      </c>
      <c r="D39" t="s">
        <v>472</v>
      </c>
      <c r="F39">
        <v>143750</v>
      </c>
    </row>
    <row r="40" spans="1:7">
      <c r="A40" t="s">
        <v>481</v>
      </c>
      <c r="B40" t="s">
        <v>475</v>
      </c>
      <c r="C40" t="s">
        <v>475</v>
      </c>
      <c r="D40" t="s">
        <v>472</v>
      </c>
      <c r="F40">
        <v>-5153</v>
      </c>
    </row>
    <row r="41" spans="1:7">
      <c r="A41" t="s">
        <v>482</v>
      </c>
      <c r="B41" t="s">
        <v>299</v>
      </c>
      <c r="C41" t="s">
        <v>299</v>
      </c>
      <c r="D41" t="s">
        <v>472</v>
      </c>
      <c r="F41">
        <v>13685</v>
      </c>
    </row>
    <row r="42" spans="1:7">
      <c r="A42" t="s">
        <v>483</v>
      </c>
      <c r="B42" t="s">
        <v>475</v>
      </c>
      <c r="C42" t="s">
        <v>475</v>
      </c>
      <c r="D42" t="s">
        <v>472</v>
      </c>
      <c r="F42">
        <v>-27174</v>
      </c>
    </row>
    <row r="43" spans="1:7">
      <c r="A43" t="s">
        <v>484</v>
      </c>
      <c r="B43" t="s">
        <v>475</v>
      </c>
      <c r="C43" t="s">
        <v>475</v>
      </c>
      <c r="D43" t="s">
        <v>472</v>
      </c>
      <c r="F43">
        <v>-420</v>
      </c>
    </row>
    <row r="44" spans="1:7">
      <c r="A44" t="s">
        <v>485</v>
      </c>
      <c r="B44" t="s">
        <v>302</v>
      </c>
      <c r="C44" t="s">
        <v>302</v>
      </c>
      <c r="D44" t="s">
        <v>472</v>
      </c>
      <c r="E44">
        <v>275000</v>
      </c>
      <c r="F44">
        <v>15500</v>
      </c>
      <c r="G44">
        <v>19000</v>
      </c>
    </row>
    <row r="45" spans="1:7">
      <c r="A45" t="s">
        <v>486</v>
      </c>
      <c r="B45" t="s">
        <v>475</v>
      </c>
      <c r="C45" t="s">
        <v>475</v>
      </c>
      <c r="D45" t="s">
        <v>472</v>
      </c>
      <c r="E45">
        <v>-5407</v>
      </c>
    </row>
    <row r="46" spans="1:7">
      <c r="A46" t="s">
        <v>487</v>
      </c>
      <c r="B46" t="s">
        <v>302</v>
      </c>
      <c r="C46" t="s">
        <v>302</v>
      </c>
      <c r="D46" t="s">
        <v>472</v>
      </c>
      <c r="E46">
        <v>-42697</v>
      </c>
      <c r="F46">
        <v>-122697</v>
      </c>
      <c r="G46">
        <v>-14344</v>
      </c>
    </row>
    <row r="47" spans="1:7">
      <c r="A47" t="s">
        <v>488</v>
      </c>
      <c r="B47" t="s">
        <v>311</v>
      </c>
      <c r="C47" t="s">
        <v>311</v>
      </c>
      <c r="D47" t="s">
        <v>472</v>
      </c>
      <c r="E47">
        <v>220162</v>
      </c>
      <c r="F47">
        <v>10855</v>
      </c>
      <c r="G47">
        <v>-8245</v>
      </c>
    </row>
    <row r="48" spans="1:7">
      <c r="A48" t="s">
        <v>489</v>
      </c>
      <c r="B48" t="s">
        <v>313</v>
      </c>
      <c r="C48" t="s">
        <v>313</v>
      </c>
      <c r="D48" t="s">
        <v>472</v>
      </c>
      <c r="E48">
        <v>501</v>
      </c>
      <c r="F48">
        <v>16</v>
      </c>
      <c r="G48">
        <v>-4074</v>
      </c>
    </row>
    <row r="49" spans="1:7">
      <c r="A49" t="s">
        <v>490</v>
      </c>
      <c r="B49" t="s">
        <v>491</v>
      </c>
      <c r="C49" t="s">
        <v>312</v>
      </c>
      <c r="D49" t="s">
        <v>472</v>
      </c>
      <c r="E49">
        <v>-11148</v>
      </c>
      <c r="F49">
        <v>32808</v>
      </c>
      <c r="G49">
        <v>-8877</v>
      </c>
    </row>
    <row r="50" spans="1:7">
      <c r="A50" t="s">
        <v>492</v>
      </c>
      <c r="B50" t="s">
        <v>492</v>
      </c>
      <c r="C50" t="s">
        <v>315</v>
      </c>
      <c r="D50" t="s">
        <v>472</v>
      </c>
      <c r="E50">
        <v>66828</v>
      </c>
      <c r="F50">
        <v>34020</v>
      </c>
      <c r="G50">
        <v>42897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2.5"/>
  <cols>
    <col min="1" max="1" width="34.1796875" customWidth="1"/>
    <col min="2" max="2" width="69.7265625" customWidth="1"/>
    <col min="3" max="3" width="25.1796875" customWidth="1"/>
  </cols>
  <sheetData>
    <row r="1" spans="1:5">
      <c r="A1" t="s">
        <v>495</v>
      </c>
      <c r="B1" s="42" t="s">
        <v>498</v>
      </c>
      <c r="C1" t="s">
        <v>496</v>
      </c>
      <c r="D1" s="47"/>
      <c r="E1" s="47"/>
    </row>
    <row r="2" spans="1:5">
      <c r="A2" t="s">
        <v>387</v>
      </c>
      <c r="B2" t="s">
        <v>112</v>
      </c>
      <c r="C2" s="42" t="s">
        <v>497</v>
      </c>
    </row>
    <row r="3" spans="1:5">
      <c r="A3" s="42" t="s">
        <v>379</v>
      </c>
      <c r="B3" t="s">
        <v>139</v>
      </c>
      <c r="C3" s="42" t="s">
        <v>497</v>
      </c>
    </row>
    <row r="4" spans="1:5">
      <c r="A4" t="s">
        <v>383</v>
      </c>
      <c r="B4" t="s">
        <v>138</v>
      </c>
      <c r="C4" s="42" t="s">
        <v>497</v>
      </c>
    </row>
    <row r="5" spans="1:5">
      <c r="A5" s="42" t="s">
        <v>412</v>
      </c>
      <c r="B5" s="42" t="s">
        <v>26</v>
      </c>
      <c r="C5" s="42" t="s">
        <v>497</v>
      </c>
    </row>
    <row r="6" spans="1:5">
      <c r="A6" t="s">
        <v>401</v>
      </c>
      <c r="B6" s="42" t="s">
        <v>180</v>
      </c>
      <c r="C6" s="42" t="s">
        <v>497</v>
      </c>
    </row>
    <row r="7" spans="1:5">
      <c r="A7" s="42" t="s">
        <v>408</v>
      </c>
      <c r="B7" s="1" t="s">
        <v>182</v>
      </c>
      <c r="C7" s="42" t="s">
        <v>497</v>
      </c>
    </row>
  </sheetData>
  <conditionalFormatting sqref="B7">
    <cfRule type="expression" dxfId="0" priority="1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9FFF47-78B0-48C2-818B-73F73F4FC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A9E227-02FA-477E-9D08-E1C397C35E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204394-4DF0-4806-959F-5830625D12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Ratios</vt:lpstr>
      <vt:lpstr>bs</vt:lpstr>
      <vt:lpstr>pl</vt:lpstr>
      <vt:lpstr>cf</vt:lpstr>
      <vt:lpstr>mappingTemplate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Lenovo</cp:lastModifiedBy>
  <cp:revision/>
  <dcterms:created xsi:type="dcterms:W3CDTF">2019-04-04T09:01:00Z</dcterms:created>
  <dcterms:modified xsi:type="dcterms:W3CDTF">2021-09-24T13:38:32Z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