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niyos\OneDrive\Desktop\Aptivaa\FinancialSpreads Ground Truth\Financial Statements - PDF &amp; Excel\"/>
    </mc:Choice>
  </mc:AlternateContent>
  <xr:revisionPtr revIDLastSave="0" documentId="13_ncr:1_{E3E03FC8-07DF-4243-BE88-AEC4B94A28B6}" xr6:coauthVersionLast="47" xr6:coauthVersionMax="47" xr10:uidLastSave="{00000000-0000-0000-0000-000000000000}"/>
  <bookViews>
    <workbookView xWindow="10380" yWindow="0" windowWidth="12648" windowHeight="11268" xr2:uid="{00000000-000D-0000-FFFF-FFFF00000000}"/>
  </bookViews>
  <sheets>
    <sheet name="Accounts" sheetId="1" r:id="rId1"/>
    <sheet name="mapping template" sheetId="6" r:id="rId2"/>
    <sheet name="Ratios" sheetId="2" r:id="rId3"/>
    <sheet name="bs" sheetId="3" r:id="rId4"/>
    <sheet name="pl" sheetId="4" r:id="rId5"/>
    <sheet name="cf" sheetId="5" r:id="rId6"/>
  </sheets>
  <calcPr calcId="191029"/>
</workbook>
</file>

<file path=xl/calcChain.xml><?xml version="1.0" encoding="utf-8"?>
<calcChain xmlns="http://schemas.openxmlformats.org/spreadsheetml/2006/main">
  <c r="F67" i="1" l="1"/>
  <c r="G212" i="1" l="1"/>
  <c r="F212" i="1"/>
  <c r="G92" i="1"/>
  <c r="F92" i="1"/>
  <c r="G89" i="1"/>
  <c r="F89" i="1"/>
  <c r="G432" i="1" l="1"/>
  <c r="G433" i="1" s="1"/>
  <c r="F432" i="1"/>
  <c r="F433" i="1" s="1"/>
  <c r="G417" i="1"/>
  <c r="G418" i="1" s="1"/>
  <c r="F417" i="1"/>
  <c r="F418" i="1" s="1"/>
  <c r="G409" i="1"/>
  <c r="G410" i="1" s="1"/>
  <c r="F409" i="1"/>
  <c r="F410" i="1" s="1"/>
  <c r="G397" i="1"/>
  <c r="F397" i="1"/>
  <c r="M382" i="1"/>
  <c r="O381" i="1"/>
  <c r="N381" i="1"/>
  <c r="M381" i="1"/>
  <c r="L381" i="1"/>
  <c r="K381" i="1"/>
  <c r="J381" i="1"/>
  <c r="F381" i="1"/>
  <c r="K377" i="1"/>
  <c r="J377" i="1"/>
  <c r="M376" i="1"/>
  <c r="O375" i="1"/>
  <c r="N375" i="1"/>
  <c r="M375" i="1"/>
  <c r="L375" i="1"/>
  <c r="K375" i="1"/>
  <c r="J375" i="1"/>
  <c r="F375" i="1"/>
  <c r="I373" i="1"/>
  <c r="M371" i="1"/>
  <c r="L371" i="1"/>
  <c r="O370" i="1"/>
  <c r="N370" i="1"/>
  <c r="J370" i="1"/>
  <c r="I369" i="1"/>
  <c r="H369" i="1"/>
  <c r="N368" i="1"/>
  <c r="K368" i="1"/>
  <c r="J368" i="1"/>
  <c r="L366" i="1"/>
  <c r="H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F11" i="1" s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F12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8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366" i="1" s="1"/>
  <c r="M12" i="1"/>
  <c r="L12" i="1"/>
  <c r="K12" i="1"/>
  <c r="K366" i="1" s="1"/>
  <c r="J12" i="1"/>
  <c r="J366" i="1" s="1"/>
  <c r="I12" i="1"/>
  <c r="I366" i="1" s="1"/>
  <c r="H12" i="1"/>
  <c r="O11" i="1"/>
  <c r="N11" i="1"/>
  <c r="M11" i="1"/>
  <c r="L11" i="1"/>
  <c r="L373" i="1" s="1"/>
  <c r="K11" i="1"/>
  <c r="J11" i="1"/>
  <c r="I11" i="1"/>
  <c r="H11" i="1"/>
  <c r="G11" i="1"/>
  <c r="O10" i="1"/>
  <c r="N10" i="1"/>
  <c r="N377" i="1" s="1"/>
  <c r="M10" i="1"/>
  <c r="L10" i="1"/>
  <c r="K10" i="1"/>
  <c r="J10" i="1"/>
  <c r="I10" i="1"/>
  <c r="H10" i="1"/>
  <c r="G10" i="1"/>
  <c r="F10" i="1"/>
  <c r="O9" i="1"/>
  <c r="O384" i="1" s="1"/>
  <c r="N9" i="1"/>
  <c r="N384" i="1" s="1"/>
  <c r="M9" i="1"/>
  <c r="M384" i="1" s="1"/>
  <c r="L9" i="1"/>
  <c r="L382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G12" i="1"/>
  <c r="G376" i="1" s="1"/>
  <c r="H373" i="1"/>
  <c r="G353" i="1"/>
  <c r="G355" i="1" s="1"/>
  <c r="G357" i="1" s="1"/>
  <c r="G385" i="1"/>
  <c r="F383" i="1"/>
  <c r="F382" i="1"/>
  <c r="G383" i="1"/>
  <c r="G382" i="1"/>
  <c r="F384" i="1"/>
  <c r="F13" i="1"/>
  <c r="F14" i="1" s="1"/>
  <c r="F377" i="1"/>
  <c r="F376" i="1"/>
  <c r="G384" i="1"/>
  <c r="G13" i="1"/>
  <c r="G14" i="1" s="1"/>
  <c r="G377" i="1"/>
  <c r="F353" i="1"/>
  <c r="F355" i="1" s="1"/>
  <c r="F357" i="1" s="1"/>
  <c r="F385" i="1"/>
  <c r="G366" i="1"/>
  <c r="J383" i="1"/>
  <c r="G375" i="1"/>
  <c r="I378" i="1"/>
  <c r="G381" i="1"/>
  <c r="H365" i="1"/>
  <c r="N366" i="1"/>
  <c r="L368" i="1"/>
  <c r="H370" i="1"/>
  <c r="J373" i="1"/>
  <c r="H375" i="1"/>
  <c r="N376" i="1"/>
  <c r="L377" i="1"/>
  <c r="H381" i="1"/>
  <c r="N382" i="1"/>
  <c r="J384" i="1"/>
  <c r="L376" i="1"/>
  <c r="H384" i="1"/>
  <c r="K372" i="1"/>
  <c r="K383" i="1"/>
  <c r="I384" i="1"/>
  <c r="I365" i="1"/>
  <c r="M368" i="1"/>
  <c r="M372" i="1"/>
  <c r="I375" i="1"/>
  <c r="O376" i="1"/>
  <c r="M377" i="1"/>
  <c r="K378" i="1"/>
  <c r="I381" i="1"/>
  <c r="O382" i="1"/>
  <c r="K384" i="1"/>
  <c r="F363" i="1"/>
  <c r="N372" i="1"/>
  <c r="H376" i="1"/>
  <c r="L378" i="1"/>
  <c r="H382" i="1"/>
  <c r="L384" i="1"/>
  <c r="G363" i="1"/>
  <c r="O368" i="1"/>
  <c r="O372" i="1"/>
  <c r="I376" i="1"/>
  <c r="O377" i="1"/>
  <c r="M378" i="1"/>
  <c r="I382" i="1"/>
  <c r="F44" i="1"/>
  <c r="H363" i="1"/>
  <c r="G44" i="1"/>
  <c r="I363" i="1"/>
  <c r="F366" i="1" l="1"/>
  <c r="F370" i="1"/>
  <c r="F378" i="1"/>
  <c r="F59" i="1"/>
  <c r="F71" i="1" s="1"/>
  <c r="G378" i="1"/>
  <c r="G370" i="1"/>
  <c r="G59" i="1"/>
  <c r="G67" i="1" s="1"/>
  <c r="G71" i="1" s="1"/>
  <c r="F373" i="1" l="1"/>
  <c r="F83" i="1"/>
  <c r="F372" i="1"/>
  <c r="F6" i="1"/>
  <c r="G373" i="1"/>
  <c r="G83" i="1"/>
  <c r="G372" i="1"/>
  <c r="G6" i="1"/>
  <c r="G371" i="1" l="1"/>
  <c r="G365" i="1"/>
  <c r="F365" i="1"/>
  <c r="F371" i="1"/>
</calcChain>
</file>

<file path=xl/sharedStrings.xml><?xml version="1.0" encoding="utf-8"?>
<sst xmlns="http://schemas.openxmlformats.org/spreadsheetml/2006/main" count="821" uniqueCount="518">
  <si>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</si>
  <si>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</si>
  <si>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</si>
  <si>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</si>
  <si>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</si>
  <si>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</si>
  <si>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</si>
  <si>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</si>
  <si>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</si>
  <si>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</si>
  <si>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</si>
  <si>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</si>
  <si>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</si>
  <si>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</si>
  <si>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</si>
  <si>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</si>
  <si>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</si>
  <si>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</si>
  <si>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</si>
  <si>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</si>
  <si>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</si>
  <si>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</si>
  <si>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</si>
  <si>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</si>
  <si>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</si>
  <si>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</si>
  <si>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</si>
  <si>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</si>
  <si>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</si>
  <si>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</si>
  <si>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</si>
  <si>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</si>
  <si>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</si>
  <si>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</si>
  <si>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</si>
  <si>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</si>
  <si>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</si>
  <si>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</si>
  <si>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</si>
  <si>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</si>
  <si>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</si>
  <si>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</si>
  <si>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</si>
  <si>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</si>
  <si>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</si>
  <si>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</si>
  <si>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</si>
  <si>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</si>
  <si>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</si>
  <si>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</si>
  <si>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</si>
  <si>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</si>
  <si>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</si>
  <si>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</si>
  <si>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</si>
  <si>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</si>
  <si>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</si>
  <si>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</si>
  <si>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</si>
  <si>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</si>
  <si>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</si>
  <si>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</si>
  <si>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</si>
  <si>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</si>
  <si>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</si>
  <si>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</si>
  <si>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</si>
  <si>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</si>
  <si>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</si>
  <si>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</si>
  <si>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</si>
  <si>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</si>
  <si>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</si>
  <si>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</si>
  <si>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</si>
  <si>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</si>
  <si>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</si>
  <si>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</si>
  <si>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</si>
  <si>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</si>
  <si>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</si>
  <si>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</si>
  <si>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</si>
  <si>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</si>
  <si>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</si>
  <si>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</si>
  <si>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</si>
  <si>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</si>
  <si>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</si>
  <si>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</si>
  <si>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</si>
  <si>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</si>
  <si>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</si>
  <si>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</si>
  <si>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</si>
  <si>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</si>
  <si>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</si>
  <si>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</si>
  <si>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</si>
  <si>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</si>
  <si>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</si>
  <si>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</si>
  <si>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</si>
  <si>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</si>
  <si>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</si>
  <si>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</si>
  <si>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</si>
  <si>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</si>
  <si>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</si>
  <si>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</si>
  <si>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</si>
  <si>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</si>
  <si>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</si>
  <si>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</si>
  <si>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</si>
  <si>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</si>
  <si>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</si>
  <si>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</si>
  <si>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</si>
  <si>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</si>
  <si>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</si>
  <si>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</si>
  <si>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</si>
  <si>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</si>
  <si>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</si>
  <si>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</si>
  <si>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</si>
  <si>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</si>
  <si>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</si>
  <si>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</si>
  <si>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</si>
  <si>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</si>
  <si>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</si>
  <si>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</si>
  <si>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</si>
  <si>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</si>
  <si>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</si>
  <si>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</si>
  <si>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</si>
  <si>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</si>
  <si>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</si>
  <si>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</si>
  <si>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</si>
  <si>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</si>
  <si>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</si>
  <si>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</si>
  <si>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</si>
  <si>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</si>
  <si>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</si>
  <si>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</si>
  <si>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</si>
  <si>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</si>
  <si>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</si>
  <si>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</si>
  <si>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</si>
  <si>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</si>
  <si>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</si>
  <si>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</si>
  <si>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</si>
  <si>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</si>
  <si>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</si>
  <si>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</si>
  <si>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</si>
  <si>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</si>
  <si>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</si>
  <si>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</si>
  <si>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</si>
  <si>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</si>
  <si>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</si>
  <si>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</si>
  <si>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</si>
  <si>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</si>
  <si>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</si>
  <si>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</si>
  <si>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</si>
  <si>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</si>
  <si>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</si>
  <si>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</si>
  <si>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</si>
  <si>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</si>
  <si>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</si>
  <si>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</si>
  <si>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</si>
  <si>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</si>
  <si>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</si>
  <si>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</si>
  <si>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</si>
  <si>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</si>
  <si>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</si>
  <si>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</si>
  <si>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</si>
  <si>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</si>
  <si>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</si>
  <si>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</si>
  <si>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</si>
  <si>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</si>
  <si>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</si>
  <si>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</si>
  <si>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</si>
  <si>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</si>
  <si>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</si>
  <si>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</si>
  <si>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</si>
  <si>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</si>
  <si>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</si>
  <si>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</si>
  <si>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</si>
  <si>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</si>
  <si>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</si>
  <si>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</si>
  <si>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</si>
  <si>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</si>
  <si>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</si>
  <si>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</si>
  <si>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</si>
  <si>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</si>
  <si>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</si>
  <si>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</si>
  <si>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</si>
  <si>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</si>
  <si>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</si>
  <si>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</si>
  <si>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</si>
  <si>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</si>
  <si>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</si>
  <si>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</si>
  <si>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</si>
  <si>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</si>
  <si>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</si>
  <si>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</si>
  <si>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</si>
  <si>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</si>
  <si>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</si>
  <si>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</si>
  <si>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</si>
  <si>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</si>
  <si>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</si>
  <si>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</si>
  <si>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</si>
  <si>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</si>
  <si>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</si>
  <si>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</si>
  <si>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</si>
  <si>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</si>
  <si>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</si>
  <si>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</si>
  <si>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</si>
  <si>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</si>
  <si>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</si>
  <si>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</si>
  <si>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</si>
  <si>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</si>
  <si>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</si>
  <si>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</si>
  <si>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</si>
  <si>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</si>
  <si>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</si>
  <si>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</si>
  <si>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</si>
  <si>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</si>
  <si>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</si>
  <si>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</si>
  <si>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</si>
  <si>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</si>
  <si>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</si>
  <si>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</si>
  <si>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</si>
  <si>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</si>
  <si>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</si>
  <si>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</si>
  <si>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</si>
  <si>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</si>
  <si>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</si>
  <si>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</si>
  <si>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</si>
  <si>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</si>
  <si>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</si>
  <si>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</si>
  <si>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</si>
  <si>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</si>
  <si>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</si>
  <si>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</si>
  <si>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</si>
  <si>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</si>
  <si>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</si>
  <si>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</si>
  <si>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</si>
  <si>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</si>
  <si>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</si>
  <si>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</si>
  <si>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</si>
  <si>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</si>
  <si>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</si>
  <si>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</si>
  <si>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</si>
  <si>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</si>
  <si>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</si>
  <si>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</si>
  <si>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</si>
  <si>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</si>
  <si>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</si>
  <si>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</si>
  <si>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</si>
  <si>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</si>
  <si>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</si>
  <si>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</si>
  <si>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</si>
  <si>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</si>
  <si>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</si>
  <si>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</si>
  <si>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</si>
  <si>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</si>
  <si>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</si>
  <si>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</si>
  <si>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</si>
  <si>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</si>
  <si>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</si>
  <si>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</si>
  <si>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</si>
  <si>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</si>
  <si>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</si>
  <si>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</si>
  <si>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</si>
  <si>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</si>
  <si>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</si>
  <si>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</si>
  <si>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</si>
  <si>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</si>
  <si>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</si>
  <si>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</si>
  <si>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</si>
  <si>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</si>
  <si>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</si>
  <si>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</si>
  <si>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</si>
  <si>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</si>
  <si>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</si>
  <si>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</si>
  <si>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</si>
  <si>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</si>
  <si>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</si>
  <si>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</si>
  <si>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</si>
  <si>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</si>
  <si>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</si>
  <si>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</si>
  <si>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</si>
  <si>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</si>
  <si>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</si>
  <si>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</si>
  <si>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</si>
  <si>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</si>
  <si>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</si>
  <si>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</si>
  <si>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</si>
  <si>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</si>
  <si>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</si>
  <si>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</si>
  <si>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</si>
  <si>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</si>
  <si>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</si>
  <si>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</si>
  <si>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</si>
  <si>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</si>
  <si>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</si>
  <si>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</si>
  <si>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</si>
  <si>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</si>
  <si>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</si>
  <si>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</si>
  <si>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</si>
  <si>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</si>
  <si>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</si>
  <si>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</si>
  <si>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CONSOLIDATED BALANCE SHEETS</t>
  </si>
  <si>
    <t>ASSETS</t>
  </si>
  <si>
    <t>CURRENT ASSETS</t>
  </si>
  <si>
    <t>Cash and Cash Equivalents</t>
  </si>
  <si>
    <t>Restricted Cash</t>
  </si>
  <si>
    <t>Accounts Receivable, net</t>
  </si>
  <si>
    <t>Inventories</t>
  </si>
  <si>
    <t>Prepaid Expenses and Other Current Assets</t>
  </si>
  <si>
    <t>LONG TERM ASSETS</t>
  </si>
  <si>
    <t>Security Deposits</t>
  </si>
  <si>
    <t>Intangible Assets, net</t>
  </si>
  <si>
    <t>Other Intangibles</t>
  </si>
  <si>
    <t>Goodwill</t>
  </si>
  <si>
    <t>Fixed Assets, net</t>
  </si>
  <si>
    <t>Other Non-Current Assets</t>
  </si>
  <si>
    <t>LIABILITIES AND STOCKHOLDERS EQUITY</t>
  </si>
  <si>
    <t>CURRENT LIABILITIES</t>
  </si>
  <si>
    <t>Accounts Payable</t>
  </si>
  <si>
    <t>Accounts payable</t>
  </si>
  <si>
    <t>Deferred Revenue</t>
  </si>
  <si>
    <t>Accrued Revenue</t>
  </si>
  <si>
    <t>Accrued Other Expenses</t>
  </si>
  <si>
    <t>Accruals</t>
  </si>
  <si>
    <t>Accrued Bonuses</t>
  </si>
  <si>
    <t>Bank Loans - Line of Credit</t>
  </si>
  <si>
    <t>Bank Loans - Building and Equipment, current portion</t>
  </si>
  <si>
    <t>LONG TERM LIABILITIES</t>
  </si>
  <si>
    <t>Deferred Tax Liability, net</t>
  </si>
  <si>
    <t>Building and Equipment Loans, net of current portion</t>
  </si>
  <si>
    <t>Total Liabilities</t>
  </si>
  <si>
    <t>COMMITMENTS AND CONTINGENCIES</t>
  </si>
  <si>
    <t>STOCKHOLDERS EQUITY</t>
  </si>
  <si>
    <t>Common Stock - Par Value $.0001; 100,000,000 Shares Authorized; 47,814,315 and 33,696,920</t>
  </si>
  <si>
    <t>Issued, 47,291,358 and 33,389,380 Outstanding at December 31, 2018 and December 31, 2017,</t>
  </si>
  <si>
    <t>Respectively</t>
  </si>
  <si>
    <t>Additional Paid-in Capital</t>
  </si>
  <si>
    <t>Accumulated Deficit</t>
  </si>
  <si>
    <t>Treasury Stock, at cost - 522,957, and 307,540 Shares at December 31, 2018 December 31, 2017,</t>
  </si>
  <si>
    <t>Treasury Stock</t>
  </si>
  <si>
    <t>Total Stockholders Equity</t>
  </si>
  <si>
    <t>REVENUE, net</t>
  </si>
  <si>
    <t>Net revenue</t>
  </si>
  <si>
    <t>Revenue</t>
  </si>
  <si>
    <t>COST OF GOODS SOLD</t>
  </si>
  <si>
    <t>Gross Profit</t>
  </si>
  <si>
    <t>SELLING, GENERAL AND ADMINISTRATIVE EXPENSES</t>
  </si>
  <si>
    <t>RESEARCH AND DEVELOPMENT</t>
  </si>
  <si>
    <t>LOSS ON IMPAIRMENT OF FIXED ASSETS</t>
  </si>
  <si>
    <t>Reversal or Impairment</t>
  </si>
  <si>
    <t>Loss from Operations</t>
  </si>
  <si>
    <t>Operating Profit</t>
  </si>
  <si>
    <t>OTHER INCOME (EXPENSE)</t>
  </si>
  <si>
    <t>Interest Expense</t>
  </si>
  <si>
    <t>Interest Income</t>
  </si>
  <si>
    <t>Inducement Expense for Exercise of Warrants</t>
  </si>
  <si>
    <t>Total Other Income (Expense)</t>
  </si>
  <si>
    <t>Net (Loss) Before Income Taxes</t>
  </si>
  <si>
    <t>Profit before Zakat</t>
  </si>
  <si>
    <t>Income Tax Benefit</t>
  </si>
  <si>
    <t>Net (Loss)</t>
  </si>
  <si>
    <t>Basic &amp; Diluted (Loss) Per Share:</t>
  </si>
  <si>
    <t>Basic &amp; Diluted (Loss) Per Share</t>
  </si>
  <si>
    <t>CASH FLOWS FROM OPERATING ACTIVITIES</t>
  </si>
  <si>
    <t>Operating Activities</t>
  </si>
  <si>
    <t>Adjustments to Reconcile Net (Loss) to Net</t>
  </si>
  <si>
    <t>Cash (Used in) Operating Activities:</t>
  </si>
  <si>
    <t>Stock Based Compensation</t>
  </si>
  <si>
    <t>Inducement Expense to Exercise Warrants</t>
  </si>
  <si>
    <t>Provision for Bad Debts</t>
  </si>
  <si>
    <t>Provision for Excess and Obsolete Inventory</t>
  </si>
  <si>
    <t>Depreciation and Amortization Expense</t>
  </si>
  <si>
    <t>Loss on Impairment of Fixed Assets</t>
  </si>
  <si>
    <t>(Gain) Loss on Sale of Fixed Assets</t>
  </si>
  <si>
    <t>Deferred Tax Provision</t>
  </si>
  <si>
    <t>Change in Assets and Liabilities:</t>
  </si>
  <si>
    <t>(Increase) Decrease in:</t>
  </si>
  <si>
    <t>Accounts Receivable - Trade</t>
  </si>
  <si>
    <t>Increase (Decrease) in:</t>
  </si>
  <si>
    <t>Accrued Other Expenses and Bonuses</t>
  </si>
  <si>
    <t>Net Cash (Used in) Operating Activities</t>
  </si>
  <si>
    <t>CASH FLOWS FROM INVESTING ACTIVITIES</t>
  </si>
  <si>
    <t>Investing Activities</t>
  </si>
  <si>
    <t>Purchase of Equipment</t>
  </si>
  <si>
    <t>Purchase of Intangibles</t>
  </si>
  <si>
    <t>Proceeds from Sale of Equipment</t>
  </si>
  <si>
    <t>Financing Activities</t>
  </si>
  <si>
    <t>Net Cash (Used in) Investing Activities</t>
  </si>
  <si>
    <t>CASH FLOWS FROM FINANCING ACTIVITIES</t>
  </si>
  <si>
    <t>Proceeds from Issuance of Common Stock, net of issuance cost</t>
  </si>
  <si>
    <t>Proceeds from Exercise of Warrants, net of exercise cost</t>
  </si>
  <si>
    <t>(Payments) of Bank Loan</t>
  </si>
  <si>
    <t>Net Cash Provided by Financing Activities</t>
  </si>
  <si>
    <t>Increase in Cash, Cash Equivalents and Restricted Cash</t>
  </si>
  <si>
    <t>Net increase (decrease) in cash and cash equivalents</t>
  </si>
  <si>
    <t>Cash:</t>
  </si>
  <si>
    <t>Beginning, Cash, Cash Equivalents and Restricted Cash</t>
  </si>
  <si>
    <t>Cash and cash equivalents at beginning of period</t>
  </si>
  <si>
    <t>RECONCILIATION OF CASH AND RESTRICTED CASH</t>
  </si>
  <si>
    <t>Cash</t>
  </si>
  <si>
    <t>Total Cash and Restricted Cash</t>
  </si>
  <si>
    <t>SUPPLEMENTAL DISCLOSURE OF CASH FLOW INFORMATION</t>
  </si>
  <si>
    <t>Cash Paid for Income Taxes</t>
  </si>
  <si>
    <t xml:space="preserve">Adjustment for Income Tax Paid </t>
  </si>
  <si>
    <t>Cash Paid for Interest</t>
  </si>
  <si>
    <t>SUPPLEMENTAL DISCLOSURE OF NON-CASH FINANCING AND</t>
  </si>
  <si>
    <t>INVESTING ACTIVITIES</t>
  </si>
  <si>
    <t>Increase in Accrued Capital Expenditures</t>
  </si>
  <si>
    <t>Exercise of Warrants for Payment of Working Capital Line</t>
  </si>
  <si>
    <t>Original Line Item in the pdf</t>
  </si>
  <si>
    <t>Line item in the accounts Tamplate into which Originalline item is mapped</t>
  </si>
  <si>
    <t xml:space="preserve">Person mapping </t>
  </si>
  <si>
    <t>Niyoshi Aithal</t>
  </si>
  <si>
    <t>Ordinary shares</t>
  </si>
  <si>
    <t>Additional paid-in capital</t>
  </si>
  <si>
    <t>page 73/105; revenue, net</t>
  </si>
  <si>
    <t>Revenue, net</t>
  </si>
  <si>
    <t>added from page 100/105: deferred tax liability, net</t>
  </si>
  <si>
    <t>Deferred tax liability, net</t>
  </si>
  <si>
    <t>deferred tax assets (liability)</t>
  </si>
  <si>
    <t>added from page 86/105, from the fixed assets note</t>
  </si>
  <si>
    <t>Building</t>
  </si>
  <si>
    <t>Land and buildings</t>
  </si>
  <si>
    <t>Land</t>
  </si>
  <si>
    <t>Machinery and equipment</t>
  </si>
  <si>
    <t>Property, plant and equipment</t>
  </si>
  <si>
    <t>Furniture and fixtures</t>
  </si>
  <si>
    <t>Leasehold improvements</t>
  </si>
  <si>
    <t>leased assets</t>
  </si>
  <si>
    <t>Less: accumulated depreciation</t>
  </si>
  <si>
    <t>accumulated depreciation and amortization</t>
  </si>
  <si>
    <t>construction in progress - equipment</t>
  </si>
  <si>
    <t>construction in progress</t>
  </si>
  <si>
    <t>automobile</t>
  </si>
  <si>
    <t>vehicles</t>
  </si>
  <si>
    <t>common stock + paid-in capital (pg 72)</t>
  </si>
  <si>
    <t>Common stock - par value</t>
  </si>
  <si>
    <t>added from treasury stock; page 72</t>
  </si>
  <si>
    <t>Treasury stock, at cost</t>
  </si>
  <si>
    <t>Treasury stock (-)</t>
  </si>
  <si>
    <t>Restricted cash</t>
  </si>
  <si>
    <t>added from restricted cash; pg 72</t>
  </si>
  <si>
    <t>Other non-operating current assets</t>
  </si>
  <si>
    <t>added as part of total other income (expense) - page 73/105 (inducement expense for exercise of warrants)</t>
  </si>
  <si>
    <t>changed sign to positive from negative to tallly with PDF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</si>
</sst>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44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0" applyFont="1"/>
    <xf numFmtId="3" fontId="0" fillId="0" borderId="0" xfId="0" applyNumberFormat="1"/>
    <xf numFmtId="3" fontId="0" fillId="12" borderId="0" xfId="0" applyFill="1"/>
    <xf numFmtId="3" fontId="0" fillId="13" borderId="0" xfId="0" applyFill="1"/>
    <xf numFmtId="3" fontId="0" fillId="0" borderId="0" xfId="0" applyFill="1"/>
  </cellXfs>
  <cellStyles count="2">
    <cellStyle name="Normal" xfId="0" builtinId="0"/>
    <cellStyle name="Percent" xfId="1" builtinId="5"/>
  </cellStyles>
  <dxfs count="46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224-4A82-AF14-3579EEE1E3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BA3-4E19-BA6D-0000FD469D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24B-4464-92A5-796C3B500B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D4-47AE-ADB0-F805AE23A9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69-4420-BB1B-B928D0C7E6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EFE-4A68-8B2C-18CFAAFCCD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99-4F43-9F46-46F33E171D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09-4673-9376-58A385615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660-4FD5-8B47-7572B4624A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655-477C-8E86-0779AA96D1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F0A-4503-ACE9-A497156F52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19-4C89-BB73-7D2C8931BF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2B-4125-A117-453214E8A8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752-4CFB-B5EE-1CC85D1A0A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BA-486C-847B-30134A7932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3"/>
  <sheetViews>
    <sheetView showGridLines="0" tabSelected="1" topLeftCell="E67" workbookViewId="0">
      <selection activeCell="F67" sqref="F67"/>
    </sheetView>
  </sheetViews>
  <sheetFormatPr defaultColWidth="9" defaultRowHeight="13.2"/>
  <cols>
    <col min="1" max="4" width="13" style="38" hidden="1" customWidth="1"/>
    <col min="5" max="5" width="59.44140625" style="1" customWidth="1"/>
    <col min="6" max="7" width="16.10937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-39006782</v>
      </c>
      <c r="G6" s="7">
        <f t="shared" ref="G6:O6" si="1">IF(G4=$BF$1,"",G71)</f>
        <v>-25538980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32573794</v>
      </c>
      <c r="G7" s="7">
        <f t="shared" ref="G7:O7" si="2">IF(G4=$BF$1,"",G128)</f>
        <v>29941628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25784253</v>
      </c>
      <c r="G8" s="7">
        <f t="shared" ref="G8:O8" si="3">IF(G4=$BF$1,"",G161)</f>
        <v>21461530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11553700</v>
      </c>
      <c r="G9" s="7">
        <f t="shared" ref="G9:O9" si="4">IF(G4=$BF$1,"",G189)</f>
        <v>8787563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112530</v>
      </c>
      <c r="G10" s="7">
        <f t="shared" ref="G10:O10" si="5">IF(G4=$BF$1,"",G210)</f>
        <v>3068111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46691817</v>
      </c>
      <c r="G11" s="7">
        <f t="shared" ref="G11:O11" si="6">IF(G4=$BF$1,"",G227)</f>
        <v>39547484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58358047</v>
      </c>
      <c r="G12" s="35">
        <f t="shared" ref="G12:O12" si="7">IF(G4=$BF$1,"",SUM(G7:G8))</f>
        <v>51403158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58358047</v>
      </c>
      <c r="G13" s="35">
        <f t="shared" ref="G13:O13" si="8">IF(G4=$BF$1,"",SUM(G9:G11))</f>
        <v>51403158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 s="40">
        <v>15086643</v>
      </c>
      <c r="G24" s="40">
        <v>13073259</v>
      </c>
      <c r="P24" s="41" t="s">
        <v>488</v>
      </c>
    </row>
    <row r="25" spans="5:16">
      <c r="E25" s="1" t="s">
        <v>27</v>
      </c>
      <c r="F25">
        <v>9797988</v>
      </c>
      <c r="G25">
        <v>7419988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5288655</v>
      </c>
      <c r="G30" s="7">
        <f>IF(G4=$BF$1,"",G24-G25+ABS(G26)-G27-G28-G29)</f>
        <v>5653271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</row>
    <row r="33" spans="5:15">
      <c r="E33" s="1" t="s">
        <v>35</v>
      </c>
    </row>
    <row r="34" spans="5:15">
      <c r="E34" s="1" t="s">
        <v>36</v>
      </c>
      <c r="F34">
        <v>25948062</v>
      </c>
      <c r="G34">
        <v>22819224</v>
      </c>
    </row>
    <row r="35" spans="5:15">
      <c r="E35" s="1" t="s">
        <v>37</v>
      </c>
      <c r="F35">
        <v>18793836</v>
      </c>
      <c r="G35">
        <v>7526784</v>
      </c>
    </row>
    <row r="36" spans="5:15">
      <c r="E36" s="1" t="s">
        <v>38</v>
      </c>
    </row>
    <row r="37" spans="5:15">
      <c r="E37" s="1" t="s">
        <v>39</v>
      </c>
    </row>
    <row r="38" spans="5:15">
      <c r="E38" s="1" t="s">
        <v>40</v>
      </c>
    </row>
    <row r="39" spans="5:15">
      <c r="E39" s="1" t="s">
        <v>41</v>
      </c>
    </row>
    <row r="40" spans="5:15">
      <c r="E40" s="1" t="s">
        <v>42</v>
      </c>
    </row>
    <row r="41" spans="5:15">
      <c r="E41" s="1" t="s">
        <v>43</v>
      </c>
    </row>
    <row r="42" spans="5:15">
      <c r="E42" s="1" t="s">
        <v>44</v>
      </c>
      <c r="F42">
        <v>10517</v>
      </c>
      <c r="G42">
        <v>96346</v>
      </c>
    </row>
    <row r="43" spans="5:15">
      <c r="E43" s="6" t="s">
        <v>45</v>
      </c>
      <c r="F43" s="7">
        <f>F32+F33+F34+F35+F36+F37+F38+F39+F40+F41+F42</f>
        <v>44752415</v>
      </c>
      <c r="G43" s="7">
        <f>G32+G33+G34+G35+G36+G37+G38+G39+G40+G41+G42</f>
        <v>30442354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5">
      <c r="E44" s="6" t="s">
        <v>46</v>
      </c>
      <c r="F44" s="7">
        <f>F30+F31-F43</f>
        <v>-39463760</v>
      </c>
      <c r="G44" s="7">
        <f>IF(G4=$BF$1,"",G30+G31-G43)</f>
        <v>-24789083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5">
      <c r="E45" s="1" t="s">
        <v>47</v>
      </c>
    </row>
    <row r="46" spans="5:15">
      <c r="E46" s="1" t="s">
        <v>48</v>
      </c>
    </row>
    <row r="47" spans="5:15">
      <c r="E47" s="1" t="s">
        <v>49</v>
      </c>
    </row>
    <row r="48" spans="5:15">
      <c r="E48" s="1" t="s">
        <v>50</v>
      </c>
    </row>
    <row r="49" spans="5:16">
      <c r="E49" s="1" t="s">
        <v>51</v>
      </c>
      <c r="F49">
        <v>157765</v>
      </c>
      <c r="G49">
        <v>231291</v>
      </c>
      <c r="P49" s="42" t="s">
        <v>517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245403</v>
      </c>
      <c r="G52">
        <v>102233</v>
      </c>
    </row>
    <row r="53" spans="5:16">
      <c r="E53" s="1" t="s">
        <v>55</v>
      </c>
    </row>
    <row r="54" spans="5:16">
      <c r="E54" s="1" t="s">
        <v>56</v>
      </c>
      <c r="F54"/>
      <c r="G54">
        <v>-960230</v>
      </c>
      <c r="P54" s="42" t="s">
        <v>516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  <c r="F58" s="40"/>
      <c r="G58" s="40"/>
      <c r="P58" s="41" t="s">
        <v>490</v>
      </c>
    </row>
    <row r="59" spans="5:16">
      <c r="E59" s="6" t="s">
        <v>61</v>
      </c>
      <c r="F59" s="7">
        <f>F44+F45+F46+F47+F48-F49-F50-F51+F52-F53+F54+F55-F56+F57+F58</f>
        <v>-39376122</v>
      </c>
      <c r="G59" s="7">
        <f>IF(G4=$BF$1,"",G44+G45+G46+G47+G48-G49-G50-G51+G52-G53+G54+G55-G56+G57+G58)</f>
        <v>-25878371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3"/>
    </row>
    <row r="60" spans="5:16">
      <c r="E60" s="1" t="s">
        <v>62</v>
      </c>
      <c r="F60">
        <v>-369340</v>
      </c>
      <c r="G60">
        <v>-339391</v>
      </c>
      <c r="P60" s="43"/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-39006782</v>
      </c>
      <c r="G67" s="7">
        <f>IF(G4=$BF$1,"",SUM(G59,-G60,-ABS(G61),-G62,-G66))</f>
        <v>-25538980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3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-39006782</v>
      </c>
      <c r="G71" s="7">
        <f t="shared" ref="G71:O71" si="14">IF(G4=$BF$1,"",SUM(G67:G70))</f>
        <v>-25538980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-39006782</v>
      </c>
      <c r="G83" s="7">
        <f t="shared" ref="G83:O83" si="15">IF(G4=$BF$1,"",SUM(G71:G82))</f>
        <v>-25538980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460000+3040000</f>
        <v>3500000</v>
      </c>
      <c r="G89" s="38">
        <f>460000+3040000</f>
        <v>3500000</v>
      </c>
      <c r="P89" s="41" t="s">
        <v>493</v>
      </c>
    </row>
    <row r="90" spans="5:16">
      <c r="E90" s="1" t="s">
        <v>82</v>
      </c>
      <c r="F90" s="38">
        <v>5281140</v>
      </c>
      <c r="G90" s="38">
        <v>2073315</v>
      </c>
      <c r="P90" s="41"/>
    </row>
    <row r="91" spans="5:16">
      <c r="E91" s="1" t="s">
        <v>83</v>
      </c>
    </row>
    <row r="92" spans="5:16">
      <c r="E92" s="12" t="s">
        <v>84</v>
      </c>
      <c r="F92" s="38">
        <f>126654+2244744</f>
        <v>2371398</v>
      </c>
      <c r="G92" s="38">
        <f>126654+1525643</f>
        <v>1652297</v>
      </c>
      <c r="P92" s="41"/>
    </row>
    <row r="93" spans="5:16">
      <c r="E93" s="1" t="s">
        <v>85</v>
      </c>
      <c r="F93" s="38">
        <v>9395</v>
      </c>
      <c r="G93" s="38">
        <v>9395</v>
      </c>
      <c r="P93" s="41"/>
    </row>
    <row r="94" spans="5:16">
      <c r="E94" s="1" t="s">
        <v>86</v>
      </c>
      <c r="F94" s="38">
        <v>284037</v>
      </c>
      <c r="G94" s="38">
        <v>284037</v>
      </c>
      <c r="P94" s="41"/>
    </row>
    <row r="95" spans="5:16">
      <c r="E95" s="1" t="s">
        <v>87</v>
      </c>
    </row>
    <row r="96" spans="5:16">
      <c r="E96" s="12"/>
    </row>
    <row r="98" spans="5:15">
      <c r="E98" s="6" t="s">
        <v>88</v>
      </c>
      <c r="F98" s="7">
        <f>F89+F90+F91+F92+F93+F94+F95+F96</f>
        <v>11445970</v>
      </c>
      <c r="G98" s="7">
        <f>IF(G4=$BF$1,"",G89+G90+G91+G92+G93+G94+G95+G96)</f>
        <v>7519044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5">
      <c r="E99" s="1" t="s">
        <v>89</v>
      </c>
      <c r="F99" s="38">
        <v>-1578049</v>
      </c>
      <c r="G99" s="38">
        <v>-959380</v>
      </c>
    </row>
    <row r="100" spans="5:15">
      <c r="E100" s="6" t="s">
        <v>90</v>
      </c>
      <c r="F100" s="7">
        <f>F98+F99</f>
        <v>9867921</v>
      </c>
      <c r="G100" s="7">
        <f t="shared" ref="G100:O100" si="17">IF(G4=$BF$1,"",G98+G99)</f>
        <v>6559664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5">
      <c r="E101" s="1" t="s">
        <v>91</v>
      </c>
      <c r="F101">
        <v>7640622</v>
      </c>
      <c r="G101">
        <v>7640622</v>
      </c>
    </row>
    <row r="102" spans="5:15">
      <c r="E102" s="1" t="s">
        <v>92</v>
      </c>
      <c r="F102">
        <v>13210596</v>
      </c>
      <c r="G102">
        <v>15686687</v>
      </c>
    </row>
    <row r="103" spans="5:15">
      <c r="E103" s="1" t="s">
        <v>93</v>
      </c>
    </row>
    <row r="104" spans="5:15">
      <c r="E104" s="6" t="s">
        <v>94</v>
      </c>
      <c r="F104" s="7">
        <f>F101+F102+F103</f>
        <v>20851218</v>
      </c>
      <c r="G104" s="7">
        <f t="shared" ref="G104:O104" si="18">IF(G4=$BF$1,"",G101+G102+G103)</f>
        <v>23327309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5">
      <c r="E105" s="1" t="s">
        <v>95</v>
      </c>
    </row>
    <row r="106" spans="5:15">
      <c r="E106" s="1" t="s">
        <v>96</v>
      </c>
    </row>
    <row r="107" spans="5:15">
      <c r="E107" s="1" t="s">
        <v>97</v>
      </c>
    </row>
    <row r="108" spans="5:15">
      <c r="E108" s="1" t="s">
        <v>98</v>
      </c>
    </row>
    <row r="109" spans="5:15">
      <c r="E109" s="1" t="s">
        <v>99</v>
      </c>
    </row>
    <row r="110" spans="5:15">
      <c r="E110" s="1" t="s">
        <v>100</v>
      </c>
    </row>
    <row r="111" spans="5:15">
      <c r="E111" s="1" t="s">
        <v>101</v>
      </c>
    </row>
    <row r="112" spans="5:15">
      <c r="E112" s="1" t="s">
        <v>102</v>
      </c>
    </row>
    <row r="113" spans="5:15">
      <c r="E113" s="1" t="s">
        <v>103</v>
      </c>
      <c r="F113">
        <v>54655</v>
      </c>
      <c r="G113">
        <v>54655</v>
      </c>
    </row>
    <row r="114" spans="5:15">
      <c r="E114" s="1" t="s">
        <v>104</v>
      </c>
    </row>
    <row r="115" spans="5:15">
      <c r="E115" s="1" t="s">
        <v>105</v>
      </c>
    </row>
    <row r="116" spans="5:15">
      <c r="E116" s="1" t="s">
        <v>106</v>
      </c>
    </row>
    <row r="117" spans="5:15">
      <c r="E117" s="1" t="s">
        <v>107</v>
      </c>
    </row>
    <row r="118" spans="5:15">
      <c r="E118" s="1" t="s">
        <v>108</v>
      </c>
    </row>
    <row r="122" spans="5:15">
      <c r="E122" s="1" t="s">
        <v>109</v>
      </c>
    </row>
    <row r="123" spans="5:15">
      <c r="E123" s="1" t="s">
        <v>110</v>
      </c>
    </row>
    <row r="124" spans="5:15">
      <c r="E124" s="1" t="s">
        <v>111</v>
      </c>
    </row>
    <row r="125" spans="5:15">
      <c r="E125" s="1" t="s">
        <v>112</v>
      </c>
      <c r="F125">
        <v>1800000</v>
      </c>
      <c r="G125">
        <v>0</v>
      </c>
    </row>
    <row r="126" spans="5:15">
      <c r="E126" s="1" t="s">
        <v>113</v>
      </c>
    </row>
    <row r="127" spans="5:15">
      <c r="E127" s="12" t="s">
        <v>114</v>
      </c>
    </row>
    <row r="128" spans="5:15">
      <c r="E128" s="6" t="s">
        <v>115</v>
      </c>
      <c r="F128" s="7">
        <f>F100+SUM(F104:F127)</f>
        <v>32573794</v>
      </c>
      <c r="G128" s="7">
        <f t="shared" ref="G128:O128" si="19">IF(G4=$BF$1,"",G100+SUM(G104:G126))</f>
        <v>29941628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19271642</v>
      </c>
      <c r="G130">
        <v>17323241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19271642</v>
      </c>
      <c r="G140" s="7">
        <f t="shared" ref="G140:O140" si="20">IF(G4=$BF$1,"",G130+G131+G132+G133+G134+G135+G136+G139)</f>
        <v>17323241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3279032</v>
      </c>
      <c r="G144">
        <v>1824558</v>
      </c>
    </row>
    <row r="145" spans="5:16">
      <c r="E145" s="6" t="s">
        <v>127</v>
      </c>
      <c r="F145" s="7">
        <f>F141+F142+F143+F144</f>
        <v>3279032</v>
      </c>
      <c r="G145" s="7">
        <f t="shared" ref="G145:O145" si="21">IF(G4=$BF$1,"",G141+G142+G143+G144)</f>
        <v>1824558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2078413</v>
      </c>
      <c r="G154">
        <v>474180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1155166</v>
      </c>
      <c r="G157">
        <v>830090</v>
      </c>
    </row>
    <row r="158" spans="5:16">
      <c r="E158" s="1" t="s">
        <v>138</v>
      </c>
    </row>
    <row r="159" spans="5:16">
      <c r="E159" s="1" t="s">
        <v>139</v>
      </c>
      <c r="G159" s="38">
        <v>1009461</v>
      </c>
      <c r="P159" s="41" t="s">
        <v>514</v>
      </c>
    </row>
    <row r="160" spans="5:16">
      <c r="E160" s="6" t="s">
        <v>140</v>
      </c>
      <c r="F160" s="7">
        <f>F146+F147+F148+F149+F150+F151+F152+F153+F154+F155+F156+F157+F158+F159</f>
        <v>3233579</v>
      </c>
      <c r="G160" s="7">
        <f>IF(G4=$BF$1,"",G146+G147+G148+G149+G150+G151+G152+G153+G154+G155+G156+G157+G158+G159)</f>
        <v>2313731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5">
      <c r="E161" s="6" t="s">
        <v>12</v>
      </c>
      <c r="F161" s="7">
        <f>F140+F145+F160</f>
        <v>25784253</v>
      </c>
      <c r="G161" s="7">
        <f t="shared" ref="G161:O161" si="22">IF(G4=$BF$1,"",G140+G145+G160)</f>
        <v>21461530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</row>
    <row r="162" spans="5:15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5">
      <c r="E163" s="1" t="s">
        <v>142</v>
      </c>
    </row>
    <row r="164" spans="5:15">
      <c r="E164" s="1" t="s">
        <v>143</v>
      </c>
    </row>
    <row r="165" spans="5:15">
      <c r="E165" s="1" t="s">
        <v>144</v>
      </c>
    </row>
    <row r="166" spans="5:15">
      <c r="E166" s="1" t="s">
        <v>145</v>
      </c>
    </row>
    <row r="167" spans="5:15">
      <c r="E167" s="1" t="s">
        <v>146</v>
      </c>
      <c r="F167">
        <v>2583134</v>
      </c>
      <c r="G167">
        <v>2483992</v>
      </c>
    </row>
    <row r="168" spans="5:15">
      <c r="E168" s="1" t="s">
        <v>147</v>
      </c>
    </row>
    <row r="169" spans="5:15">
      <c r="E169" s="1" t="s">
        <v>148</v>
      </c>
    </row>
    <row r="170" spans="5:15">
      <c r="E170" s="1" t="s">
        <v>149</v>
      </c>
    </row>
    <row r="171" spans="5:15">
      <c r="E171" s="1" t="s">
        <v>150</v>
      </c>
    </row>
    <row r="172" spans="5:15">
      <c r="E172" s="1" t="s">
        <v>151</v>
      </c>
    </row>
    <row r="173" spans="5:15">
      <c r="E173" s="1" t="s">
        <v>152</v>
      </c>
    </row>
    <row r="174" spans="5:15">
      <c r="E174" s="1" t="s">
        <v>153</v>
      </c>
    </row>
    <row r="175" spans="5:15">
      <c r="E175" s="1" t="s">
        <v>154</v>
      </c>
    </row>
    <row r="176" spans="5:15">
      <c r="E176" s="1" t="s">
        <v>155</v>
      </c>
    </row>
    <row r="177" spans="5:15">
      <c r="E177" s="1" t="s">
        <v>156</v>
      </c>
    </row>
    <row r="178" spans="5:15">
      <c r="E178" s="1" t="s">
        <v>157</v>
      </c>
    </row>
    <row r="180" spans="5:15">
      <c r="E180" s="1" t="s">
        <v>158</v>
      </c>
    </row>
    <row r="181" spans="5:15">
      <c r="E181" s="1" t="s">
        <v>159</v>
      </c>
    </row>
    <row r="183" spans="5:15">
      <c r="E183" s="1" t="s">
        <v>160</v>
      </c>
    </row>
    <row r="184" spans="5:15">
      <c r="E184" s="12" t="s">
        <v>161</v>
      </c>
      <c r="F184">
        <v>3788600</v>
      </c>
      <c r="G184">
        <v>3369693</v>
      </c>
    </row>
    <row r="185" spans="5:15">
      <c r="E185" s="12" t="s">
        <v>162</v>
      </c>
      <c r="F185">
        <v>1011246</v>
      </c>
      <c r="G185">
        <v>14758</v>
      </c>
    </row>
    <row r="187" spans="5:15">
      <c r="E187" s="1" t="s">
        <v>163</v>
      </c>
      <c r="F187">
        <v>4170720</v>
      </c>
      <c r="G187">
        <v>2919120</v>
      </c>
    </row>
    <row r="188" spans="5:15">
      <c r="E188" s="1" t="s">
        <v>164</v>
      </c>
    </row>
    <row r="189" spans="5:15">
      <c r="E189" s="6" t="s">
        <v>13</v>
      </c>
      <c r="F189" s="7">
        <f>SUM(F163:F188)</f>
        <v>11553700</v>
      </c>
      <c r="G189" s="7">
        <f t="shared" ref="G189:O189" si="23">IF(G4=$BF$1,"",SUM(G163:G188))</f>
        <v>8787563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</row>
    <row r="190" spans="5:15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5">
      <c r="E191" s="1" t="s">
        <v>166</v>
      </c>
    </row>
    <row r="192" spans="5:15">
      <c r="E192" s="1" t="s">
        <v>167</v>
      </c>
    </row>
    <row r="193" spans="5:7">
      <c r="E193" s="1" t="s">
        <v>168</v>
      </c>
    </row>
    <row r="194" spans="5:7">
      <c r="E194" s="1" t="s">
        <v>169</v>
      </c>
    </row>
    <row r="195" spans="5:7">
      <c r="E195" s="1" t="s">
        <v>170</v>
      </c>
    </row>
    <row r="196" spans="5:7">
      <c r="E196" s="1" t="s">
        <v>171</v>
      </c>
    </row>
    <row r="197" spans="5:7">
      <c r="E197" s="1" t="s">
        <v>172</v>
      </c>
    </row>
    <row r="198" spans="5:7">
      <c r="E198" s="1" t="s">
        <v>173</v>
      </c>
    </row>
    <row r="199" spans="5:7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  <c r="F203">
        <v>112530</v>
      </c>
      <c r="G203">
        <v>485002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1" t="s">
        <v>180</v>
      </c>
      <c r="F209">
        <v>0</v>
      </c>
      <c r="G209">
        <v>2583109</v>
      </c>
    </row>
    <row r="210" spans="5:16">
      <c r="E210" s="6" t="s">
        <v>14</v>
      </c>
      <c r="F210" s="7">
        <f>SUM(F191:F209)</f>
        <v>112530</v>
      </c>
      <c r="G210" s="7">
        <f t="shared" ref="G210:O210" si="24">IF(G4=$BF$1,"",SUM(G191:G209))</f>
        <v>3068111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4781+199696656</f>
        <v>199701437</v>
      </c>
      <c r="G212">
        <f>3369+153546932</f>
        <v>153550301</v>
      </c>
      <c r="P212" s="41" t="s">
        <v>508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-153004370</v>
      </c>
      <c r="G217">
        <v>-113997588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-5250</v>
      </c>
      <c r="G223">
        <v>-5229</v>
      </c>
      <c r="P223" s="41" t="s">
        <v>510</v>
      </c>
    </row>
    <row r="224" spans="5:16">
      <c r="E224" s="12" t="s">
        <v>193</v>
      </c>
    </row>
    <row r="225" spans="5:15">
      <c r="E225" s="12" t="s">
        <v>194</v>
      </c>
    </row>
    <row r="227" spans="5:15">
      <c r="E227" s="6" t="s">
        <v>195</v>
      </c>
      <c r="F227" s="7">
        <f>SUM(F212:F226)</f>
        <v>46691817</v>
      </c>
      <c r="G227" s="7">
        <f t="shared" ref="G227:O227" si="25">IF(G4=$BF$1,"",SUM(G212:G226))</f>
        <v>39547484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</row>
    <row r="228" spans="5:15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5">
      <c r="E229" s="1" t="s">
        <v>197</v>
      </c>
    </row>
    <row r="230" spans="5:15">
      <c r="E230" s="1" t="s">
        <v>198</v>
      </c>
    </row>
    <row r="231" spans="5:15">
      <c r="E231" s="1" t="s">
        <v>199</v>
      </c>
    </row>
    <row r="232" spans="5:15">
      <c r="E232" s="1" t="s">
        <v>200</v>
      </c>
    </row>
    <row r="233" spans="5:15">
      <c r="E233" s="1" t="s">
        <v>201</v>
      </c>
    </row>
    <row r="234" spans="5:15">
      <c r="E234" s="1" t="s">
        <v>202</v>
      </c>
    </row>
    <row r="235" spans="5:15">
      <c r="E235" s="1" t="s">
        <v>203</v>
      </c>
    </row>
    <row r="236" spans="5:15">
      <c r="E236" s="1" t="s">
        <v>53</v>
      </c>
    </row>
    <row r="237" spans="5:15">
      <c r="E237" s="1" t="s">
        <v>204</v>
      </c>
    </row>
    <row r="238" spans="5:15">
      <c r="E238" s="1" t="s">
        <v>205</v>
      </c>
    </row>
    <row r="239" spans="5:15">
      <c r="E239" s="1" t="s">
        <v>206</v>
      </c>
    </row>
    <row r="240" spans="5:15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-39006782</v>
      </c>
      <c r="G267">
        <v>-25538980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3109433</v>
      </c>
      <c r="G271">
        <v>3159899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</row>
    <row r="276" spans="5:7">
      <c r="E276" s="1" t="s">
        <v>241</v>
      </c>
    </row>
    <row r="277" spans="5:7" ht="25.5" customHeight="1">
      <c r="E277" s="1" t="s">
        <v>242</v>
      </c>
    </row>
    <row r="278" spans="5:7">
      <c r="E278" s="1" t="s">
        <v>243</v>
      </c>
      <c r="F278">
        <v>0</v>
      </c>
      <c r="G278">
        <v>960230</v>
      </c>
    </row>
    <row r="279" spans="5:7">
      <c r="E279" s="1" t="s">
        <v>244</v>
      </c>
    </row>
    <row r="280" spans="5:7" ht="25.5" customHeight="1">
      <c r="E280" s="1" t="s">
        <v>245</v>
      </c>
      <c r="F280">
        <v>-758</v>
      </c>
      <c r="G280">
        <v>20858</v>
      </c>
    </row>
    <row r="281" spans="5:7" ht="25.5" customHeight="1">
      <c r="E281" s="1" t="s">
        <v>246</v>
      </c>
      <c r="F281">
        <v>3525783</v>
      </c>
      <c r="G281">
        <v>1521222</v>
      </c>
    </row>
    <row r="284" spans="5:7">
      <c r="E284" s="1" t="s">
        <v>247</v>
      </c>
      <c r="F284">
        <v>5613</v>
      </c>
      <c r="G284">
        <v>16664</v>
      </c>
    </row>
    <row r="285" spans="5:7">
      <c r="E285" s="1" t="s">
        <v>248</v>
      </c>
      <c r="F285">
        <v>6535295</v>
      </c>
      <c r="G285">
        <v>6058083</v>
      </c>
    </row>
    <row r="286" spans="5:7" ht="25.5" customHeight="1">
      <c r="E286" s="1" t="s">
        <v>249</v>
      </c>
    </row>
    <row r="287" spans="5:7">
      <c r="E287" s="1" t="s">
        <v>250</v>
      </c>
      <c r="F287">
        <v>95937</v>
      </c>
      <c r="G287">
        <v>62910</v>
      </c>
    </row>
    <row r="288" spans="5:7">
      <c r="E288" s="1" t="s">
        <v>251</v>
      </c>
      <c r="F288">
        <v>-372472</v>
      </c>
      <c r="G288">
        <v>-343554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12898831</v>
      </c>
      <c r="G296" s="7">
        <f>IF(G4=$BF$1,"",G271+G272+G273+G274+G275+G276+G277+G278+G279+G280+G281+G282+G283+G284+G285+G286+G287+G288+G289+G290+G291+G292+G293+G294+G295)</f>
        <v>11456312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-26107951</v>
      </c>
      <c r="G297" s="7">
        <f t="shared" ref="G297:O297" si="27">IF(G4=$BF$1,"",MIN(F267,F268,F269)+F296)</f>
        <v>-26107951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-4980257</v>
      </c>
      <c r="G299">
        <v>-2403713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-1604233</v>
      </c>
      <c r="G302">
        <v>-247140</v>
      </c>
    </row>
    <row r="303" spans="5:15">
      <c r="E303" s="1" t="s">
        <v>265</v>
      </c>
      <c r="F303">
        <v>-421013</v>
      </c>
      <c r="G303">
        <v>-87628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996488</v>
      </c>
      <c r="G309">
        <v>-39719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846123</v>
      </c>
      <c r="G315">
        <v>587152</v>
      </c>
    </row>
    <row r="316" spans="5:15">
      <c r="E316" s="1" t="s">
        <v>276</v>
      </c>
      <c r="F316">
        <v>-1800000</v>
      </c>
      <c r="G316">
        <v>-12155</v>
      </c>
    </row>
    <row r="317" spans="5:15">
      <c r="E317" s="1" t="s">
        <v>277</v>
      </c>
      <c r="F317">
        <v>418907</v>
      </c>
      <c r="G317">
        <v>1169960</v>
      </c>
    </row>
    <row r="318" spans="5:15">
      <c r="E318" s="6" t="s">
        <v>278</v>
      </c>
      <c r="F318" s="7">
        <f>F299+F300+F301+F302+F303+F304+F305+F306+F307+F308+F309+F310+F311+F312+F313+F314+F315+F316+F317</f>
        <v>-6543985</v>
      </c>
      <c r="G318" s="7">
        <f>IF(G4=$BF$1,"",G299+G300+G301+G302+G303+G304+G305+G306+G307+G308+G309+G310+G311+G312+G313+G314+G315+G316+G317)</f>
        <v>-1033243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-32651936</v>
      </c>
      <c r="G319" s="7">
        <f t="shared" ref="G319:O319" si="28">IF(G4=$BF$1,"",G297+G318)</f>
        <v>-27141194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-32651936</v>
      </c>
      <c r="G326" s="7">
        <f t="shared" ref="G326:O326" si="30">IF(G4=$BF$1,"",G325+G319)</f>
        <v>-27141194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-3535364</v>
      </c>
      <c r="G328">
        <v>-2063221</v>
      </c>
    </row>
    <row r="329" spans="5:15">
      <c r="E329" s="1" t="s">
        <v>288</v>
      </c>
    </row>
    <row r="330" spans="5:15">
      <c r="E330" s="1" t="s">
        <v>289</v>
      </c>
      <c r="F330">
        <v>0</v>
      </c>
      <c r="G330">
        <v>-25837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-3535364</v>
      </c>
      <c r="G337" s="7">
        <f>IF(G4=$BF$1,"",SUM(G328:G336))</f>
        <v>-2089058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39615820</v>
      </c>
      <c r="G339">
        <v>32789384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-487905</v>
      </c>
      <c r="G343">
        <v>-2330809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39127915</v>
      </c>
      <c r="G352" s="7">
        <f>IF(G4=$BF$1,"",SUM(G339:G351))</f>
        <v>30458575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2940615</v>
      </c>
      <c r="G353" s="7">
        <f t="shared" ref="G353:O353" si="33">IF(G4=$BF$1,"",G326+G337+G352)</f>
        <v>1228323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2940615</v>
      </c>
      <c r="G355" s="7">
        <f t="shared" ref="G355:O355" si="34">IF(G4=$BF$1,"",G353+G354)</f>
        <v>1228323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18332702</v>
      </c>
      <c r="G356">
        <v>5095760</v>
      </c>
    </row>
    <row r="357" spans="5:15">
      <c r="E357" s="6" t="s">
        <v>316</v>
      </c>
      <c r="F357" s="7">
        <f>F355+F356</f>
        <v>21273317</v>
      </c>
      <c r="G357" s="7">
        <f t="shared" ref="G357:O357" si="35">IF(G4=$BF$1,"",G355+G356)</f>
        <v>6324083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0.15400781090621704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0.52734298707309379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0.13530081167386643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0.35055214072474572</v>
      </c>
      <c r="G369" s="27">
        <f t="shared" si="41"/>
        <v>0.43243012320034352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-2.6158079037198667</v>
      </c>
      <c r="G370" s="27">
        <f t="shared" si="42"/>
        <v>-1.8961670536780462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-2.5855176661898871</v>
      </c>
      <c r="G371" s="28">
        <f t="shared" si="43"/>
        <v>-1.953528190637086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-0.6684045132627553</v>
      </c>
      <c r="G372" s="27">
        <f t="shared" si="44"/>
        <v>-0.49683678967739686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-0.83540938233352535</v>
      </c>
      <c r="G373" s="27">
        <f t="shared" si="45"/>
        <v>-0.64578014621612845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0.19990782076720284</v>
      </c>
      <c r="G376" s="30">
        <f t="shared" si="47"/>
        <v>0.23064096567763404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0.24985598654256697</v>
      </c>
      <c r="G377" s="30">
        <f t="shared" si="48"/>
        <v>0.29978326813407397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-250.14268056920102</v>
      </c>
      <c r="G378" s="30">
        <f t="shared" si="49"/>
        <v>-107.17703239641837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2.2316879441217963</v>
      </c>
      <c r="G382" s="32">
        <f t="shared" si="51"/>
        <v>2.4422618648651508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1.9478799864978318</v>
      </c>
      <c r="G383" s="32">
        <f t="shared" si="52"/>
        <v>2.2346322865622699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1.6680060932861334</v>
      </c>
      <c r="G384" s="32">
        <f t="shared" si="53"/>
        <v>1.9713361941188927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-2.8261021144741512</v>
      </c>
      <c r="G385" s="32">
        <f t="shared" si="54"/>
        <v>-3.0885916834963232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19271642</v>
      </c>
      <c r="G418" s="17">
        <f>G130-G417</f>
        <v>17323241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5" priority="28">
      <formula>MOD(ROW(),2)=0</formula>
    </cfRule>
  </conditionalFormatting>
  <conditionalFormatting sqref="F101:G103">
    <cfRule type="expression" dxfId="44" priority="27">
      <formula>MOD(ROW(),2)=0</formula>
    </cfRule>
  </conditionalFormatting>
  <conditionalFormatting sqref="E243:G243">
    <cfRule type="expression" dxfId="43" priority="33">
      <formula>MOD(ROW(),2)=0</formula>
    </cfRule>
  </conditionalFormatting>
  <conditionalFormatting sqref="E323:E324">
    <cfRule type="expression" dxfId="42" priority="29">
      <formula>MOD(ROW(),2)=0</formula>
    </cfRule>
  </conditionalFormatting>
  <conditionalFormatting sqref="E329">
    <cfRule type="expression" dxfId="41" priority="26">
      <formula>MOD(ROW(),2)=0</formula>
    </cfRule>
  </conditionalFormatting>
  <conditionalFormatting sqref="E24:G29">
    <cfRule type="expression" dxfId="40" priority="46">
      <formula>MOD(ROW(),2)=0</formula>
    </cfRule>
  </conditionalFormatting>
  <conditionalFormatting sqref="E99:G99 E328:G328 F329:G332 E31:G42">
    <cfRule type="expression" dxfId="39" priority="47">
      <formula>MOD(ROW(),2)=0</formula>
    </cfRule>
  </conditionalFormatting>
  <conditionalFormatting sqref="E45:G58">
    <cfRule type="expression" dxfId="38" priority="45">
      <formula>MOD(ROW(),2)=0</formula>
    </cfRule>
  </conditionalFormatting>
  <conditionalFormatting sqref="E60:G66">
    <cfRule type="expression" dxfId="37" priority="44">
      <formula>MOD(ROW(),2)=0</formula>
    </cfRule>
  </conditionalFormatting>
  <conditionalFormatting sqref="E68:G70">
    <cfRule type="expression" dxfId="36" priority="43">
      <formula>MOD(ROW(),2)=0</formula>
    </cfRule>
  </conditionalFormatting>
  <conditionalFormatting sqref="E72:G82">
    <cfRule type="expression" dxfId="35" priority="42">
      <formula>MOD(ROW(),2)=0</formula>
    </cfRule>
  </conditionalFormatting>
  <conditionalFormatting sqref="E84:G86">
    <cfRule type="expression" dxfId="34" priority="41">
      <formula>MOD(ROW(),2)=0</formula>
    </cfRule>
  </conditionalFormatting>
  <conditionalFormatting sqref="E107:G127">
    <cfRule type="expression" dxfId="33" priority="40">
      <formula>MOD(ROW(),2)=0</formula>
    </cfRule>
  </conditionalFormatting>
  <conditionalFormatting sqref="E141:G144">
    <cfRule type="expression" dxfId="32" priority="39">
      <formula>MOD(ROW(),2)=0</formula>
    </cfRule>
  </conditionalFormatting>
  <conditionalFormatting sqref="E146:G154 F155:G155">
    <cfRule type="expression" dxfId="31" priority="38">
      <formula>MOD(ROW(),2)=0</formula>
    </cfRule>
  </conditionalFormatting>
  <conditionalFormatting sqref="E163:G188">
    <cfRule type="expression" dxfId="30" priority="37">
      <formula>MOD(ROW(),2)=0</formula>
    </cfRule>
  </conditionalFormatting>
  <conditionalFormatting sqref="E191:G209">
    <cfRule type="expression" dxfId="29" priority="36">
      <formula>MOD(ROW(),2)=0</formula>
    </cfRule>
  </conditionalFormatting>
  <conditionalFormatting sqref="E212:G226">
    <cfRule type="expression" dxfId="28" priority="35">
      <formula>MOD(ROW(),2)=0</formula>
    </cfRule>
  </conditionalFormatting>
  <conditionalFormatting sqref="E229:G242">
    <cfRule type="expression" dxfId="27" priority="34">
      <formula>MOD(ROW(),2)=0</formula>
    </cfRule>
  </conditionalFormatting>
  <conditionalFormatting sqref="E245:G262">
    <cfRule type="expression" dxfId="26" priority="32">
      <formula>MOD(ROW(),2)=0</formula>
    </cfRule>
  </conditionalFormatting>
  <conditionalFormatting sqref="E271:G295 E321:G322 E354:F354 E356:F356 E358:G360 F323:G324 E299:G317">
    <cfRule type="expression" dxfId="25" priority="31">
      <formula>MOD(ROW(),2)=0</formula>
    </cfRule>
  </conditionalFormatting>
  <conditionalFormatting sqref="G354 G356">
    <cfRule type="expression" dxfId="24" priority="30">
      <formula>MOD(ROW(),2)=0</formula>
    </cfRule>
  </conditionalFormatting>
  <conditionalFormatting sqref="E105:G106">
    <cfRule type="expression" dxfId="23" priority="25">
      <formula>MOD(ROW(),2)=0</formula>
    </cfRule>
  </conditionalFormatting>
  <conditionalFormatting sqref="E155">
    <cfRule type="expression" dxfId="22" priority="24">
      <formula>MOD(ROW(),2)=0</formula>
    </cfRule>
  </conditionalFormatting>
  <conditionalFormatting sqref="H24:O29">
    <cfRule type="expression" dxfId="21" priority="23">
      <formula>MOD(ROW(),2)=0</formula>
    </cfRule>
  </conditionalFormatting>
  <conditionalFormatting sqref="H89:O97">
    <cfRule type="expression" dxfId="20" priority="4">
      <formula>MOD(ROW(),2)=0</formula>
    </cfRule>
  </conditionalFormatting>
  <conditionalFormatting sqref="H101:O103">
    <cfRule type="expression" dxfId="19" priority="3">
      <formula>MOD(ROW(),2)=0</formula>
    </cfRule>
  </conditionalFormatting>
  <conditionalFormatting sqref="H243:O243">
    <cfRule type="expression" dxfId="18" priority="8">
      <formula>MOD(ROW(),2)=0</formula>
    </cfRule>
  </conditionalFormatting>
  <conditionalFormatting sqref="H31:O41 H99:O99 H328:O332 I42:O42">
    <cfRule type="expression" dxfId="17" priority="22">
      <formula>MOD(ROW(),2)=0</formula>
    </cfRule>
  </conditionalFormatting>
  <conditionalFormatting sqref="H45:O58">
    <cfRule type="expression" dxfId="16" priority="21">
      <formula>MOD(ROW(),2)=0</formula>
    </cfRule>
  </conditionalFormatting>
  <conditionalFormatting sqref="H60:O66">
    <cfRule type="expression" dxfId="15" priority="20">
      <formula>MOD(ROW(),2)=0</formula>
    </cfRule>
  </conditionalFormatting>
  <conditionalFormatting sqref="H68:O70">
    <cfRule type="expression" dxfId="14" priority="19">
      <formula>MOD(ROW(),2)=0</formula>
    </cfRule>
  </conditionalFormatting>
  <conditionalFormatting sqref="H72:O82">
    <cfRule type="expression" dxfId="13" priority="18">
      <formula>MOD(ROW(),2)=0</formula>
    </cfRule>
  </conditionalFormatting>
  <conditionalFormatting sqref="H84:O86">
    <cfRule type="expression" dxfId="12" priority="17">
      <formula>MOD(ROW(),2)=0</formula>
    </cfRule>
  </conditionalFormatting>
  <conditionalFormatting sqref="H107:O127">
    <cfRule type="expression" dxfId="11" priority="16">
      <formula>MOD(ROW(),2)=0</formula>
    </cfRule>
  </conditionalFormatting>
  <conditionalFormatting sqref="H130:O139">
    <cfRule type="expression" dxfId="10" priority="15">
      <formula>MOD(ROW(),2)=0</formula>
    </cfRule>
  </conditionalFormatting>
  <conditionalFormatting sqref="H141:O144">
    <cfRule type="expression" dxfId="9" priority="14">
      <formula>MOD(ROW(),2)=0</formula>
    </cfRule>
  </conditionalFormatting>
  <conditionalFormatting sqref="H163:O188">
    <cfRule type="expression" dxfId="8" priority="12">
      <formula>MOD(ROW(),2)=0</formula>
    </cfRule>
  </conditionalFormatting>
  <conditionalFormatting sqref="H191:O209">
    <cfRule type="expression" dxfId="7" priority="11">
      <formula>MOD(ROW(),2)=0</formula>
    </cfRule>
  </conditionalFormatting>
  <conditionalFormatting sqref="H212:O226">
    <cfRule type="expression" dxfId="6" priority="10">
      <formula>MOD(ROW(),2)=0</formula>
    </cfRule>
  </conditionalFormatting>
  <conditionalFormatting sqref="H229:O242">
    <cfRule type="expression" dxfId="5" priority="9">
      <formula>MOD(ROW(),2)=0</formula>
    </cfRule>
  </conditionalFormatting>
  <conditionalFormatting sqref="H245:O262">
    <cfRule type="expression" dxfId="4" priority="7">
      <formula>MOD(ROW(),2)=0</formula>
    </cfRule>
  </conditionalFormatting>
  <conditionalFormatting sqref="H271:O295 H321:O324 H358:O360 H299:O317">
    <cfRule type="expression" dxfId="3" priority="6">
      <formula>MOD(ROW(),2)=0</formula>
    </cfRule>
  </conditionalFormatting>
  <conditionalFormatting sqref="H354:O354 H356:O356">
    <cfRule type="expression" dxfId="2" priority="5">
      <formula>MOD(ROW(),2)=0</formula>
    </cfRule>
  </conditionalFormatting>
  <conditionalFormatting sqref="H105:O106">
    <cfRule type="expression" dxfId="1" priority="2">
      <formula>MOD(ROW(),2)=0</formula>
    </cfRule>
  </conditionalFormatting>
  <conditionalFormatting sqref="H42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3CC30-6736-4705-9109-ABA60E7160E4}">
  <dimension ref="A1:D15"/>
  <sheetViews>
    <sheetView workbookViewId="0">
      <selection activeCell="A16" sqref="A16"/>
    </sheetView>
  </sheetViews>
  <sheetFormatPr defaultRowHeight="13.2"/>
  <cols>
    <col min="1" max="1" width="31.5546875" customWidth="1"/>
    <col min="2" max="2" width="63.44140625" bestFit="1" customWidth="1"/>
    <col min="3" max="3" width="15.33203125" bestFit="1" customWidth="1"/>
    <col min="4" max="4" width="14.6640625" customWidth="1"/>
  </cols>
  <sheetData>
    <row r="1" spans="1:4">
      <c r="A1" s="39" t="s">
        <v>482</v>
      </c>
      <c r="B1" s="39" t="s">
        <v>483</v>
      </c>
      <c r="C1" s="39" t="s">
        <v>484</v>
      </c>
      <c r="D1" s="39"/>
    </row>
    <row r="2" spans="1:4">
      <c r="A2" s="39" t="s">
        <v>489</v>
      </c>
      <c r="B2" s="39" t="s">
        <v>26</v>
      </c>
      <c r="C2" s="39" t="s">
        <v>485</v>
      </c>
      <c r="D2" s="39"/>
    </row>
    <row r="3" spans="1:4">
      <c r="A3" t="s">
        <v>491</v>
      </c>
      <c r="B3" t="s">
        <v>492</v>
      </c>
      <c r="C3" s="39" t="s">
        <v>485</v>
      </c>
    </row>
    <row r="4" spans="1:4">
      <c r="A4" t="s">
        <v>494</v>
      </c>
      <c r="B4" t="s">
        <v>495</v>
      </c>
      <c r="C4" s="39" t="s">
        <v>485</v>
      </c>
    </row>
    <row r="5" spans="1:4">
      <c r="A5" t="s">
        <v>496</v>
      </c>
      <c r="B5" t="s">
        <v>495</v>
      </c>
      <c r="C5" s="39" t="s">
        <v>485</v>
      </c>
    </row>
    <row r="6" spans="1:4">
      <c r="A6" t="s">
        <v>497</v>
      </c>
      <c r="B6" t="s">
        <v>498</v>
      </c>
      <c r="C6" s="39" t="s">
        <v>485</v>
      </c>
    </row>
    <row r="7" spans="1:4">
      <c r="A7" t="s">
        <v>499</v>
      </c>
      <c r="B7" t="s">
        <v>498</v>
      </c>
      <c r="C7" s="39" t="s">
        <v>485</v>
      </c>
    </row>
    <row r="8" spans="1:4">
      <c r="A8" t="s">
        <v>500</v>
      </c>
      <c r="B8" t="s">
        <v>501</v>
      </c>
      <c r="C8" s="39" t="s">
        <v>485</v>
      </c>
    </row>
    <row r="9" spans="1:4">
      <c r="A9" t="s">
        <v>502</v>
      </c>
      <c r="B9" t="s">
        <v>503</v>
      </c>
      <c r="C9" s="39" t="s">
        <v>485</v>
      </c>
    </row>
    <row r="10" spans="1:4">
      <c r="A10" t="s">
        <v>504</v>
      </c>
      <c r="B10" t="s">
        <v>505</v>
      </c>
      <c r="C10" s="39" t="s">
        <v>485</v>
      </c>
    </row>
    <row r="11" spans="1:4">
      <c r="A11" t="s">
        <v>506</v>
      </c>
      <c r="B11" t="s">
        <v>507</v>
      </c>
      <c r="C11" s="39" t="s">
        <v>485</v>
      </c>
    </row>
    <row r="12" spans="1:4">
      <c r="A12" t="s">
        <v>509</v>
      </c>
      <c r="B12" t="s">
        <v>486</v>
      </c>
      <c r="C12" s="39" t="s">
        <v>485</v>
      </c>
    </row>
    <row r="13" spans="1:4">
      <c r="A13" t="s">
        <v>487</v>
      </c>
      <c r="B13" t="s">
        <v>486</v>
      </c>
      <c r="C13" s="39" t="s">
        <v>485</v>
      </c>
    </row>
    <row r="14" spans="1:4">
      <c r="A14" t="s">
        <v>511</v>
      </c>
      <c r="B14" t="s">
        <v>512</v>
      </c>
      <c r="C14" s="39" t="s">
        <v>485</v>
      </c>
    </row>
    <row r="15" spans="1:4">
      <c r="A15" t="s">
        <v>513</v>
      </c>
      <c r="B15" t="s">
        <v>515</v>
      </c>
      <c r="C15" s="39" t="s">
        <v>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6"/>
  <sheetViews>
    <sheetView showGridLines="0" zoomScaleNormal="100" workbookViewId="0">
      <selection activeCell="D1" sqref="D1"/>
    </sheetView>
  </sheetViews>
  <sheetFormatPr defaultRowHeight="13.2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workbookViewId="0">
      <selection activeCell="A6" sqref="A6"/>
    </sheetView>
  </sheetViews>
  <sheetFormatPr defaultRowHeight="13.2"/>
  <cols>
    <col min="1" max="4" width="22.77734375" customWidth="1"/>
  </cols>
  <sheetData>
    <row r="1" spans="1:6">
      <c r="A1" t="s">
        <v>374</v>
      </c>
    </row>
    <row r="2" spans="1:6">
      <c r="E2">
        <v>312018</v>
      </c>
      <c r="F2">
        <v>312017</v>
      </c>
    </row>
    <row r="3" spans="1:6">
      <c r="A3" t="s">
        <v>375</v>
      </c>
    </row>
    <row r="4" spans="1:6">
      <c r="A4" t="s">
        <v>376</v>
      </c>
      <c r="B4" t="s">
        <v>116</v>
      </c>
      <c r="C4" t="s">
        <v>116</v>
      </c>
      <c r="D4" t="s">
        <v>116</v>
      </c>
    </row>
    <row r="5" spans="1:6">
      <c r="A5" t="s">
        <v>377</v>
      </c>
      <c r="B5" t="s">
        <v>117</v>
      </c>
      <c r="C5" t="s">
        <v>117</v>
      </c>
      <c r="D5" t="s">
        <v>116</v>
      </c>
      <c r="E5">
        <v>19271642</v>
      </c>
      <c r="F5">
        <v>17323241</v>
      </c>
    </row>
    <row r="6" spans="1:6">
      <c r="A6" t="s">
        <v>378</v>
      </c>
      <c r="B6" t="s">
        <v>139</v>
      </c>
      <c r="C6" t="s">
        <v>139</v>
      </c>
      <c r="D6" t="s">
        <v>80</v>
      </c>
      <c r="F6">
        <v>1009461</v>
      </c>
    </row>
    <row r="7" spans="1:6">
      <c r="A7" t="s">
        <v>379</v>
      </c>
      <c r="B7" t="s">
        <v>352</v>
      </c>
      <c r="C7" t="s">
        <v>137</v>
      </c>
      <c r="D7" t="s">
        <v>116</v>
      </c>
      <c r="E7">
        <v>1155166</v>
      </c>
      <c r="F7">
        <v>830090</v>
      </c>
    </row>
    <row r="8" spans="1:6">
      <c r="A8" t="s">
        <v>380</v>
      </c>
      <c r="B8" t="s">
        <v>126</v>
      </c>
      <c r="C8" t="s">
        <v>126</v>
      </c>
      <c r="D8" t="s">
        <v>116</v>
      </c>
      <c r="E8">
        <v>3279032</v>
      </c>
      <c r="F8">
        <v>1824558</v>
      </c>
    </row>
    <row r="9" spans="1:6">
      <c r="A9" t="s">
        <v>381</v>
      </c>
      <c r="B9" t="s">
        <v>134</v>
      </c>
      <c r="C9" t="s">
        <v>134</v>
      </c>
      <c r="D9" t="s">
        <v>116</v>
      </c>
      <c r="E9">
        <v>2078413</v>
      </c>
      <c r="F9">
        <v>474180</v>
      </c>
    </row>
    <row r="10" spans="1:6">
      <c r="D10" t="s">
        <v>116</v>
      </c>
      <c r="E10">
        <v>25784253</v>
      </c>
      <c r="F10">
        <v>21461530</v>
      </c>
    </row>
    <row r="11" spans="1:6">
      <c r="A11" t="s">
        <v>382</v>
      </c>
      <c r="B11" t="s">
        <v>169</v>
      </c>
      <c r="C11" t="s">
        <v>168</v>
      </c>
      <c r="D11" t="s">
        <v>116</v>
      </c>
    </row>
    <row r="12" spans="1:6">
      <c r="A12" t="s">
        <v>383</v>
      </c>
      <c r="B12" t="s">
        <v>103</v>
      </c>
      <c r="C12" t="s">
        <v>103</v>
      </c>
      <c r="D12" t="s">
        <v>80</v>
      </c>
      <c r="E12">
        <v>54655</v>
      </c>
      <c r="F12">
        <v>54655</v>
      </c>
    </row>
    <row r="13" spans="1:6">
      <c r="A13" t="s">
        <v>384</v>
      </c>
      <c r="B13" t="s">
        <v>385</v>
      </c>
      <c r="C13" t="s">
        <v>92</v>
      </c>
      <c r="D13" t="s">
        <v>80</v>
      </c>
      <c r="E13">
        <v>13210596</v>
      </c>
      <c r="F13">
        <v>15686687</v>
      </c>
    </row>
    <row r="14" spans="1:6">
      <c r="A14" t="s">
        <v>386</v>
      </c>
      <c r="B14" t="s">
        <v>386</v>
      </c>
      <c r="C14" t="s">
        <v>91</v>
      </c>
      <c r="D14" t="s">
        <v>80</v>
      </c>
      <c r="E14">
        <v>7640622</v>
      </c>
      <c r="F14">
        <v>7640622</v>
      </c>
    </row>
    <row r="15" spans="1:6">
      <c r="A15" t="s">
        <v>387</v>
      </c>
      <c r="B15" t="s">
        <v>90</v>
      </c>
      <c r="C15" t="s">
        <v>90</v>
      </c>
      <c r="D15" t="s">
        <v>80</v>
      </c>
      <c r="E15">
        <v>9867921</v>
      </c>
      <c r="F15">
        <v>6559664</v>
      </c>
    </row>
    <row r="16" spans="1:6">
      <c r="A16" t="s">
        <v>388</v>
      </c>
      <c r="B16" t="s">
        <v>112</v>
      </c>
      <c r="C16" t="s">
        <v>112</v>
      </c>
      <c r="D16" t="s">
        <v>80</v>
      </c>
      <c r="E16">
        <v>1800000</v>
      </c>
    </row>
    <row r="17" spans="1:6">
      <c r="A17" t="s">
        <v>16</v>
      </c>
      <c r="D17" t="s">
        <v>80</v>
      </c>
      <c r="E17">
        <v>58358047</v>
      </c>
      <c r="F17">
        <v>51403158</v>
      </c>
    </row>
    <row r="18" spans="1:6">
      <c r="A18" t="s">
        <v>389</v>
      </c>
      <c r="D18" t="s">
        <v>80</v>
      </c>
    </row>
    <row r="19" spans="1:6">
      <c r="A19" t="s">
        <v>390</v>
      </c>
      <c r="B19" t="s">
        <v>141</v>
      </c>
      <c r="C19" t="s">
        <v>141</v>
      </c>
      <c r="D19" t="s">
        <v>141</v>
      </c>
    </row>
    <row r="20" spans="1:6">
      <c r="A20" t="s">
        <v>391</v>
      </c>
      <c r="B20" t="s">
        <v>392</v>
      </c>
      <c r="C20" t="s">
        <v>163</v>
      </c>
      <c r="D20" t="s">
        <v>141</v>
      </c>
      <c r="E20">
        <v>4170720</v>
      </c>
      <c r="F20">
        <v>2919120</v>
      </c>
    </row>
    <row r="21" spans="1:6">
      <c r="A21" t="s">
        <v>393</v>
      </c>
      <c r="B21" t="s">
        <v>394</v>
      </c>
      <c r="C21" t="s">
        <v>162</v>
      </c>
      <c r="D21" t="s">
        <v>141</v>
      </c>
      <c r="E21">
        <v>1011246</v>
      </c>
      <c r="F21">
        <v>14758</v>
      </c>
    </row>
    <row r="22" spans="1:6">
      <c r="A22" t="s">
        <v>395</v>
      </c>
      <c r="B22" t="s">
        <v>396</v>
      </c>
      <c r="C22" t="s">
        <v>161</v>
      </c>
      <c r="D22" t="s">
        <v>141</v>
      </c>
      <c r="E22">
        <v>2340095</v>
      </c>
      <c r="F22">
        <v>2300672</v>
      </c>
    </row>
    <row r="23" spans="1:6">
      <c r="A23" t="s">
        <v>397</v>
      </c>
      <c r="B23" t="s">
        <v>396</v>
      </c>
      <c r="C23" t="s">
        <v>161</v>
      </c>
      <c r="D23" t="s">
        <v>141</v>
      </c>
      <c r="E23">
        <v>1448505</v>
      </c>
      <c r="F23">
        <v>1069021</v>
      </c>
    </row>
    <row r="24" spans="1:6">
      <c r="A24" t="s">
        <v>398</v>
      </c>
      <c r="B24" t="s">
        <v>146</v>
      </c>
      <c r="C24" t="s">
        <v>146</v>
      </c>
      <c r="D24" t="s">
        <v>141</v>
      </c>
      <c r="F24">
        <v>2000000</v>
      </c>
    </row>
    <row r="25" spans="1:6">
      <c r="A25" t="s">
        <v>399</v>
      </c>
      <c r="B25" t="s">
        <v>146</v>
      </c>
      <c r="C25" t="s">
        <v>146</v>
      </c>
      <c r="D25" t="s">
        <v>141</v>
      </c>
      <c r="E25">
        <v>2583134</v>
      </c>
      <c r="F25">
        <v>483992</v>
      </c>
    </row>
    <row r="26" spans="1:6">
      <c r="D26" t="s">
        <v>141</v>
      </c>
      <c r="E26">
        <v>11553700</v>
      </c>
      <c r="F26">
        <v>8787563</v>
      </c>
    </row>
    <row r="27" spans="1:6">
      <c r="A27" t="s">
        <v>400</v>
      </c>
      <c r="B27" t="s">
        <v>180</v>
      </c>
      <c r="C27" t="s">
        <v>180</v>
      </c>
      <c r="D27" t="s">
        <v>165</v>
      </c>
    </row>
    <row r="28" spans="1:6">
      <c r="A28" t="s">
        <v>401</v>
      </c>
      <c r="B28" t="s">
        <v>178</v>
      </c>
      <c r="C28" t="s">
        <v>178</v>
      </c>
      <c r="D28" t="s">
        <v>165</v>
      </c>
      <c r="E28">
        <v>112530</v>
      </c>
      <c r="F28">
        <v>485002</v>
      </c>
    </row>
    <row r="29" spans="1:6">
      <c r="A29" t="s">
        <v>402</v>
      </c>
      <c r="B29" t="s">
        <v>146</v>
      </c>
      <c r="C29" t="s">
        <v>146</v>
      </c>
      <c r="D29" t="s">
        <v>165</v>
      </c>
      <c r="F29">
        <v>2583109</v>
      </c>
    </row>
    <row r="30" spans="1:6">
      <c r="A30" t="s">
        <v>403</v>
      </c>
      <c r="B30" t="s">
        <v>164</v>
      </c>
      <c r="C30" t="s">
        <v>164</v>
      </c>
      <c r="D30" t="s">
        <v>165</v>
      </c>
      <c r="E30">
        <v>11666230</v>
      </c>
      <c r="F30">
        <v>11855674</v>
      </c>
    </row>
    <row r="31" spans="1:6">
      <c r="A31" t="s">
        <v>404</v>
      </c>
      <c r="B31" t="s">
        <v>180</v>
      </c>
      <c r="C31" t="s">
        <v>180</v>
      </c>
      <c r="D31" t="s">
        <v>165</v>
      </c>
    </row>
    <row r="32" spans="1:6">
      <c r="A32" t="s">
        <v>405</v>
      </c>
      <c r="B32" t="s">
        <v>181</v>
      </c>
      <c r="C32" t="s">
        <v>181</v>
      </c>
      <c r="D32" t="s">
        <v>165</v>
      </c>
    </row>
    <row r="33" spans="1:6">
      <c r="A33" t="s">
        <v>406</v>
      </c>
      <c r="B33" t="s">
        <v>182</v>
      </c>
      <c r="C33" t="s">
        <v>182</v>
      </c>
      <c r="D33" t="s">
        <v>181</v>
      </c>
    </row>
    <row r="34" spans="1:6">
      <c r="A34" t="s">
        <v>407</v>
      </c>
      <c r="D34" t="s">
        <v>181</v>
      </c>
    </row>
    <row r="35" spans="1:6">
      <c r="A35" t="s">
        <v>408</v>
      </c>
      <c r="D35" t="s">
        <v>181</v>
      </c>
      <c r="E35">
        <v>4781</v>
      </c>
      <c r="F35">
        <v>3369</v>
      </c>
    </row>
    <row r="36" spans="1:6">
      <c r="A36" t="s">
        <v>409</v>
      </c>
      <c r="B36" t="s">
        <v>182</v>
      </c>
      <c r="C36" t="s">
        <v>182</v>
      </c>
      <c r="D36" t="s">
        <v>181</v>
      </c>
      <c r="E36">
        <v>199696656</v>
      </c>
      <c r="F36">
        <v>153546932</v>
      </c>
    </row>
    <row r="37" spans="1:6">
      <c r="A37" t="s">
        <v>410</v>
      </c>
      <c r="B37" t="s">
        <v>187</v>
      </c>
      <c r="C37" t="s">
        <v>187</v>
      </c>
      <c r="D37" t="s">
        <v>181</v>
      </c>
      <c r="E37">
        <v>-153004370</v>
      </c>
      <c r="F37">
        <v>-113997588</v>
      </c>
    </row>
    <row r="38" spans="1:6">
      <c r="A38" t="s">
        <v>411</v>
      </c>
      <c r="B38" t="s">
        <v>412</v>
      </c>
      <c r="C38" t="s">
        <v>192</v>
      </c>
      <c r="D38" t="s">
        <v>181</v>
      </c>
    </row>
    <row r="39" spans="1:6">
      <c r="A39" t="s">
        <v>408</v>
      </c>
      <c r="D39" t="s">
        <v>181</v>
      </c>
      <c r="E39">
        <v>-5250</v>
      </c>
      <c r="F39">
        <v>-5229</v>
      </c>
    </row>
    <row r="40" spans="1:6">
      <c r="A40" t="s">
        <v>413</v>
      </c>
      <c r="B40" t="s">
        <v>195</v>
      </c>
      <c r="C40" t="s">
        <v>195</v>
      </c>
      <c r="D40" t="s">
        <v>181</v>
      </c>
      <c r="E40">
        <v>46691817</v>
      </c>
      <c r="F40">
        <v>39547484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20"/>
  <sheetViews>
    <sheetView workbookViewId="0">
      <selection activeCell="C10" sqref="C10"/>
    </sheetView>
  </sheetViews>
  <sheetFormatPr defaultRowHeight="13.2"/>
  <cols>
    <col min="1" max="4" width="22.77734375" customWidth="1"/>
  </cols>
  <sheetData>
    <row r="2" spans="1:6">
      <c r="E2">
        <v>31</v>
      </c>
      <c r="F2">
        <v>31</v>
      </c>
    </row>
    <row r="3" spans="1:6">
      <c r="E3">
        <v>2018</v>
      </c>
      <c r="F3">
        <v>2017</v>
      </c>
    </row>
    <row r="4" spans="1:6">
      <c r="A4" t="s">
        <v>414</v>
      </c>
      <c r="B4" t="s">
        <v>415</v>
      </c>
      <c r="C4" t="s">
        <v>26</v>
      </c>
      <c r="D4" t="s">
        <v>416</v>
      </c>
      <c r="E4">
        <v>15086643</v>
      </c>
      <c r="F4">
        <v>13073259</v>
      </c>
    </row>
    <row r="5" spans="1:6">
      <c r="A5" t="s">
        <v>417</v>
      </c>
      <c r="B5" t="s">
        <v>27</v>
      </c>
      <c r="C5" t="s">
        <v>27</v>
      </c>
      <c r="D5" t="s">
        <v>416</v>
      </c>
      <c r="E5">
        <v>9797988</v>
      </c>
      <c r="F5">
        <v>7419988</v>
      </c>
    </row>
    <row r="6" spans="1:6">
      <c r="A6" t="s">
        <v>418</v>
      </c>
      <c r="B6" t="s">
        <v>418</v>
      </c>
      <c r="C6" t="s">
        <v>32</v>
      </c>
      <c r="D6" t="s">
        <v>416</v>
      </c>
      <c r="E6">
        <v>5288655</v>
      </c>
      <c r="F6">
        <v>5653271</v>
      </c>
    </row>
    <row r="7" spans="1:6">
      <c r="A7" t="s">
        <v>419</v>
      </c>
      <c r="B7" t="s">
        <v>36</v>
      </c>
      <c r="C7" t="s">
        <v>36</v>
      </c>
      <c r="D7" t="s">
        <v>416</v>
      </c>
      <c r="E7">
        <v>25948062</v>
      </c>
      <c r="F7">
        <v>22819224</v>
      </c>
    </row>
    <row r="8" spans="1:6">
      <c r="A8" t="s">
        <v>420</v>
      </c>
      <c r="B8" t="s">
        <v>37</v>
      </c>
      <c r="C8" t="s">
        <v>37</v>
      </c>
      <c r="D8" t="s">
        <v>416</v>
      </c>
      <c r="E8">
        <v>18793836</v>
      </c>
      <c r="F8">
        <v>7526784</v>
      </c>
    </row>
    <row r="9" spans="1:6">
      <c r="A9" t="s">
        <v>421</v>
      </c>
      <c r="B9" t="s">
        <v>422</v>
      </c>
      <c r="C9" t="s">
        <v>44</v>
      </c>
      <c r="D9" t="s">
        <v>416</v>
      </c>
      <c r="E9">
        <v>10517</v>
      </c>
      <c r="F9">
        <v>96346</v>
      </c>
    </row>
    <row r="10" spans="1:6">
      <c r="A10" t="s">
        <v>423</v>
      </c>
      <c r="B10" t="s">
        <v>424</v>
      </c>
      <c r="C10" t="s">
        <v>46</v>
      </c>
      <c r="D10" t="s">
        <v>416</v>
      </c>
      <c r="E10">
        <v>-39463760</v>
      </c>
      <c r="F10">
        <v>-24789083</v>
      </c>
    </row>
    <row r="11" spans="1:6">
      <c r="A11" t="s">
        <v>425</v>
      </c>
      <c r="B11" t="s">
        <v>56</v>
      </c>
      <c r="C11" t="s">
        <v>56</v>
      </c>
      <c r="D11" t="s">
        <v>416</v>
      </c>
    </row>
    <row r="12" spans="1:6">
      <c r="A12" t="s">
        <v>426</v>
      </c>
      <c r="B12" t="s">
        <v>51</v>
      </c>
      <c r="C12" t="s">
        <v>51</v>
      </c>
      <c r="D12" t="s">
        <v>416</v>
      </c>
      <c r="E12">
        <v>-157765</v>
      </c>
      <c r="F12">
        <v>-231291</v>
      </c>
    </row>
    <row r="13" spans="1:6">
      <c r="A13" t="s">
        <v>427</v>
      </c>
      <c r="B13" t="s">
        <v>54</v>
      </c>
      <c r="C13" t="s">
        <v>54</v>
      </c>
      <c r="D13" t="s">
        <v>416</v>
      </c>
      <c r="E13">
        <v>245403</v>
      </c>
      <c r="F13">
        <v>102233</v>
      </c>
    </row>
    <row r="14" spans="1:6">
      <c r="A14" t="s">
        <v>428</v>
      </c>
      <c r="B14" t="s">
        <v>56</v>
      </c>
      <c r="C14" t="s">
        <v>56</v>
      </c>
      <c r="D14" t="s">
        <v>416</v>
      </c>
      <c r="F14">
        <v>-960230</v>
      </c>
    </row>
    <row r="15" spans="1:6">
      <c r="A15" t="s">
        <v>429</v>
      </c>
      <c r="B15" t="s">
        <v>56</v>
      </c>
      <c r="C15" t="s">
        <v>56</v>
      </c>
      <c r="D15" t="s">
        <v>416</v>
      </c>
      <c r="E15">
        <v>87638</v>
      </c>
      <c r="F15">
        <v>-1089288</v>
      </c>
    </row>
    <row r="16" spans="1:6">
      <c r="A16" t="s">
        <v>430</v>
      </c>
      <c r="B16" t="s">
        <v>431</v>
      </c>
      <c r="C16" t="s">
        <v>61</v>
      </c>
      <c r="D16" t="s">
        <v>416</v>
      </c>
      <c r="E16">
        <v>-39376122</v>
      </c>
      <c r="F16">
        <v>-25878371</v>
      </c>
    </row>
    <row r="17" spans="1:6">
      <c r="A17" t="s">
        <v>432</v>
      </c>
      <c r="B17" t="s">
        <v>62</v>
      </c>
      <c r="C17" t="s">
        <v>62</v>
      </c>
      <c r="D17" t="s">
        <v>416</v>
      </c>
      <c r="E17">
        <v>-369340</v>
      </c>
      <c r="F17">
        <v>-339391</v>
      </c>
    </row>
    <row r="18" spans="1:6">
      <c r="A18" t="s">
        <v>433</v>
      </c>
      <c r="B18" t="s">
        <v>66</v>
      </c>
      <c r="C18" t="s">
        <v>66</v>
      </c>
      <c r="D18" t="s">
        <v>416</v>
      </c>
      <c r="E18">
        <v>-39006782</v>
      </c>
      <c r="F18">
        <v>-25538980</v>
      </c>
    </row>
    <row r="19" spans="1:6">
      <c r="A19" t="s">
        <v>434</v>
      </c>
      <c r="D19" t="s">
        <v>416</v>
      </c>
    </row>
    <row r="20" spans="1:6">
      <c r="A20" t="s">
        <v>435</v>
      </c>
      <c r="D20" t="s">
        <v>416</v>
      </c>
      <c r="E20">
        <v>-100</v>
      </c>
      <c r="F20">
        <v>-90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52"/>
  <sheetViews>
    <sheetView workbookViewId="0">
      <selection activeCell="A30" sqref="A30"/>
    </sheetView>
  </sheetViews>
  <sheetFormatPr defaultRowHeight="13.2"/>
  <cols>
    <col min="1" max="4" width="22.77734375" customWidth="1"/>
  </cols>
  <sheetData>
    <row r="2" spans="1:6">
      <c r="E2">
        <v>312018</v>
      </c>
      <c r="F2">
        <v>312017</v>
      </c>
    </row>
    <row r="3" spans="1:6">
      <c r="A3" t="s">
        <v>436</v>
      </c>
      <c r="B3" t="s">
        <v>231</v>
      </c>
      <c r="C3" t="s">
        <v>231</v>
      </c>
      <c r="D3" t="s">
        <v>437</v>
      </c>
    </row>
    <row r="4" spans="1:6">
      <c r="A4" t="s">
        <v>433</v>
      </c>
      <c r="B4" t="s">
        <v>232</v>
      </c>
      <c r="C4" t="s">
        <v>232</v>
      </c>
      <c r="D4" t="s">
        <v>437</v>
      </c>
      <c r="E4">
        <v>-39006782</v>
      </c>
      <c r="F4">
        <v>-25538980</v>
      </c>
    </row>
    <row r="5" spans="1:6">
      <c r="A5" t="s">
        <v>438</v>
      </c>
      <c r="D5" t="s">
        <v>437</v>
      </c>
    </row>
    <row r="6" spans="1:6">
      <c r="A6" t="s">
        <v>439</v>
      </c>
      <c r="B6" t="s">
        <v>285</v>
      </c>
      <c r="C6" t="s">
        <v>285</v>
      </c>
      <c r="D6" t="s">
        <v>437</v>
      </c>
    </row>
    <row r="7" spans="1:6">
      <c r="A7" t="s">
        <v>440</v>
      </c>
      <c r="B7" t="s">
        <v>248</v>
      </c>
      <c r="C7" t="s">
        <v>248</v>
      </c>
      <c r="D7" t="s">
        <v>437</v>
      </c>
      <c r="E7">
        <v>6535295</v>
      </c>
      <c r="F7">
        <v>6058083</v>
      </c>
    </row>
    <row r="8" spans="1:6">
      <c r="A8" t="s">
        <v>441</v>
      </c>
      <c r="B8" t="s">
        <v>243</v>
      </c>
      <c r="C8" t="s">
        <v>243</v>
      </c>
      <c r="D8" t="s">
        <v>437</v>
      </c>
      <c r="F8">
        <v>960230</v>
      </c>
    </row>
    <row r="9" spans="1:6">
      <c r="A9" t="s">
        <v>442</v>
      </c>
      <c r="B9" t="s">
        <v>250</v>
      </c>
      <c r="C9" t="s">
        <v>250</v>
      </c>
      <c r="D9" t="s">
        <v>437</v>
      </c>
      <c r="E9">
        <v>95937</v>
      </c>
      <c r="F9">
        <v>62910</v>
      </c>
    </row>
    <row r="10" spans="1:6">
      <c r="A10" t="s">
        <v>443</v>
      </c>
      <c r="B10" t="s">
        <v>246</v>
      </c>
      <c r="C10" t="s">
        <v>246</v>
      </c>
      <c r="D10" t="s">
        <v>437</v>
      </c>
      <c r="E10">
        <v>3525783</v>
      </c>
      <c r="F10">
        <v>1521222</v>
      </c>
    </row>
    <row r="11" spans="1:6">
      <c r="A11" t="s">
        <v>444</v>
      </c>
      <c r="B11" t="s">
        <v>236</v>
      </c>
      <c r="C11" t="s">
        <v>236</v>
      </c>
      <c r="D11" t="s">
        <v>437</v>
      </c>
      <c r="E11">
        <v>3098916</v>
      </c>
      <c r="F11">
        <v>3063553</v>
      </c>
    </row>
    <row r="12" spans="1:6">
      <c r="A12" t="s">
        <v>445</v>
      </c>
      <c r="B12" t="s">
        <v>236</v>
      </c>
      <c r="C12" t="s">
        <v>236</v>
      </c>
      <c r="D12" t="s">
        <v>437</v>
      </c>
      <c r="E12">
        <v>10517</v>
      </c>
      <c r="F12">
        <v>96346</v>
      </c>
    </row>
    <row r="13" spans="1:6">
      <c r="A13" t="s">
        <v>446</v>
      </c>
      <c r="B13" t="s">
        <v>245</v>
      </c>
      <c r="C13" t="s">
        <v>245</v>
      </c>
      <c r="D13" t="s">
        <v>437</v>
      </c>
      <c r="E13">
        <v>-758</v>
      </c>
      <c r="F13">
        <v>20858</v>
      </c>
    </row>
    <row r="14" spans="1:6">
      <c r="A14" t="s">
        <v>447</v>
      </c>
      <c r="B14" t="s">
        <v>251</v>
      </c>
      <c r="C14" t="s">
        <v>251</v>
      </c>
      <c r="D14" t="s">
        <v>437</v>
      </c>
      <c r="E14">
        <v>-372472</v>
      </c>
      <c r="F14">
        <v>-343554</v>
      </c>
    </row>
    <row r="15" spans="1:6">
      <c r="A15" t="s">
        <v>448</v>
      </c>
      <c r="D15" t="s">
        <v>437</v>
      </c>
    </row>
    <row r="16" spans="1:6">
      <c r="A16" t="s">
        <v>449</v>
      </c>
      <c r="B16" t="s">
        <v>276</v>
      </c>
      <c r="C16" t="s">
        <v>276</v>
      </c>
      <c r="D16" t="s">
        <v>437</v>
      </c>
    </row>
    <row r="17" spans="1:6">
      <c r="A17" t="s">
        <v>450</v>
      </c>
      <c r="B17" t="s">
        <v>265</v>
      </c>
      <c r="C17" t="s">
        <v>265</v>
      </c>
      <c r="D17" t="s">
        <v>437</v>
      </c>
      <c r="E17">
        <v>-421013</v>
      </c>
      <c r="F17">
        <v>-87628</v>
      </c>
    </row>
    <row r="18" spans="1:6">
      <c r="A18" t="s">
        <v>380</v>
      </c>
      <c r="B18" t="s">
        <v>261</v>
      </c>
      <c r="C18" t="s">
        <v>261</v>
      </c>
      <c r="D18" t="s">
        <v>437</v>
      </c>
      <c r="E18">
        <v>-4980257</v>
      </c>
      <c r="F18">
        <v>-2403713</v>
      </c>
    </row>
    <row r="19" spans="1:6">
      <c r="A19" t="s">
        <v>381</v>
      </c>
      <c r="B19" t="s">
        <v>264</v>
      </c>
      <c r="C19" t="s">
        <v>264</v>
      </c>
      <c r="D19" t="s">
        <v>437</v>
      </c>
      <c r="E19">
        <v>-1604233</v>
      </c>
      <c r="F19">
        <v>-247140</v>
      </c>
    </row>
    <row r="20" spans="1:6">
      <c r="A20" t="s">
        <v>383</v>
      </c>
      <c r="B20" t="s">
        <v>276</v>
      </c>
      <c r="C20" t="s">
        <v>276</v>
      </c>
      <c r="D20" t="s">
        <v>437</v>
      </c>
      <c r="F20">
        <v>-12155</v>
      </c>
    </row>
    <row r="21" spans="1:6">
      <c r="A21" t="s">
        <v>388</v>
      </c>
      <c r="B21" t="s">
        <v>276</v>
      </c>
      <c r="C21" t="s">
        <v>276</v>
      </c>
      <c r="D21" t="s">
        <v>437</v>
      </c>
      <c r="E21">
        <v>-1800000</v>
      </c>
    </row>
    <row r="22" spans="1:6">
      <c r="A22" t="s">
        <v>451</v>
      </c>
      <c r="B22" t="s">
        <v>276</v>
      </c>
      <c r="C22" t="s">
        <v>276</v>
      </c>
      <c r="D22" t="s">
        <v>437</v>
      </c>
    </row>
    <row r="23" spans="1:6">
      <c r="A23" t="s">
        <v>391</v>
      </c>
      <c r="B23" t="s">
        <v>275</v>
      </c>
      <c r="C23" t="s">
        <v>275</v>
      </c>
      <c r="D23" t="s">
        <v>437</v>
      </c>
      <c r="E23">
        <v>846123</v>
      </c>
      <c r="F23">
        <v>587152</v>
      </c>
    </row>
    <row r="24" spans="1:6">
      <c r="A24" t="s">
        <v>393</v>
      </c>
      <c r="B24" t="s">
        <v>269</v>
      </c>
      <c r="C24" t="s">
        <v>269</v>
      </c>
      <c r="D24" t="s">
        <v>437</v>
      </c>
      <c r="E24">
        <v>996488</v>
      </c>
      <c r="F24">
        <v>-39719</v>
      </c>
    </row>
    <row r="25" spans="1:6">
      <c r="A25" t="s">
        <v>452</v>
      </c>
      <c r="B25" t="s">
        <v>277</v>
      </c>
      <c r="C25" t="s">
        <v>277</v>
      </c>
      <c r="D25" t="s">
        <v>437</v>
      </c>
      <c r="E25">
        <v>418907</v>
      </c>
      <c r="F25">
        <v>1169960</v>
      </c>
    </row>
    <row r="26" spans="1:6">
      <c r="A26" t="s">
        <v>453</v>
      </c>
      <c r="B26" t="s">
        <v>285</v>
      </c>
      <c r="C26" t="s">
        <v>285</v>
      </c>
      <c r="D26" t="s">
        <v>437</v>
      </c>
      <c r="E26">
        <v>-32657549</v>
      </c>
      <c r="F26">
        <v>-15132575</v>
      </c>
    </row>
    <row r="27" spans="1:6">
      <c r="A27" t="s">
        <v>454</v>
      </c>
      <c r="B27" t="s">
        <v>231</v>
      </c>
      <c r="C27" t="s">
        <v>231</v>
      </c>
      <c r="D27" t="s">
        <v>455</v>
      </c>
    </row>
    <row r="28" spans="1:6">
      <c r="A28" t="s">
        <v>456</v>
      </c>
      <c r="B28" t="s">
        <v>287</v>
      </c>
      <c r="C28" t="s">
        <v>287</v>
      </c>
      <c r="D28" t="s">
        <v>455</v>
      </c>
      <c r="E28">
        <v>-3535364</v>
      </c>
      <c r="F28">
        <v>-2063221</v>
      </c>
    </row>
    <row r="29" spans="1:6">
      <c r="A29" t="s">
        <v>457</v>
      </c>
      <c r="B29" t="s">
        <v>289</v>
      </c>
      <c r="C29" t="s">
        <v>289</v>
      </c>
      <c r="D29" t="s">
        <v>455</v>
      </c>
      <c r="F29">
        <v>-25837</v>
      </c>
    </row>
    <row r="30" spans="1:6">
      <c r="A30" t="s">
        <v>458</v>
      </c>
      <c r="B30" t="s">
        <v>298</v>
      </c>
      <c r="C30" t="s">
        <v>298</v>
      </c>
      <c r="D30" t="s">
        <v>459</v>
      </c>
      <c r="F30">
        <v>1100</v>
      </c>
    </row>
    <row r="31" spans="1:6">
      <c r="A31" t="s">
        <v>460</v>
      </c>
      <c r="B31" t="s">
        <v>296</v>
      </c>
      <c r="C31" t="s">
        <v>296</v>
      </c>
      <c r="D31" t="s">
        <v>455</v>
      </c>
      <c r="E31">
        <v>-3535364</v>
      </c>
      <c r="F31">
        <v>-2087958</v>
      </c>
    </row>
    <row r="32" spans="1:6">
      <c r="A32" t="s">
        <v>461</v>
      </c>
      <c r="B32" t="s">
        <v>297</v>
      </c>
      <c r="C32" t="s">
        <v>297</v>
      </c>
      <c r="D32" t="s">
        <v>459</v>
      </c>
    </row>
    <row r="33" spans="1:6">
      <c r="A33" t="s">
        <v>462</v>
      </c>
      <c r="B33" t="s">
        <v>298</v>
      </c>
      <c r="C33" t="s">
        <v>298</v>
      </c>
      <c r="D33" t="s">
        <v>459</v>
      </c>
      <c r="E33">
        <v>37619758</v>
      </c>
      <c r="F33">
        <v>16021634</v>
      </c>
    </row>
    <row r="34" spans="1:6">
      <c r="A34" t="s">
        <v>463</v>
      </c>
      <c r="B34" t="s">
        <v>298</v>
      </c>
      <c r="C34" t="s">
        <v>298</v>
      </c>
      <c r="D34" t="s">
        <v>459</v>
      </c>
      <c r="F34">
        <v>16766650</v>
      </c>
    </row>
    <row r="35" spans="1:6">
      <c r="A35" t="s">
        <v>464</v>
      </c>
      <c r="B35" t="s">
        <v>302</v>
      </c>
      <c r="C35" t="s">
        <v>302</v>
      </c>
      <c r="D35" t="s">
        <v>459</v>
      </c>
      <c r="E35">
        <v>-487905</v>
      </c>
      <c r="F35">
        <v>-2330809</v>
      </c>
    </row>
    <row r="36" spans="1:6">
      <c r="A36" t="s">
        <v>465</v>
      </c>
      <c r="B36" t="s">
        <v>311</v>
      </c>
      <c r="C36" t="s">
        <v>311</v>
      </c>
      <c r="D36" t="s">
        <v>459</v>
      </c>
      <c r="E36">
        <v>37131853</v>
      </c>
      <c r="F36">
        <v>30457475</v>
      </c>
    </row>
    <row r="37" spans="1:6">
      <c r="A37" t="s">
        <v>466</v>
      </c>
      <c r="B37" t="s">
        <v>467</v>
      </c>
      <c r="C37" t="s">
        <v>312</v>
      </c>
      <c r="D37" t="s">
        <v>459</v>
      </c>
      <c r="E37">
        <v>938940</v>
      </c>
      <c r="F37">
        <v>13236942</v>
      </c>
    </row>
    <row r="38" spans="1:6">
      <c r="A38" t="s">
        <v>468</v>
      </c>
      <c r="D38" t="s">
        <v>459</v>
      </c>
    </row>
    <row r="39" spans="1:6">
      <c r="A39" t="s">
        <v>469</v>
      </c>
      <c r="B39" t="s">
        <v>470</v>
      </c>
      <c r="C39" t="s">
        <v>315</v>
      </c>
      <c r="D39" t="s">
        <v>459</v>
      </c>
      <c r="E39">
        <v>18332702</v>
      </c>
      <c r="F39">
        <v>5095760</v>
      </c>
    </row>
    <row r="40" spans="1:6">
      <c r="D40" t="s">
        <v>459</v>
      </c>
    </row>
    <row r="41" spans="1:6">
      <c r="D41" t="s">
        <v>459</v>
      </c>
      <c r="E41">
        <v>312018</v>
      </c>
      <c r="F41">
        <v>312017</v>
      </c>
    </row>
    <row r="42" spans="1:6">
      <c r="A42" t="s">
        <v>471</v>
      </c>
      <c r="D42" t="s">
        <v>459</v>
      </c>
    </row>
    <row r="43" spans="1:6">
      <c r="A43" t="s">
        <v>472</v>
      </c>
      <c r="D43" t="s">
        <v>459</v>
      </c>
      <c r="E43">
        <v>19271642</v>
      </c>
      <c r="F43">
        <v>17323241</v>
      </c>
    </row>
    <row r="44" spans="1:6">
      <c r="A44" t="s">
        <v>378</v>
      </c>
      <c r="D44" t="s">
        <v>459</v>
      </c>
      <c r="F44">
        <v>1009461</v>
      </c>
    </row>
    <row r="45" spans="1:6">
      <c r="A45" t="s">
        <v>473</v>
      </c>
      <c r="D45" t="s">
        <v>459</v>
      </c>
      <c r="E45">
        <v>19271642</v>
      </c>
      <c r="F45">
        <v>18332702</v>
      </c>
    </row>
    <row r="46" spans="1:6">
      <c r="A46" t="s">
        <v>474</v>
      </c>
      <c r="D46" t="s">
        <v>459</v>
      </c>
    </row>
    <row r="47" spans="1:6">
      <c r="A47" t="s">
        <v>475</v>
      </c>
      <c r="B47" t="s">
        <v>476</v>
      </c>
      <c r="C47" t="s">
        <v>247</v>
      </c>
      <c r="D47" t="s">
        <v>437</v>
      </c>
      <c r="E47">
        <v>5613</v>
      </c>
      <c r="F47">
        <v>16664</v>
      </c>
    </row>
    <row r="48" spans="1:6">
      <c r="A48" t="s">
        <v>477</v>
      </c>
      <c r="D48" t="s">
        <v>459</v>
      </c>
      <c r="E48">
        <v>181277</v>
      </c>
      <c r="F48">
        <v>216831</v>
      </c>
    </row>
    <row r="49" spans="1:6">
      <c r="A49" t="s">
        <v>478</v>
      </c>
      <c r="D49" t="s">
        <v>459</v>
      </c>
    </row>
    <row r="50" spans="1:6">
      <c r="A50" t="s">
        <v>479</v>
      </c>
      <c r="B50" t="s">
        <v>286</v>
      </c>
      <c r="C50" t="s">
        <v>286</v>
      </c>
      <c r="D50" t="s">
        <v>455</v>
      </c>
    </row>
    <row r="51" spans="1:6">
      <c r="A51" t="s">
        <v>480</v>
      </c>
      <c r="D51" t="s">
        <v>459</v>
      </c>
      <c r="E51">
        <v>405477</v>
      </c>
      <c r="F51">
        <v>306100</v>
      </c>
    </row>
    <row r="52" spans="1:6">
      <c r="A52" t="s">
        <v>481</v>
      </c>
      <c r="B52" t="s">
        <v>298</v>
      </c>
      <c r="C52" t="s">
        <v>298</v>
      </c>
      <c r="D52" t="s">
        <v>459</v>
      </c>
      <c r="E52">
        <v>1996062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3D5390-824C-4544-B3AE-353D68B7129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3CE2743-8F14-495C-B961-61A4974600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8FDE2C-4EAF-4BD1-9CFB-8BC2C33394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Ratios</vt:lpstr>
      <vt:lpstr>bs</vt:lpstr>
      <vt:lpstr>pl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2021-10-04T04:44:01Z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