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niyos\OneDrive\Desktop\Aptivaa\FinancialSpreads Ground Truth\Financial Statements - PDF &amp; Excel\"/>
    </mc:Choice>
  </mc:AlternateContent>
  <xr:revisionPtr revIDLastSave="0" documentId="13_ncr:1_{228D07EE-90DF-4ADC-B932-99DCF3472D0D}" xr6:coauthVersionLast="47" xr6:coauthVersionMax="47" xr10:uidLastSave="{00000000-0000-0000-0000-000000000000}"/>
  <bookViews>
    <workbookView xWindow="10392" yWindow="0" windowWidth="12648" windowHeight="11268" activeTab="1" xr2:uid="{00000000-000D-0000-FFFF-FFFF00000000}"/>
  </bookViews>
  <sheets>
    <sheet name="Accounts" sheetId="1" r:id="rId1"/>
    <sheet name="mapping template" sheetId="6" r:id="rId2"/>
    <sheet name="Ratios" sheetId="2" r:id="rId3"/>
    <sheet name="bs" sheetId="3" r:id="rId4"/>
    <sheet name="pl" sheetId="4" r:id="rId5"/>
    <sheet name="cf" sheetId="5" r:id="rId6"/>
  </sheets>
  <calcPr calcId="191029"/>
</workbook>
</file>

<file path=xl/calcChain.xml><?xml version="1.0" encoding="utf-8"?>
<calcChain xmlns="http://schemas.openxmlformats.org/spreadsheetml/2006/main">
  <c r="G212" i="1" l="1"/>
  <c r="F212" i="1"/>
  <c r="G209" i="1"/>
  <c r="F209" i="1"/>
  <c r="G196" i="1"/>
  <c r="F196" i="1"/>
  <c r="G92" i="1"/>
  <c r="F92" i="1"/>
  <c r="G89" i="1"/>
  <c r="F89" i="1"/>
  <c r="G24" i="1"/>
  <c r="F24" i="1"/>
  <c r="G432" i="1" l="1"/>
  <c r="G433" i="1" s="1"/>
  <c r="F432" i="1"/>
  <c r="F433" i="1" s="1"/>
  <c r="F418" i="1"/>
  <c r="G417" i="1"/>
  <c r="G418" i="1" s="1"/>
  <c r="F417" i="1"/>
  <c r="G409" i="1"/>
  <c r="G410" i="1" s="1"/>
  <c r="G397" i="1"/>
  <c r="F397" i="1"/>
  <c r="F409" i="1" s="1"/>
  <c r="F410" i="1" s="1"/>
  <c r="N382" i="1"/>
  <c r="O381" i="1"/>
  <c r="N381" i="1"/>
  <c r="M381" i="1"/>
  <c r="L381" i="1"/>
  <c r="K381" i="1"/>
  <c r="J381" i="1"/>
  <c r="H381" i="1"/>
  <c r="L377" i="1"/>
  <c r="N376" i="1"/>
  <c r="O375" i="1"/>
  <c r="N375" i="1"/>
  <c r="M375" i="1"/>
  <c r="L375" i="1"/>
  <c r="K375" i="1"/>
  <c r="J375" i="1"/>
  <c r="H375" i="1"/>
  <c r="J373" i="1"/>
  <c r="N371" i="1"/>
  <c r="J369" i="1"/>
  <c r="L368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O296" i="1"/>
  <c r="N296" i="1"/>
  <c r="M296" i="1"/>
  <c r="L296" i="1"/>
  <c r="K296" i="1"/>
  <c r="J296" i="1"/>
  <c r="I296" i="1"/>
  <c r="H296" i="1"/>
  <c r="G296" i="1"/>
  <c r="F296" i="1"/>
  <c r="F297" i="1" s="1"/>
  <c r="F319" i="1" s="1"/>
  <c r="O227" i="1"/>
  <c r="N227" i="1"/>
  <c r="M227" i="1"/>
  <c r="L227" i="1"/>
  <c r="K227" i="1"/>
  <c r="J227" i="1"/>
  <c r="I227" i="1"/>
  <c r="H227" i="1"/>
  <c r="G227" i="1"/>
  <c r="G11" i="1" s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F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6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F11" i="1"/>
  <c r="O10" i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84" i="1" s="1"/>
  <c r="I9" i="1"/>
  <c r="H9" i="1"/>
  <c r="H377" i="1" s="1"/>
  <c r="F9" i="1"/>
  <c r="F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M6" i="1"/>
  <c r="M371" i="1" s="1"/>
  <c r="L6" i="1"/>
  <c r="L371" i="1" s="1"/>
  <c r="K6" i="1"/>
  <c r="K371" i="1" s="1"/>
  <c r="J6" i="1"/>
  <c r="J371" i="1" s="1"/>
  <c r="I6" i="1"/>
  <c r="I371" i="1" s="1"/>
  <c r="H6" i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I377" i="1" l="1"/>
  <c r="F161" i="1"/>
  <c r="F8" i="1" s="1"/>
  <c r="F12" i="1" s="1"/>
  <c r="G12" i="1"/>
  <c r="G376" i="1" s="1"/>
  <c r="H365" i="1"/>
  <c r="H370" i="1"/>
  <c r="G384" i="1"/>
  <c r="G13" i="1"/>
  <c r="G377" i="1"/>
  <c r="F383" i="1"/>
  <c r="F382" i="1"/>
  <c r="G383" i="1"/>
  <c r="G382" i="1"/>
  <c r="F326" i="1"/>
  <c r="G326" i="1"/>
  <c r="J368" i="1"/>
  <c r="N370" i="1"/>
  <c r="H373" i="1"/>
  <c r="F375" i="1"/>
  <c r="L376" i="1"/>
  <c r="J377" i="1"/>
  <c r="F381" i="1"/>
  <c r="L382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L372" i="1"/>
  <c r="J378" i="1"/>
  <c r="I365" i="1"/>
  <c r="M368" i="1"/>
  <c r="M372" i="1"/>
  <c r="I375" i="1"/>
  <c r="O376" i="1"/>
  <c r="M377" i="1"/>
  <c r="K378" i="1"/>
  <c r="I381" i="1"/>
  <c r="O382" i="1"/>
  <c r="K384" i="1"/>
  <c r="F363" i="1"/>
  <c r="N368" i="1"/>
  <c r="H371" i="1"/>
  <c r="N372" i="1"/>
  <c r="H376" i="1"/>
  <c r="F377" i="1"/>
  <c r="N377" i="1"/>
  <c r="L378" i="1"/>
  <c r="H382" i="1"/>
  <c r="G363" i="1"/>
  <c r="O368" i="1"/>
  <c r="O372" i="1"/>
  <c r="I376" i="1"/>
  <c r="O377" i="1"/>
  <c r="M378" i="1"/>
  <c r="I382" i="1"/>
  <c r="F13" i="1"/>
  <c r="F44" i="1"/>
  <c r="H363" i="1"/>
  <c r="J376" i="1"/>
  <c r="G44" i="1"/>
  <c r="I363" i="1"/>
  <c r="G366" i="1" l="1"/>
  <c r="G14" i="1"/>
  <c r="F376" i="1"/>
  <c r="F366" i="1"/>
  <c r="F14" i="1"/>
  <c r="G353" i="1"/>
  <c r="G355" i="1" s="1"/>
  <c r="G357" i="1" s="1"/>
  <c r="G385" i="1"/>
  <c r="G378" i="1"/>
  <c r="G370" i="1"/>
  <c r="G59" i="1"/>
  <c r="G67" i="1" s="1"/>
  <c r="G71" i="1" s="1"/>
  <c r="F353" i="1"/>
  <c r="F355" i="1" s="1"/>
  <c r="F357" i="1" s="1"/>
  <c r="F385" i="1"/>
  <c r="F378" i="1"/>
  <c r="F370" i="1"/>
  <c r="F59" i="1"/>
  <c r="F67" i="1" s="1"/>
  <c r="F71" i="1" s="1"/>
  <c r="G373" i="1" l="1"/>
  <c r="G83" i="1"/>
  <c r="G372" i="1"/>
  <c r="G6" i="1"/>
  <c r="F373" i="1"/>
  <c r="F83" i="1"/>
  <c r="F372" i="1"/>
  <c r="F6" i="1"/>
  <c r="G371" i="1" l="1"/>
  <c r="G365" i="1"/>
  <c r="F371" i="1"/>
  <c r="F365" i="1"/>
</calcChain>
</file>

<file path=xl/sharedStrings.xml><?xml version="1.0" encoding="utf-8"?>
<sst xmlns="http://schemas.openxmlformats.org/spreadsheetml/2006/main" count="892" uniqueCount="540">
  <si>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</si>
  <si>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</si>
  <si>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</si>
  <si>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</si>
  <si>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</si>
  <si>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</si>
  <si>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</si>
  <si>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</si>
  <si>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</si>
  <si>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</si>
  <si>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</si>
  <si>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</si>
  <si>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</si>
  <si>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</si>
  <si>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</si>
  <si>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</si>
  <si>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</si>
  <si>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</si>
  <si>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</si>
  <si>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</si>
  <si>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</si>
  <si>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</si>
  <si>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</si>
  <si>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</si>
  <si>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</si>
  <si>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</si>
  <si>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</si>
  <si>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</si>
  <si>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</si>
  <si>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</si>
  <si>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</si>
  <si>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</si>
  <si>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</si>
  <si>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</si>
  <si>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</si>
  <si>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</si>
  <si>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</si>
  <si>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</si>
  <si>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</si>
  <si>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</si>
  <si>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</si>
  <si>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</si>
  <si>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</si>
  <si>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</si>
  <si>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</si>
  <si>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</si>
  <si>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</si>
  <si>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</si>
  <si>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</si>
  <si>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</si>
  <si>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</si>
  <si>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</si>
  <si>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</si>
  <si>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</si>
  <si>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</si>
  <si>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</si>
  <si>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</si>
  <si>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</si>
  <si>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</si>
  <si>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</si>
  <si>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</si>
  <si>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</si>
  <si>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</si>
  <si>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</si>
  <si>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</si>
  <si>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</si>
  <si>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</si>
  <si>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</si>
  <si>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</si>
  <si>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</si>
  <si>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</si>
  <si>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</si>
  <si>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</si>
  <si>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</si>
  <si>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</si>
  <si>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</si>
  <si>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</si>
  <si>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</si>
  <si>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</si>
  <si>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</si>
  <si>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</si>
  <si>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</si>
  <si>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</si>
  <si>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</si>
  <si>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</si>
  <si>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</si>
  <si>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</si>
  <si>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</si>
  <si>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</si>
  <si>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</si>
  <si>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</si>
  <si>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</si>
  <si>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</si>
  <si>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</si>
  <si>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</si>
  <si>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</si>
  <si>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</si>
  <si>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</si>
  <si>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</si>
  <si>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</si>
  <si>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</si>
  <si>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</si>
  <si>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</si>
  <si>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</si>
  <si>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</si>
  <si>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</si>
  <si>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</si>
  <si>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</si>
  <si>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</si>
  <si>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</si>
  <si>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</si>
  <si>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</si>
  <si>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</si>
  <si>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</si>
  <si>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</si>
  <si>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</si>
  <si>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</si>
  <si>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</si>
  <si>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</si>
  <si>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</si>
  <si>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</si>
  <si>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</si>
  <si>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</si>
  <si>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</si>
  <si>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</si>
  <si>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</si>
  <si>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</si>
  <si>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</si>
  <si>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</si>
  <si>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</si>
  <si>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</si>
  <si>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</si>
  <si>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</si>
  <si>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</si>
  <si>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</si>
  <si>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</si>
  <si>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</si>
  <si>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</si>
  <si>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</si>
  <si>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</si>
  <si>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</si>
  <si>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</si>
  <si>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</si>
  <si>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</si>
  <si>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</si>
  <si>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</si>
  <si>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</si>
  <si>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</si>
  <si>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</si>
  <si>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</si>
  <si>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</si>
  <si>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</si>
  <si>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</si>
  <si>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</si>
  <si>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</si>
  <si>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</si>
  <si>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</si>
  <si>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</si>
  <si>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</si>
  <si>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</si>
  <si>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</si>
  <si>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</si>
  <si>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</si>
  <si>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</si>
  <si>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</si>
  <si>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</si>
  <si>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</si>
  <si>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</si>
  <si>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</si>
  <si>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</si>
  <si>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</si>
  <si>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</si>
  <si>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</si>
  <si>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</si>
  <si>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</si>
  <si>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</si>
  <si>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</si>
  <si>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</si>
  <si>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</si>
  <si>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</si>
  <si>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</si>
  <si>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</si>
  <si>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</si>
  <si>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</si>
  <si>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</si>
  <si>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</si>
  <si>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</si>
  <si>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</si>
  <si>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</si>
  <si>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</si>
  <si>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</si>
  <si>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</si>
  <si>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</si>
  <si>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</si>
  <si>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</si>
  <si>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</si>
  <si>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</si>
  <si>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</si>
  <si>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</si>
  <si>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</si>
  <si>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</si>
  <si>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</si>
  <si>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</si>
  <si>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</si>
  <si>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</si>
  <si>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</si>
  <si>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</si>
  <si>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</si>
  <si>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</si>
  <si>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</si>
  <si>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</si>
  <si>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</si>
  <si>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</si>
  <si>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</si>
  <si>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</si>
  <si>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</si>
  <si>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</si>
  <si>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</si>
  <si>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</si>
  <si>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</si>
  <si>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</si>
  <si>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</si>
  <si>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</si>
  <si>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</si>
  <si>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</si>
  <si>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</si>
  <si>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</si>
  <si>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</si>
  <si>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</si>
  <si>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</si>
  <si>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</si>
  <si>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</si>
  <si>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</si>
  <si>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</si>
  <si>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</si>
  <si>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</si>
  <si>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</si>
  <si>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</si>
  <si>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</si>
  <si>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</si>
  <si>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</si>
  <si>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</si>
  <si>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</si>
  <si>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</si>
  <si>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</si>
  <si>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</si>
  <si>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</si>
  <si>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</si>
  <si>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</si>
  <si>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</si>
  <si>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</si>
  <si>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</si>
  <si>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</si>
  <si>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</si>
  <si>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</si>
  <si>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</si>
  <si>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</si>
  <si>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</si>
  <si>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</si>
  <si>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</si>
  <si>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</si>
  <si>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</si>
  <si>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</si>
  <si>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</si>
  <si>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</si>
  <si>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</si>
  <si>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</si>
  <si>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</si>
  <si>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</si>
  <si>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</si>
  <si>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</si>
  <si>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</si>
  <si>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</si>
  <si>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</si>
  <si>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</si>
  <si>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</si>
  <si>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</si>
  <si>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</si>
  <si>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</si>
  <si>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</si>
  <si>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</si>
  <si>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</si>
  <si>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</si>
  <si>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</si>
  <si>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</si>
  <si>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</si>
  <si>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</si>
  <si>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</si>
  <si>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</si>
  <si>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</si>
  <si>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</si>
  <si>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</si>
  <si>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</si>
  <si>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</si>
  <si>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</si>
  <si>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</si>
  <si>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</si>
  <si>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</si>
  <si>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</si>
  <si>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</si>
  <si>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</si>
  <si>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</si>
  <si>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</si>
  <si>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</si>
  <si>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</si>
  <si>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</si>
  <si>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</si>
  <si>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</si>
  <si>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</si>
  <si>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</si>
  <si>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</si>
  <si>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</si>
  <si>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</si>
  <si>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</si>
  <si>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</si>
  <si>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</si>
  <si>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</si>
  <si>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</si>
  <si>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</si>
  <si>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</si>
  <si>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</si>
  <si>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</si>
  <si>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</si>
  <si>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</si>
  <si>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</si>
  <si>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</si>
  <si>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</si>
  <si>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</si>
  <si>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</si>
  <si>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</si>
  <si>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</si>
  <si>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</si>
  <si>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</si>
  <si>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</si>
  <si>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</si>
  <si>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</si>
  <si>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</si>
  <si>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</si>
  <si>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</si>
  <si>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</si>
  <si>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</si>
  <si>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</si>
  <si>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</si>
  <si>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</si>
  <si>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</si>
  <si>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</si>
  <si>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</si>
  <si>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</si>
  <si>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</si>
  <si>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</si>
  <si>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</si>
  <si>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</si>
  <si>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</si>
  <si>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</si>
  <si>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</si>
  <si>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</si>
  <si>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</si>
  <si>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</si>
  <si>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</si>
  <si>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</si>
  <si>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</si>
  <si>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</si>
  <si>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</si>
  <si>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</si>
  <si>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</si>
  <si>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</si>
  <si>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</si>
  <si>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</si>
  <si>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</si>
  <si>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</si>
  <si>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</si>
  <si>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</si>
  <si>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</si>
  <si>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</si>
  <si>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December 31, 2018 and 2017</t>
  </si>
  <si>
    <t>ASSETS</t>
  </si>
  <si>
    <t>Current assets:</t>
  </si>
  <si>
    <t>Cash and cash equivalents</t>
  </si>
  <si>
    <t>Accounts receivable, net</t>
  </si>
  <si>
    <t>Inventories</t>
  </si>
  <si>
    <t>Prepaid expenses and other current assets</t>
  </si>
  <si>
    <t>Restricted cash</t>
  </si>
  <si>
    <t>Total current assets</t>
  </si>
  <si>
    <t>Property and equipment, net</t>
  </si>
  <si>
    <t>Property and Equipment</t>
  </si>
  <si>
    <t>Intangible assets, net</t>
  </si>
  <si>
    <t>Other Intangibles</t>
  </si>
  <si>
    <t>Goodwill</t>
  </si>
  <si>
    <t>Assets to be transferred under purchase agreement</t>
  </si>
  <si>
    <t>Deposits and other assets</t>
  </si>
  <si>
    <t>TOTAL ASSETS</t>
  </si>
  <si>
    <t>LIABILITIES AND STOCKHOLDERS' EQUITY</t>
  </si>
  <si>
    <t>Current liabilities:</t>
  </si>
  <si>
    <t>Accounts payable</t>
  </si>
  <si>
    <t>Accrued expenses and other current liabilities</t>
  </si>
  <si>
    <t>Accruals</t>
  </si>
  <si>
    <t>Current portion of deferred revenue</t>
  </si>
  <si>
    <t>Accrued Revenue</t>
  </si>
  <si>
    <t>Current portion of capital lease obligation</t>
  </si>
  <si>
    <t>Total current liabilities</t>
  </si>
  <si>
    <t>Notes payable, net of discount</t>
  </si>
  <si>
    <t>Trade Creditors - Non current Liabilities</t>
  </si>
  <si>
    <t>End of term liability, notes payable</t>
  </si>
  <si>
    <t>Deferred revenue, net of current portion</t>
  </si>
  <si>
    <t>Note payable - related party, net of discount</t>
  </si>
  <si>
    <t>Obligation to transfer assets under purchase agreement</t>
  </si>
  <si>
    <t>Capital lease obligation</t>
  </si>
  <si>
    <t>Other non-current liabilities</t>
  </si>
  <si>
    <t>TOTAL LIABILITIES</t>
  </si>
  <si>
    <t>COMMITMENTS AND CONTINGENCIES</t>
  </si>
  <si>
    <t>STOCKHOLDERS' EQUITY</t>
  </si>
  <si>
    <t>Preferred Stock, $0.0001 par value, 10,000,000 shares authorized, no shares issued and</t>
  </si>
  <si>
    <t>outstanding</t>
  </si>
  <si>
    <t>Common Stock - voting, $0.0001 par value, 75,000,000 shares authorized, 46,353,068 and 36,725,499 shares issued and outstanding</t>
  </si>
  <si>
    <t>Common Stock - non-voting, $0.0001 par value, 8,591,160 shares authorized, 0 and 8,591,160 shares issued and outstanding</t>
  </si>
  <si>
    <t>Additional paid-in capital</t>
  </si>
  <si>
    <t>Accumulated deficit</t>
  </si>
  <si>
    <t>TOTAL STOCKHOLDERS' EQUITY</t>
  </si>
  <si>
    <t>REVENUES:</t>
  </si>
  <si>
    <t>Revenue</t>
  </si>
  <si>
    <t>Product revenue</t>
  </si>
  <si>
    <t>License revenue</t>
  </si>
  <si>
    <t>Other revenue</t>
  </si>
  <si>
    <t>Other Income - net</t>
  </si>
  <si>
    <t>Total Revenues</t>
  </si>
  <si>
    <t>OPERATING EXPENSES:</t>
  </si>
  <si>
    <t>Cost of product revenue (exclusive of amortization expense shown below)</t>
  </si>
  <si>
    <t>Research and development</t>
  </si>
  <si>
    <t>Plasma center operating expenses</t>
  </si>
  <si>
    <t>Asset impairment charge</t>
  </si>
  <si>
    <t>Amortization of intangible assets</t>
  </si>
  <si>
    <t>Amortisation of assets</t>
  </si>
  <si>
    <t>Selling, general and administrative</t>
  </si>
  <si>
    <t>Total operating expenses</t>
  </si>
  <si>
    <t>LOSS FROM OPERATIONS</t>
  </si>
  <si>
    <t>Operating Profit</t>
  </si>
  <si>
    <t>OTHER INCOME (EXPENSE):</t>
  </si>
  <si>
    <t>Interest income</t>
  </si>
  <si>
    <t>Interest expense</t>
  </si>
  <si>
    <t>Loss on extinguishment of debt</t>
  </si>
  <si>
    <t>Other expense</t>
  </si>
  <si>
    <t>Other Expenses</t>
  </si>
  <si>
    <t>Other expense, net</t>
  </si>
  <si>
    <t>Other Income - Net profit (loss)</t>
  </si>
  <si>
    <t>NET LOSS</t>
  </si>
  <si>
    <t>BASIC AND DILUTED LOSS PER COMMON SHARE</t>
  </si>
  <si>
    <t>WEIGHTED AVERAGE COMMON SHARES OUTSTANDING:</t>
  </si>
  <si>
    <t>Balance at December 31, 2016</t>
  </si>
  <si>
    <t>Stock-based compensation</t>
  </si>
  <si>
    <t>Operating Activities</t>
  </si>
  <si>
    <t>Shares issued in connection with acquisition</t>
  </si>
  <si>
    <t>Warrants issued in connection with note payable</t>
  </si>
  <si>
    <t>Issuance of common stock, net of offering expenses</t>
  </si>
  <si>
    <t>Financing Activities</t>
  </si>
  <si>
    <t>Stock options exercised</t>
  </si>
  <si>
    <t>Net loss</t>
  </si>
  <si>
    <t>Balance at December 31, 2017</t>
  </si>
  <si>
    <t>Retirement of non-voting common stock</t>
  </si>
  <si>
    <t>CASH FLOWS FROM OPERATING ACTIVITIES:</t>
  </si>
  <si>
    <t>Adjustments to reconcile net loss to net</t>
  </si>
  <si>
    <t>cash used in operating activities:</t>
  </si>
  <si>
    <t>Depreciation and amortization</t>
  </si>
  <si>
    <t>Loss on disposal of fixed assets</t>
  </si>
  <si>
    <t>Amortization of debt discount</t>
  </si>
  <si>
    <t>Amortization of license revenue</t>
  </si>
  <si>
    <t>Changes in operating assets and liabilities, net of acquisition:</t>
  </si>
  <si>
    <t>Accounts receivable</t>
  </si>
  <si>
    <t>Other current and non-current liabilities</t>
  </si>
  <si>
    <t>Net cash used in operating activities</t>
  </si>
  <si>
    <t>CASH FLOWS FROM INVESTING ACTIVITIES:</t>
  </si>
  <si>
    <t>Investing Activities</t>
  </si>
  <si>
    <t>Sales of short-term investments</t>
  </si>
  <si>
    <t>Purchase of property and equipment</t>
  </si>
  <si>
    <t>Cash acquired in acquisition transaction</t>
  </si>
  <si>
    <t>Net cash (used in) provided by investing activities</t>
  </si>
  <si>
    <t>CASH FLOWS FROM FINANCING ACTIVITIES:</t>
  </si>
  <si>
    <t>Principal payments on notes payable</t>
  </si>
  <si>
    <t>Payment of end of end of term fee</t>
  </si>
  <si>
    <t>Proceeds from issuance of common stock, net of offering expenses</t>
  </si>
  <si>
    <t>Proceeds from the exercise of stock options</t>
  </si>
  <si>
    <t>Proceeds from issuance of related party note payable</t>
  </si>
  <si>
    <t>Proceeds from issuance of note payable</t>
  </si>
  <si>
    <t>Payment of debt issuance costs</t>
  </si>
  <si>
    <t>Finance Costs</t>
  </si>
  <si>
    <t>Payments on capital lease obligations</t>
  </si>
  <si>
    <t>Payments of leasehold improvement loan</t>
  </si>
  <si>
    <t>Net cash provided by financing activities</t>
  </si>
  <si>
    <t>Net (decrease) increase in cash and cash equivalents</t>
  </si>
  <si>
    <t>Net increase (decrease) in cash and cash equivalents</t>
  </si>
  <si>
    <t>Cash and cash equivalents, including restricted cash - beginning of year</t>
  </si>
  <si>
    <t>Cash and cash equivalents at beginning of period</t>
  </si>
  <si>
    <t>Original Line Item in the pdf</t>
  </si>
  <si>
    <t>Line item in the accounts Tamplate into which Originalline item is mapped</t>
  </si>
  <si>
    <t xml:space="preserve">Person mapping </t>
  </si>
  <si>
    <t>Niyoshi Aithal</t>
  </si>
  <si>
    <t>additional paid-in capital</t>
  </si>
  <si>
    <t>sum of product revenue + license revenue+other revenue</t>
  </si>
  <si>
    <t>license revenue</t>
  </si>
  <si>
    <t>other revenue</t>
  </si>
  <si>
    <t>turnover</t>
  </si>
  <si>
    <t>added as cost of product revenue</t>
  </si>
  <si>
    <t>changed sign to positive from negative</t>
  </si>
  <si>
    <t>sales and distribution expenses</t>
  </si>
  <si>
    <t>matches total operating expenses in PDF</t>
  </si>
  <si>
    <t>deleted this value</t>
  </si>
  <si>
    <t>matches loss from operations in pdf</t>
  </si>
  <si>
    <t>changed sign to positive</t>
  </si>
  <si>
    <t>matches net loss</t>
  </si>
  <si>
    <t>land + buildings &amp; building improvements</t>
  </si>
  <si>
    <t>manufacturing and laboratory equipment + office equipment and computer software + furniture and fixtures</t>
  </si>
  <si>
    <t>construction in process</t>
  </si>
  <si>
    <t>leasehold improvements</t>
  </si>
  <si>
    <t>accumulated depreciation</t>
  </si>
  <si>
    <t>manufacturing and laboratory equipment</t>
  </si>
  <si>
    <t>office equipment and computer software</t>
  </si>
  <si>
    <t>furniture and fixtures</t>
  </si>
  <si>
    <t>property, plant and equipment</t>
  </si>
  <si>
    <t>leased assets</t>
  </si>
  <si>
    <t>construction in progress</t>
  </si>
  <si>
    <t>land</t>
  </si>
  <si>
    <t>buildings and building improvements</t>
  </si>
  <si>
    <t>land and buildings</t>
  </si>
  <si>
    <t>matches pdf value</t>
  </si>
  <si>
    <t>added from restricted cash</t>
  </si>
  <si>
    <t>other non-operating current assets</t>
  </si>
  <si>
    <t>restricted cash</t>
  </si>
  <si>
    <t>added from assets to be transferred under purchase agreement</t>
  </si>
  <si>
    <t>added from current portion of capital lease obligations</t>
  </si>
  <si>
    <t>added from deferred revenue, net of current portion</t>
  </si>
  <si>
    <t>deferred income and gains</t>
  </si>
  <si>
    <t>deferred revenue, net of current portion</t>
  </si>
  <si>
    <t>other non-current liabilities</t>
  </si>
  <si>
    <t>obligation to transfer assets under purchase agreement</t>
  </si>
  <si>
    <t>capital lease obligation</t>
  </si>
  <si>
    <t>obligation to transfer assets under purchase agreement + capital lease obligation + other non-current liabilities</t>
  </si>
  <si>
    <t>common stock (voting &amp; non-voting) + additional paid-in capital</t>
  </si>
  <si>
    <t>matches pdf value of total stockholders' equity</t>
  </si>
  <si>
    <t>common stock - voting, $0.0001 par value</t>
  </si>
  <si>
    <t>common stock - non-voting, $0.0001 par value</t>
  </si>
  <si>
    <t>ordinary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</si>
</sst>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3" fontId="0" fillId="0" borderId="0"/>
    <xf numFmtId="9" fontId="5" fillId="0" borderId="0"/>
  </cellStyleXfs>
  <cellXfs count="44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0" applyFont="1"/>
    <xf numFmtId="3" fontId="0" fillId="12" borderId="0" xfId="0" applyFill="1"/>
    <xf numFmtId="3" fontId="0" fillId="13" borderId="0" xfId="0" applyFill="1"/>
    <xf numFmtId="3" fontId="0" fillId="0" borderId="0" xfId="0" applyFill="1"/>
    <xf numFmtId="3" fontId="0" fillId="0" borderId="0" xfId="0" applyNumberFormat="1"/>
  </cellXfs>
  <cellStyles count="2">
    <cellStyle name="Normal" xfId="0" builtinId="0"/>
    <cellStyle name="Percent" xfId="1" builtinId="5"/>
  </cellStyles>
  <dxfs count="49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A7A-455A-88A5-CF8DE0F4EC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96F-4BE7-A78A-181666BE9D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EF-46D2-B5A0-F9062161A8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275-4089-BE4A-C9594663D4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4D9-44B6-98BC-2CACE69402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481-44AB-9930-828733BD24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D1E-4D01-98C5-5E99B33065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993-47DB-BAB1-2A4550A49C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6DB-4981-A83F-FBCE8528CB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D45-4E38-9759-86B8D2D624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D04-438B-ACE8-FC9B96C546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FFA-41EC-958E-0C76189CD9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836-4928-9D39-3D644F57DC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380-4B6B-BE2A-731236775B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9A8-46BC-B8BA-2A5043B146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3"/>
  <sheetViews>
    <sheetView showGridLines="0" topLeftCell="E1" workbookViewId="0">
      <selection activeCell="E1" sqref="E1"/>
    </sheetView>
  </sheetViews>
  <sheetFormatPr defaultColWidth="9" defaultRowHeight="13.2"/>
  <cols>
    <col min="1" max="4" width="13" style="38" hidden="1" customWidth="1"/>
    <col min="5" max="5" width="59.44140625" style="1" customWidth="1"/>
    <col min="6" max="7" width="16.109375" style="38" customWidth="1"/>
    <col min="9" max="9" width="10.109375" bestFit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-65743445</v>
      </c>
      <c r="G6" s="7">
        <f t="shared" ref="G6:O6" si="1">IF(G4=$BF$1,"",G71)</f>
        <v>-43758975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44346896</v>
      </c>
      <c r="G7" s="7">
        <f t="shared" ref="G7:O7" si="2">IF(G4=$BF$1,"",G128)</f>
        <v>45677270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44529625</v>
      </c>
      <c r="G8" s="7">
        <f t="shared" ref="G8:O8" si="3">IF(G4=$BF$1,"",G161)</f>
        <v>62341563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9625046</v>
      </c>
      <c r="G9" s="7">
        <f t="shared" ref="G9:O9" si="4">IF(G4=$BF$1,"",G189)</f>
        <v>9440183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59481037</v>
      </c>
      <c r="G10" s="7">
        <f t="shared" ref="G10:O10" si="5">IF(G4=$BF$1,"",G210)</f>
        <v>58245893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19770438</v>
      </c>
      <c r="G11" s="7">
        <f t="shared" ref="G11:O11" si="6">IF(G4=$BF$1,"",G227)</f>
        <v>40332757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88876521</v>
      </c>
      <c r="G12" s="35">
        <f t="shared" ref="G12:O12" si="7">IF(G4=$BF$1,"",SUM(G7:G8))</f>
        <v>108018833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88876521</v>
      </c>
      <c r="G13" s="35">
        <f t="shared" ref="G13:O13" si="8">IF(G4=$BF$1,"",SUM(G9:G11))</f>
        <v>108018833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16842456+142834</f>
        <v>16985290</v>
      </c>
      <c r="G24">
        <f>15617726+142834+7000000</f>
        <v>22760560</v>
      </c>
      <c r="P24" s="40" t="s">
        <v>496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16985290</v>
      </c>
      <c r="G30" s="7">
        <f>IF(G4=$BF$1,"",G24-G25+ABS(G26)-G27-G28-G29)</f>
        <v>22760560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/>
      <c r="G31"/>
      <c r="P31" s="40" t="s">
        <v>504</v>
      </c>
    </row>
    <row r="32" spans="5:16">
      <c r="E32" s="1" t="s">
        <v>34</v>
      </c>
    </row>
    <row r="33" spans="5:16">
      <c r="E33" s="1" t="s">
        <v>35</v>
      </c>
      <c r="F33" s="38">
        <v>42194635</v>
      </c>
      <c r="G33" s="38">
        <v>29164321</v>
      </c>
      <c r="P33" s="40" t="s">
        <v>500</v>
      </c>
    </row>
    <row r="34" spans="5:16">
      <c r="E34" s="1" t="s">
        <v>36</v>
      </c>
      <c r="F34">
        <v>22502922</v>
      </c>
      <c r="G34">
        <v>18752393</v>
      </c>
    </row>
    <row r="35" spans="5:16">
      <c r="E35" s="1" t="s">
        <v>37</v>
      </c>
      <c r="F35">
        <v>3926120</v>
      </c>
      <c r="G35">
        <v>5570029</v>
      </c>
    </row>
    <row r="36" spans="5:16">
      <c r="E36" s="1" t="s">
        <v>38</v>
      </c>
      <c r="F36">
        <v>7805619</v>
      </c>
      <c r="G36">
        <v>6503750</v>
      </c>
      <c r="P36" s="40" t="s">
        <v>501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  <c r="F41">
        <v>844938</v>
      </c>
      <c r="G41">
        <v>1234674</v>
      </c>
    </row>
    <row r="42" spans="5:16">
      <c r="E42" s="1" t="s">
        <v>44</v>
      </c>
      <c r="F42">
        <v>0</v>
      </c>
      <c r="G42">
        <v>845389</v>
      </c>
    </row>
    <row r="43" spans="5:16">
      <c r="E43" s="6" t="s">
        <v>45</v>
      </c>
      <c r="F43" s="7">
        <f>F32+F33+F34+F35+F36+F37+F38+F39+F40+F41+F42</f>
        <v>77274234</v>
      </c>
      <c r="G43" s="7">
        <f>G32+G33+G34+G35+G36+G37+G38+G39+G40+G41+G42</f>
        <v>62070556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1" t="s">
        <v>503</v>
      </c>
    </row>
    <row r="44" spans="5:16">
      <c r="E44" s="6" t="s">
        <v>46</v>
      </c>
      <c r="F44" s="7">
        <f>F30+F31-F43</f>
        <v>-60288944</v>
      </c>
      <c r="G44" s="7">
        <f>IF(G4=$BF$1,"",G30+G31-G43)</f>
        <v>-39309996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1" t="s">
        <v>505</v>
      </c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5522783</v>
      </c>
      <c r="G49">
        <v>3285847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195403</v>
      </c>
      <c r="G52">
        <v>57228</v>
      </c>
    </row>
    <row r="53" spans="5:16">
      <c r="E53" s="1" t="s">
        <v>55</v>
      </c>
    </row>
    <row r="54" spans="5:16">
      <c r="E54" s="1" t="s">
        <v>56</v>
      </c>
      <c r="F54"/>
      <c r="G54">
        <v>-1210216</v>
      </c>
    </row>
    <row r="55" spans="5:16">
      <c r="E55" s="1" t="s">
        <v>57</v>
      </c>
    </row>
    <row r="56" spans="5:16">
      <c r="E56" s="1" t="s">
        <v>58</v>
      </c>
      <c r="F56">
        <v>127121</v>
      </c>
      <c r="G56">
        <v>10144</v>
      </c>
      <c r="P56" s="40" t="s">
        <v>506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-65743445</v>
      </c>
      <c r="G59" s="7">
        <f>IF(G4=$BF$1,"",G44+G45+G46+G47+G48-G49-G50-G51+G52-G53+G54+G55-G56+G57+G58)</f>
        <v>-43758975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</row>
    <row r="60" spans="5:16">
      <c r="E60" s="1" t="s">
        <v>62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-65743445</v>
      </c>
      <c r="G67" s="7">
        <f>IF(G4=$BF$1,"",SUM(G59,-G60,-ABS(G61),-G62,-G66))</f>
        <v>-43758975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-65743445</v>
      </c>
      <c r="G71" s="7">
        <f t="shared" ref="G71:O71" si="14">IF(G4=$BF$1,"",SUM(G67:G70))</f>
        <v>-43758975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1" t="s">
        <v>507</v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-65743445</v>
      </c>
      <c r="G83" s="7">
        <f t="shared" ref="G83:O83" si="15">IF(G4=$BF$1,"",SUM(G71:G82))</f>
        <v>-43758975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4339441+15685325</f>
        <v>20024766</v>
      </c>
      <c r="G89" s="38">
        <f>4339441+15660559</f>
        <v>20000000</v>
      </c>
      <c r="P89" s="40" t="s">
        <v>508</v>
      </c>
    </row>
    <row r="90" spans="5:16">
      <c r="E90" s="1" t="s">
        <v>82</v>
      </c>
      <c r="F90" s="38">
        <v>845538</v>
      </c>
      <c r="G90" s="38">
        <v>738093</v>
      </c>
      <c r="P90" s="40" t="s">
        <v>510</v>
      </c>
    </row>
    <row r="91" spans="5:16">
      <c r="E91" s="1" t="s">
        <v>83</v>
      </c>
    </row>
    <row r="92" spans="5:16">
      <c r="E92" s="12" t="s">
        <v>84</v>
      </c>
      <c r="F92">
        <f>8233203+1608994+1163552</f>
        <v>11005749</v>
      </c>
      <c r="G92">
        <f>7148405+1086756+1136623</f>
        <v>9371784</v>
      </c>
      <c r="P92" s="40" t="s">
        <v>509</v>
      </c>
    </row>
    <row r="93" spans="5:16">
      <c r="E93" s="1" t="s">
        <v>85</v>
      </c>
    </row>
    <row r="94" spans="5:16">
      <c r="E94" s="1" t="s">
        <v>86</v>
      </c>
      <c r="F94" s="38">
        <v>1660709</v>
      </c>
      <c r="G94" s="38">
        <v>1642903</v>
      </c>
      <c r="P94" s="40" t="s">
        <v>511</v>
      </c>
    </row>
    <row r="95" spans="5:16">
      <c r="E95" s="1" t="s">
        <v>87</v>
      </c>
      <c r="F95" s="38">
        <v>1153508</v>
      </c>
      <c r="G95" s="38">
        <v>1496410</v>
      </c>
      <c r="P95" s="40" t="s">
        <v>526</v>
      </c>
    </row>
    <row r="96" spans="5:16">
      <c r="E96" s="12"/>
    </row>
    <row r="98" spans="5:16">
      <c r="E98" s="6" t="s">
        <v>88</v>
      </c>
      <c r="F98" s="7">
        <f>F89+F90+F91+F92+F93+F94+F95+F96</f>
        <v>34690270</v>
      </c>
      <c r="G98" s="7">
        <f>IF(G4=$BF$1,"",G89+G90+G91+G92+G93+G94+G95+G96)</f>
        <v>33249190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6">
      <c r="E99" s="1" t="s">
        <v>89</v>
      </c>
      <c r="F99" s="38">
        <v>-3421032</v>
      </c>
      <c r="G99" s="38">
        <v>-1285922</v>
      </c>
      <c r="P99" s="40" t="s">
        <v>512</v>
      </c>
    </row>
    <row r="100" spans="5:16">
      <c r="E100" s="6" t="s">
        <v>90</v>
      </c>
      <c r="F100" s="7">
        <f>F98+F99</f>
        <v>31269238</v>
      </c>
      <c r="G100" s="7">
        <f t="shared" ref="G100:O100" si="17">IF(G4=$BF$1,"",G98+G99)</f>
        <v>31963268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2"/>
    </row>
    <row r="101" spans="5:16">
      <c r="E101" s="1" t="s">
        <v>91</v>
      </c>
      <c r="F101">
        <v>3529509</v>
      </c>
      <c r="G101">
        <v>3529509</v>
      </c>
    </row>
    <row r="102" spans="5:16">
      <c r="E102" s="1" t="s">
        <v>92</v>
      </c>
      <c r="F102">
        <v>4004412</v>
      </c>
      <c r="G102">
        <v>4849350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7533921</v>
      </c>
      <c r="G104" s="7">
        <f t="shared" ref="G104:O104" si="18">IF(G4=$BF$1,"",G101+G102+G103)</f>
        <v>8378859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5">
      <c r="E113" s="1" t="s">
        <v>103</v>
      </c>
      <c r="F113">
        <v>1543737</v>
      </c>
      <c r="G113">
        <v>1335143</v>
      </c>
    </row>
    <row r="114" spans="5:15">
      <c r="E114" s="1" t="s">
        <v>104</v>
      </c>
    </row>
    <row r="115" spans="5:15">
      <c r="E115" s="1" t="s">
        <v>105</v>
      </c>
    </row>
    <row r="116" spans="5:15">
      <c r="E116" s="1" t="s">
        <v>106</v>
      </c>
    </row>
    <row r="117" spans="5:15">
      <c r="E117" s="1" t="s">
        <v>107</v>
      </c>
    </row>
    <row r="118" spans="5:15">
      <c r="E118" s="1" t="s">
        <v>108</v>
      </c>
    </row>
    <row r="122" spans="5:15">
      <c r="E122" s="1" t="s">
        <v>109</v>
      </c>
    </row>
    <row r="123" spans="5:15">
      <c r="E123" s="1" t="s">
        <v>110</v>
      </c>
    </row>
    <row r="124" spans="5:15">
      <c r="E124" s="1" t="s">
        <v>111</v>
      </c>
    </row>
    <row r="125" spans="5:15">
      <c r="E125" s="1" t="s">
        <v>112</v>
      </c>
    </row>
    <row r="126" spans="5:15">
      <c r="E126" s="1" t="s">
        <v>113</v>
      </c>
      <c r="F126">
        <v>4000000</v>
      </c>
      <c r="G126">
        <v>4000000</v>
      </c>
    </row>
    <row r="127" spans="5:15">
      <c r="E127" s="12" t="s">
        <v>114</v>
      </c>
    </row>
    <row r="128" spans="5:15">
      <c r="E128" s="6" t="s">
        <v>115</v>
      </c>
      <c r="F128" s="7">
        <f>F100+SUM(F104:F127)</f>
        <v>44346896</v>
      </c>
      <c r="G128" s="7">
        <f t="shared" ref="G128:O128" si="19">IF(G4=$BF$1,"",G100+SUM(G104:G126))</f>
        <v>45677270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22754852</v>
      </c>
      <c r="G130">
        <v>43107574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22754852</v>
      </c>
      <c r="G140" s="7">
        <f t="shared" ref="G140:O140" si="20">IF(G4=$BF$1,"",G130+G131+G132+G133+G134+G135+G136+G139)</f>
        <v>43107574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18616169</v>
      </c>
      <c r="G144">
        <v>12628181</v>
      </c>
    </row>
    <row r="145" spans="5:16">
      <c r="E145" s="6" t="s">
        <v>127</v>
      </c>
      <c r="F145" s="7">
        <f>F141+F142+F143+F144</f>
        <v>18616169</v>
      </c>
      <c r="G145" s="7">
        <f t="shared" ref="G145:O145" si="21">IF(G4=$BF$1,"",G141+G142+G143+G144)</f>
        <v>12628181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1766163</v>
      </c>
      <c r="G154">
        <v>1225654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1392441</v>
      </c>
      <c r="G157">
        <v>3880154</v>
      </c>
    </row>
    <row r="158" spans="5:16">
      <c r="E158" s="1" t="s">
        <v>138</v>
      </c>
    </row>
    <row r="159" spans="5:16">
      <c r="E159" s="1" t="s">
        <v>139</v>
      </c>
      <c r="F159" s="38">
        <v>0</v>
      </c>
      <c r="G159" s="38">
        <v>1500000</v>
      </c>
      <c r="P159" s="40" t="s">
        <v>523</v>
      </c>
    </row>
    <row r="160" spans="5:16">
      <c r="E160" s="6" t="s">
        <v>140</v>
      </c>
      <c r="F160" s="7">
        <f>F146+F147+F148+F149+F150+F151+F152+F153+F154+F155+F156+F157+F158+F159</f>
        <v>3158604</v>
      </c>
      <c r="G160" s="7">
        <f>IF(G4=$BF$1,"",G146+G147+G148+G149+G150+G151+G152+G153+G154+G155+G156+G157+G158+G159)</f>
        <v>6605808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44529625</v>
      </c>
      <c r="G161" s="7">
        <f t="shared" ref="G161:O161" si="22">IF(G4=$BF$1,"",G140+G145+G160)</f>
        <v>62341563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1" t="s">
        <v>522</v>
      </c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  <c r="F166"/>
      <c r="G166">
        <v>0</v>
      </c>
      <c r="I166">
        <v>119080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3551835</v>
      </c>
      <c r="G184">
        <v>3376476</v>
      </c>
    </row>
    <row r="185" spans="5:16">
      <c r="E185" s="12" t="s">
        <v>162</v>
      </c>
      <c r="F185">
        <v>142834</v>
      </c>
      <c r="G185">
        <v>142834</v>
      </c>
    </row>
    <row r="187" spans="5:16">
      <c r="E187" s="1" t="s">
        <v>163</v>
      </c>
      <c r="F187">
        <v>5900394</v>
      </c>
      <c r="G187">
        <v>5920873</v>
      </c>
    </row>
    <row r="188" spans="5:16">
      <c r="E188" s="1" t="s">
        <v>164</v>
      </c>
      <c r="F188" s="43">
        <v>29983</v>
      </c>
      <c r="G188" s="43">
        <v>0</v>
      </c>
      <c r="P188" s="40" t="s">
        <v>527</v>
      </c>
    </row>
    <row r="189" spans="5:16">
      <c r="E189" s="6" t="s">
        <v>13</v>
      </c>
      <c r="F189" s="7">
        <f>SUM(F163:F188)</f>
        <v>9625046</v>
      </c>
      <c r="G189" s="7">
        <f t="shared" ref="G189:O189" si="23">IF(G4=$BF$1,"",SUM(G163:G188))</f>
        <v>9440183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  <c r="F196">
        <f>26440830+2760000+14874184</f>
        <v>44075014</v>
      </c>
      <c r="G196">
        <f>25368458+2760000+14842396</f>
        <v>42970854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  <c r="F206" s="38">
        <v>2404365</v>
      </c>
      <c r="G206" s="38">
        <v>2547199</v>
      </c>
      <c r="P206" s="40" t="s">
        <v>528</v>
      </c>
    </row>
    <row r="209" spans="5:16">
      <c r="E209" s="1" t="s">
        <v>180</v>
      </c>
      <c r="F209">
        <f>12621844+119080+260734</f>
        <v>13001658</v>
      </c>
      <c r="G209">
        <f>12621844+105996</f>
        <v>12727840</v>
      </c>
      <c r="P209" s="40" t="s">
        <v>534</v>
      </c>
    </row>
    <row r="210" spans="5:16">
      <c r="E210" s="6" t="s">
        <v>14</v>
      </c>
      <c r="F210" s="7">
        <f>SUM(F191:F209)</f>
        <v>59481037</v>
      </c>
      <c r="G210" s="7">
        <f t="shared" ref="G210:O210" si="24">IF(G4=$BF$1,"",SUM(G191:G209))</f>
        <v>58245893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4635+236203041</f>
        <v>236207676</v>
      </c>
      <c r="G212">
        <f>3673+859+191022018</f>
        <v>191026550</v>
      </c>
      <c r="P212" s="40" t="s">
        <v>535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-216437238</v>
      </c>
      <c r="G217">
        <v>-150693793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19770438</v>
      </c>
      <c r="G227" s="7">
        <f t="shared" ref="G227:O227" si="25">IF(G4=$BF$1,"",SUM(G212:G226))</f>
        <v>40332757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1" t="s">
        <v>536</v>
      </c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-65743445</v>
      </c>
      <c r="G267">
        <v>-43758975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3446398</v>
      </c>
      <c r="G271">
        <v>3537690</v>
      </c>
    </row>
    <row r="272" spans="5:15">
      <c r="E272" s="1" t="s">
        <v>237</v>
      </c>
    </row>
    <row r="273" spans="5:7" ht="25.5" customHeight="1">
      <c r="E273" s="1" t="s">
        <v>238</v>
      </c>
    </row>
    <row r="274" spans="5:7">
      <c r="E274" s="1" t="s">
        <v>239</v>
      </c>
    </row>
    <row r="275" spans="5:7" ht="25.5" customHeight="1">
      <c r="E275" s="1" t="s">
        <v>240</v>
      </c>
      <c r="F275">
        <v>1104161</v>
      </c>
      <c r="G275">
        <v>781567</v>
      </c>
    </row>
    <row r="276" spans="5:7">
      <c r="E276" s="1" t="s">
        <v>241</v>
      </c>
      <c r="F276">
        <v>0</v>
      </c>
      <c r="G276">
        <v>1021216</v>
      </c>
    </row>
    <row r="277" spans="5:7" ht="25.5" customHeight="1">
      <c r="E277" s="1" t="s">
        <v>242</v>
      </c>
      <c r="F277">
        <v>122190</v>
      </c>
      <c r="G277">
        <v>10144</v>
      </c>
    </row>
    <row r="278" spans="5:7">
      <c r="E278" s="1" t="s">
        <v>243</v>
      </c>
    </row>
    <row r="279" spans="5:7">
      <c r="E279" s="1" t="s">
        <v>244</v>
      </c>
    </row>
    <row r="280" spans="5:7" ht="25.5" customHeight="1">
      <c r="E280" s="1" t="s">
        <v>245</v>
      </c>
    </row>
    <row r="281" spans="5:7" ht="25.5" customHeight="1">
      <c r="E281" s="1" t="s">
        <v>246</v>
      </c>
    </row>
    <row r="284" spans="5:7">
      <c r="E284" s="1" t="s">
        <v>247</v>
      </c>
    </row>
    <row r="285" spans="5:7">
      <c r="E285" s="1" t="s">
        <v>248</v>
      </c>
      <c r="F285">
        <v>2223288</v>
      </c>
      <c r="G285">
        <v>1561659</v>
      </c>
    </row>
    <row r="286" spans="5:7" ht="25.5" customHeight="1">
      <c r="E286" s="1" t="s">
        <v>249</v>
      </c>
    </row>
    <row r="287" spans="5:7">
      <c r="E287" s="1" t="s">
        <v>250</v>
      </c>
    </row>
    <row r="288" spans="5:7">
      <c r="E288" s="1" t="s">
        <v>251</v>
      </c>
      <c r="F288">
        <v>0</v>
      </c>
      <c r="G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6896037</v>
      </c>
      <c r="G296" s="7">
        <f>IF(G4=$BF$1,"",G271+G272+G273+G274+G275+G276+G277+G278+G279+G280+G281+G282+G283+G284+G285+G286+G287+G288+G289+G290+G291+G292+G293+G294+G295)</f>
        <v>6912276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-58847408</v>
      </c>
      <c r="G297" s="7">
        <f t="shared" ref="G297:O297" si="27">IF(G4=$BF$1,"",MIN(F267,F268,F269)+F296)</f>
        <v>-58847408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-5987988</v>
      </c>
      <c r="G299">
        <v>589318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-540509</v>
      </c>
      <c r="G302">
        <v>-941272</v>
      </c>
    </row>
    <row r="303" spans="5:15">
      <c r="E303" s="1" t="s">
        <v>265</v>
      </c>
      <c r="F303">
        <v>2487713</v>
      </c>
      <c r="G303">
        <v>-2862126</v>
      </c>
    </row>
    <row r="305" spans="5:15">
      <c r="E305" s="1" t="s">
        <v>266</v>
      </c>
      <c r="F305">
        <v>-208594</v>
      </c>
      <c r="G305">
        <v>-482894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-142834</v>
      </c>
      <c r="G309">
        <v>-142834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-20480</v>
      </c>
      <c r="G315">
        <v>2812066</v>
      </c>
    </row>
    <row r="316" spans="5:15">
      <c r="E316" s="1" t="s">
        <v>276</v>
      </c>
    </row>
    <row r="317" spans="5:15">
      <c r="E317" s="1" t="s">
        <v>277</v>
      </c>
      <c r="F317">
        <v>581418</v>
      </c>
      <c r="G317">
        <v>602667</v>
      </c>
    </row>
    <row r="318" spans="5:15">
      <c r="E318" s="6" t="s">
        <v>278</v>
      </c>
      <c r="F318" s="7">
        <f>F299+F300+F301+F302+F303+F304+F305+F306+F307+F308+F309+F310+F311+F312+F313+F314+F315+F316+F317</f>
        <v>-3831274</v>
      </c>
      <c r="G318" s="7">
        <f>IF(G4=$BF$1,"",G299+G300+G301+G302+G303+G304+G305+G306+G307+G308+G309+G310+G311+G312+G313+G314+G315+G316+G317)</f>
        <v>-425075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-62678682</v>
      </c>
      <c r="G319" s="7">
        <f t="shared" ref="G319:O319" si="28">IF(G4=$BF$1,"",G297+G318)</f>
        <v>-59272483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-62678682</v>
      </c>
      <c r="G326" s="7">
        <f t="shared" ref="G326:O326" si="30">IF(G4=$BF$1,"",G325+G319)</f>
        <v>-59272483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-2095600</v>
      </c>
      <c r="G328">
        <v>-2676328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  <c r="F332">
        <v>0</v>
      </c>
      <c r="G332">
        <v>5390184</v>
      </c>
    </row>
    <row r="333" spans="5:15">
      <c r="E333" s="1" t="s">
        <v>292</v>
      </c>
      <c r="F333">
        <v>0</v>
      </c>
      <c r="G333">
        <v>0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-2095600</v>
      </c>
      <c r="G337" s="7">
        <f>IF(G4=$BF$1,"",SUM(G328:G336))</f>
        <v>2713856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72104523</v>
      </c>
      <c r="G339">
        <v>39210268</v>
      </c>
    </row>
    <row r="340" spans="5:15">
      <c r="E340" s="1" t="s">
        <v>299</v>
      </c>
      <c r="F340">
        <v>0</v>
      </c>
      <c r="G340">
        <v>45000000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0</v>
      </c>
      <c r="G343">
        <v>-21790000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-36278</v>
      </c>
      <c r="G349">
        <v>-1666729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72068245</v>
      </c>
      <c r="G352" s="7">
        <f>IF(G4=$BF$1,"",SUM(G339:G351))</f>
        <v>60753539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7293963</v>
      </c>
      <c r="G353" s="7">
        <f t="shared" ref="G353:O353" si="33">IF(G4=$BF$1,"",G326+G337+G352)</f>
        <v>4194912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7293963</v>
      </c>
      <c r="G355" s="7">
        <f t="shared" ref="G355:O355" si="34">IF(G4=$BF$1,"",G353+G354)</f>
        <v>4194912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48607574</v>
      </c>
      <c r="G356">
        <v>9914867</v>
      </c>
    </row>
    <row r="357" spans="5:15">
      <c r="E357" s="6" t="s">
        <v>316</v>
      </c>
      <c r="F357" s="7">
        <f>F355+F356</f>
        <v>55901537</v>
      </c>
      <c r="G357" s="7">
        <f t="shared" ref="G357:O357" si="35">IF(G4=$BF$1,"",G355+G356)</f>
        <v>14109779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-0.25374024189211514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0.50239910784016306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-0.17721272733987045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-3.5494798145925093</v>
      </c>
      <c r="G370" s="27">
        <f t="shared" si="42"/>
        <v>-1.7271102292737965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-3.8706106872476127</v>
      </c>
      <c r="G371" s="28">
        <f t="shared" si="43"/>
        <v>-1.9225790138731209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-0.73971667950414033</v>
      </c>
      <c r="G372" s="27">
        <f t="shared" si="44"/>
        <v>-0.40510505237545014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-3.3253408447501265</v>
      </c>
      <c r="G373" s="27">
        <f t="shared" si="45"/>
        <v>-1.0849487675737119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0.77755162131064959</v>
      </c>
      <c r="G376" s="30">
        <f t="shared" si="47"/>
        <v>0.62661365726845064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3.4954249875495931</v>
      </c>
      <c r="G377" s="30">
        <f t="shared" si="48"/>
        <v>1.6781911536570635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-10.916406456672297</v>
      </c>
      <c r="G378" s="30">
        <f t="shared" si="49"/>
        <v>-11.963428607601024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4.6264324347125196</v>
      </c>
      <c r="G382" s="32">
        <f t="shared" si="51"/>
        <v>6.6038511117845911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2.6922942498144944</v>
      </c>
      <c r="G383" s="32">
        <f t="shared" si="52"/>
        <v>5.2661460058560303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2.364129168837219</v>
      </c>
      <c r="G384" s="32">
        <f t="shared" si="53"/>
        <v>4.5663917743967462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-6.5120397346672423</v>
      </c>
      <c r="G385" s="32">
        <f t="shared" si="54"/>
        <v>-6.2787430074183943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22754852</v>
      </c>
      <c r="G418" s="17">
        <f>G130-G417</f>
        <v>43107574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8" priority="30">
      <formula>MOD(ROW(),2)=0</formula>
    </cfRule>
  </conditionalFormatting>
  <conditionalFormatting sqref="F101:G103">
    <cfRule type="expression" dxfId="47" priority="29">
      <formula>MOD(ROW(),2)=0</formula>
    </cfRule>
  </conditionalFormatting>
  <conditionalFormatting sqref="E243:G243">
    <cfRule type="expression" dxfId="46" priority="35">
      <formula>MOD(ROW(),2)=0</formula>
    </cfRule>
  </conditionalFormatting>
  <conditionalFormatting sqref="E323:E324">
    <cfRule type="expression" dxfId="45" priority="31">
      <formula>MOD(ROW(),2)=0</formula>
    </cfRule>
  </conditionalFormatting>
  <conditionalFormatting sqref="E329">
    <cfRule type="expression" dxfId="44" priority="28">
      <formula>MOD(ROW(),2)=0</formula>
    </cfRule>
  </conditionalFormatting>
  <conditionalFormatting sqref="E24:G29">
    <cfRule type="expression" dxfId="43" priority="48">
      <formula>MOD(ROW(),2)=0</formula>
    </cfRule>
  </conditionalFormatting>
  <conditionalFormatting sqref="E99:G99 E328:G328 F329:G332 E31:G42">
    <cfRule type="expression" dxfId="42" priority="49">
      <formula>MOD(ROW(),2)=0</formula>
    </cfRule>
  </conditionalFormatting>
  <conditionalFormatting sqref="E45:G58">
    <cfRule type="expression" dxfId="41" priority="47">
      <formula>MOD(ROW(),2)=0</formula>
    </cfRule>
  </conditionalFormatting>
  <conditionalFormatting sqref="E60:G66">
    <cfRule type="expression" dxfId="40" priority="46">
      <formula>MOD(ROW(),2)=0</formula>
    </cfRule>
  </conditionalFormatting>
  <conditionalFormatting sqref="E68:G70">
    <cfRule type="expression" dxfId="39" priority="45">
      <formula>MOD(ROW(),2)=0</formula>
    </cfRule>
  </conditionalFormatting>
  <conditionalFormatting sqref="E72:G82">
    <cfRule type="expression" dxfId="38" priority="44">
      <formula>MOD(ROW(),2)=0</formula>
    </cfRule>
  </conditionalFormatting>
  <conditionalFormatting sqref="E84:G86">
    <cfRule type="expression" dxfId="37" priority="43">
      <formula>MOD(ROW(),2)=0</formula>
    </cfRule>
  </conditionalFormatting>
  <conditionalFormatting sqref="E107:G127">
    <cfRule type="expression" dxfId="36" priority="42">
      <formula>MOD(ROW(),2)=0</formula>
    </cfRule>
  </conditionalFormatting>
  <conditionalFormatting sqref="E141:G144">
    <cfRule type="expression" dxfId="35" priority="41">
      <formula>MOD(ROW(),2)=0</formula>
    </cfRule>
  </conditionalFormatting>
  <conditionalFormatting sqref="E146:G154 F155:G155">
    <cfRule type="expression" dxfId="34" priority="40">
      <formula>MOD(ROW(),2)=0</formula>
    </cfRule>
  </conditionalFormatting>
  <conditionalFormatting sqref="E163:G188">
    <cfRule type="expression" dxfId="33" priority="39">
      <formula>MOD(ROW(),2)=0</formula>
    </cfRule>
  </conditionalFormatting>
  <conditionalFormatting sqref="E191:G209">
    <cfRule type="expression" dxfId="32" priority="38">
      <formula>MOD(ROW(),2)=0</formula>
    </cfRule>
  </conditionalFormatting>
  <conditionalFormatting sqref="E212:G226">
    <cfRule type="expression" dxfId="31" priority="37">
      <formula>MOD(ROW(),2)=0</formula>
    </cfRule>
  </conditionalFormatting>
  <conditionalFormatting sqref="E229:G242">
    <cfRule type="expression" dxfId="30" priority="36">
      <formula>MOD(ROW(),2)=0</formula>
    </cfRule>
  </conditionalFormatting>
  <conditionalFormatting sqref="E245:G262">
    <cfRule type="expression" dxfId="29" priority="34">
      <formula>MOD(ROW(),2)=0</formula>
    </cfRule>
  </conditionalFormatting>
  <conditionalFormatting sqref="E271:G295 E321:G322 E354:F354 E356:F356 E358:G360 F323:G324 E299:G317">
    <cfRule type="expression" dxfId="28" priority="33">
      <formula>MOD(ROW(),2)=0</formula>
    </cfRule>
  </conditionalFormatting>
  <conditionalFormatting sqref="G354 G356">
    <cfRule type="expression" dxfId="27" priority="32">
      <formula>MOD(ROW(),2)=0</formula>
    </cfRule>
  </conditionalFormatting>
  <conditionalFormatting sqref="E105:G106">
    <cfRule type="expression" dxfId="26" priority="27">
      <formula>MOD(ROW(),2)=0</formula>
    </cfRule>
  </conditionalFormatting>
  <conditionalFormatting sqref="E155">
    <cfRule type="expression" dxfId="25" priority="26">
      <formula>MOD(ROW(),2)=0</formula>
    </cfRule>
  </conditionalFormatting>
  <conditionalFormatting sqref="H24:O29">
    <cfRule type="expression" dxfId="24" priority="25">
      <formula>MOD(ROW(),2)=0</formula>
    </cfRule>
  </conditionalFormatting>
  <conditionalFormatting sqref="H89:O97">
    <cfRule type="expression" dxfId="23" priority="6">
      <formula>MOD(ROW(),2)=0</formula>
    </cfRule>
  </conditionalFormatting>
  <conditionalFormatting sqref="H101:O103">
    <cfRule type="expression" dxfId="22" priority="5">
      <formula>MOD(ROW(),2)=0</formula>
    </cfRule>
  </conditionalFormatting>
  <conditionalFormatting sqref="H243:O243">
    <cfRule type="expression" dxfId="21" priority="10">
      <formula>MOD(ROW(),2)=0</formula>
    </cfRule>
  </conditionalFormatting>
  <conditionalFormatting sqref="H32:O42 H99:O99 H328:O332 I31:O31">
    <cfRule type="expression" dxfId="20" priority="24">
      <formula>MOD(ROW(),2)=0</formula>
    </cfRule>
  </conditionalFormatting>
  <conditionalFormatting sqref="H45:O58">
    <cfRule type="expression" dxfId="19" priority="23">
      <formula>MOD(ROW(),2)=0</formula>
    </cfRule>
  </conditionalFormatting>
  <conditionalFormatting sqref="H60:O66">
    <cfRule type="expression" dxfId="18" priority="22">
      <formula>MOD(ROW(),2)=0</formula>
    </cfRule>
  </conditionalFormatting>
  <conditionalFormatting sqref="H68:O70">
    <cfRule type="expression" dxfId="17" priority="21">
      <formula>MOD(ROW(),2)=0</formula>
    </cfRule>
  </conditionalFormatting>
  <conditionalFormatting sqref="H72:O82">
    <cfRule type="expression" dxfId="16" priority="20">
      <formula>MOD(ROW(),2)=0</formula>
    </cfRule>
  </conditionalFormatting>
  <conditionalFormatting sqref="H84:O86">
    <cfRule type="expression" dxfId="15" priority="19">
      <formula>MOD(ROW(),2)=0</formula>
    </cfRule>
  </conditionalFormatting>
  <conditionalFormatting sqref="H107:O127">
    <cfRule type="expression" dxfId="14" priority="18">
      <formula>MOD(ROW(),2)=0</formula>
    </cfRule>
  </conditionalFormatting>
  <conditionalFormatting sqref="H130:O139">
    <cfRule type="expression" dxfId="13" priority="17">
      <formula>MOD(ROW(),2)=0</formula>
    </cfRule>
  </conditionalFormatting>
  <conditionalFormatting sqref="H141:O144">
    <cfRule type="expression" dxfId="12" priority="16">
      <formula>MOD(ROW(),2)=0</formula>
    </cfRule>
  </conditionalFormatting>
  <conditionalFormatting sqref="H163:O165 H167:O188 H166 J166:O166">
    <cfRule type="expression" dxfId="11" priority="14">
      <formula>MOD(ROW(),2)=0</formula>
    </cfRule>
  </conditionalFormatting>
  <conditionalFormatting sqref="H191:O195 H197:O209 H196 J196:O196">
    <cfRule type="expression" dxfId="10" priority="13">
      <formula>MOD(ROW(),2)=0</formula>
    </cfRule>
  </conditionalFormatting>
  <conditionalFormatting sqref="H212:O226">
    <cfRule type="expression" dxfId="9" priority="12">
      <formula>MOD(ROW(),2)=0</formula>
    </cfRule>
  </conditionalFormatting>
  <conditionalFormatting sqref="H229:O242">
    <cfRule type="expression" dxfId="8" priority="11">
      <formula>MOD(ROW(),2)=0</formula>
    </cfRule>
  </conditionalFormatting>
  <conditionalFormatting sqref="H245:O262">
    <cfRule type="expression" dxfId="7" priority="9">
      <formula>MOD(ROW(),2)=0</formula>
    </cfRule>
  </conditionalFormatting>
  <conditionalFormatting sqref="H271:O295 H321:O324 H358:O360 H299:O317">
    <cfRule type="expression" dxfId="6" priority="8">
      <formula>MOD(ROW(),2)=0</formula>
    </cfRule>
  </conditionalFormatting>
  <conditionalFormatting sqref="H354:O354 H356:O356">
    <cfRule type="expression" dxfId="5" priority="7">
      <formula>MOD(ROW(),2)=0</formula>
    </cfRule>
  </conditionalFormatting>
  <conditionalFormatting sqref="H105:O106">
    <cfRule type="expression" dxfId="4" priority="4">
      <formula>MOD(ROW(),2)=0</formula>
    </cfRule>
  </conditionalFormatting>
  <conditionalFormatting sqref="H31">
    <cfRule type="expression" dxfId="3" priority="3">
      <formula>MOD(ROW(),2)=0</formula>
    </cfRule>
  </conditionalFormatting>
  <conditionalFormatting sqref="I166">
    <cfRule type="expression" dxfId="1" priority="2">
      <formula>MOD(ROW(),2)=0</formula>
    </cfRule>
  </conditionalFormatting>
  <conditionalFormatting sqref="I19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58EC6-16B6-42B0-9FCE-3D852BE13BC9}">
  <dimension ref="A1:D20"/>
  <sheetViews>
    <sheetView tabSelected="1" workbookViewId="0">
      <selection activeCell="A20" sqref="A20"/>
    </sheetView>
  </sheetViews>
  <sheetFormatPr defaultRowHeight="13.2"/>
  <cols>
    <col min="1" max="1" width="31.5546875" customWidth="1"/>
    <col min="2" max="2" width="63.44140625" bestFit="1" customWidth="1"/>
    <col min="3" max="3" width="15.33203125" bestFit="1" customWidth="1"/>
    <col min="4" max="4" width="14.6640625" customWidth="1"/>
  </cols>
  <sheetData>
    <row r="1" spans="1:4">
      <c r="A1" s="39" t="s">
        <v>491</v>
      </c>
      <c r="B1" s="39" t="s">
        <v>492</v>
      </c>
      <c r="C1" s="39" t="s">
        <v>493</v>
      </c>
      <c r="D1" s="39"/>
    </row>
    <row r="2" spans="1:4">
      <c r="A2" s="39" t="s">
        <v>420</v>
      </c>
      <c r="B2" s="39" t="s">
        <v>499</v>
      </c>
      <c r="C2" s="39" t="s">
        <v>494</v>
      </c>
      <c r="D2" s="39"/>
    </row>
    <row r="3" spans="1:4">
      <c r="A3" t="s">
        <v>497</v>
      </c>
      <c r="B3" t="s">
        <v>499</v>
      </c>
      <c r="C3" s="39" t="s">
        <v>494</v>
      </c>
    </row>
    <row r="4" spans="1:4">
      <c r="A4" t="s">
        <v>498</v>
      </c>
      <c r="B4" t="s">
        <v>499</v>
      </c>
      <c r="C4" s="39" t="s">
        <v>494</v>
      </c>
    </row>
    <row r="5" spans="1:4">
      <c r="A5" t="s">
        <v>426</v>
      </c>
      <c r="B5" t="s">
        <v>502</v>
      </c>
      <c r="C5" s="39" t="s">
        <v>494</v>
      </c>
    </row>
    <row r="6" spans="1:4">
      <c r="A6" t="s">
        <v>513</v>
      </c>
      <c r="B6" t="s">
        <v>516</v>
      </c>
      <c r="C6" s="39" t="s">
        <v>494</v>
      </c>
    </row>
    <row r="7" spans="1:4">
      <c r="A7" t="s">
        <v>514</v>
      </c>
      <c r="B7" t="s">
        <v>516</v>
      </c>
      <c r="C7" s="39" t="s">
        <v>494</v>
      </c>
    </row>
    <row r="8" spans="1:4">
      <c r="A8" t="s">
        <v>515</v>
      </c>
      <c r="B8" t="s">
        <v>516</v>
      </c>
      <c r="C8" s="39" t="s">
        <v>494</v>
      </c>
    </row>
    <row r="9" spans="1:4">
      <c r="A9" t="s">
        <v>511</v>
      </c>
      <c r="B9" t="s">
        <v>517</v>
      </c>
      <c r="C9" s="39" t="s">
        <v>494</v>
      </c>
    </row>
    <row r="10" spans="1:4">
      <c r="A10" t="s">
        <v>510</v>
      </c>
      <c r="B10" t="s">
        <v>518</v>
      </c>
      <c r="C10" s="39" t="s">
        <v>494</v>
      </c>
    </row>
    <row r="11" spans="1:4">
      <c r="A11" t="s">
        <v>519</v>
      </c>
      <c r="B11" t="s">
        <v>521</v>
      </c>
      <c r="C11" s="39" t="s">
        <v>494</v>
      </c>
    </row>
    <row r="12" spans="1:4">
      <c r="A12" t="s">
        <v>520</v>
      </c>
      <c r="B12" t="s">
        <v>521</v>
      </c>
      <c r="C12" s="39" t="s">
        <v>494</v>
      </c>
    </row>
    <row r="13" spans="1:4">
      <c r="A13" t="s">
        <v>525</v>
      </c>
      <c r="B13" t="s">
        <v>524</v>
      </c>
      <c r="C13" s="39" t="s">
        <v>494</v>
      </c>
    </row>
    <row r="14" spans="1:4">
      <c r="A14" t="s">
        <v>530</v>
      </c>
      <c r="B14" t="s">
        <v>529</v>
      </c>
      <c r="C14" s="39" t="s">
        <v>494</v>
      </c>
    </row>
    <row r="15" spans="1:4">
      <c r="A15" t="s">
        <v>532</v>
      </c>
      <c r="B15" t="s">
        <v>531</v>
      </c>
      <c r="C15" s="39" t="s">
        <v>494</v>
      </c>
    </row>
    <row r="16" spans="1:4">
      <c r="A16" t="s">
        <v>533</v>
      </c>
      <c r="B16" t="s">
        <v>531</v>
      </c>
      <c r="C16" s="39" t="s">
        <v>494</v>
      </c>
    </row>
    <row r="17" spans="1:3">
      <c r="A17" t="s">
        <v>537</v>
      </c>
      <c r="B17" t="s">
        <v>539</v>
      </c>
      <c r="C17" s="39" t="s">
        <v>494</v>
      </c>
    </row>
    <row r="18" spans="1:3">
      <c r="A18" t="s">
        <v>538</v>
      </c>
      <c r="B18" t="s">
        <v>539</v>
      </c>
      <c r="C18" s="39" t="s">
        <v>494</v>
      </c>
    </row>
    <row r="19" spans="1:3">
      <c r="A19" t="s">
        <v>495</v>
      </c>
      <c r="B19" t="s">
        <v>539</v>
      </c>
      <c r="C19" s="39" t="s">
        <v>494</v>
      </c>
    </row>
    <row r="20" spans="1:3">
      <c r="C20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6"/>
  <sheetViews>
    <sheetView showGridLines="0" zoomScaleNormal="100" workbookViewId="0">
      <selection activeCell="D1" sqref="D1"/>
    </sheetView>
  </sheetViews>
  <sheetFormatPr defaultRowHeight="13.2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2"/>
  <sheetViews>
    <sheetView topLeftCell="A16" workbookViewId="0">
      <selection activeCell="B40" sqref="B40"/>
    </sheetView>
  </sheetViews>
  <sheetFormatPr defaultRowHeight="13.2"/>
  <cols>
    <col min="1" max="4" width="30.77734375" customWidth="1"/>
  </cols>
  <sheetData>
    <row r="1" spans="1:6">
      <c r="A1" t="s">
        <v>374</v>
      </c>
    </row>
    <row r="2" spans="1:6">
      <c r="E2">
        <v>31</v>
      </c>
      <c r="F2">
        <v>31</v>
      </c>
    </row>
    <row r="3" spans="1:6">
      <c r="E3">
        <v>2018</v>
      </c>
      <c r="F3">
        <v>2017</v>
      </c>
    </row>
    <row r="4" spans="1:6">
      <c r="A4" t="s">
        <v>375</v>
      </c>
    </row>
    <row r="5" spans="1:6">
      <c r="A5" t="s">
        <v>376</v>
      </c>
      <c r="B5" t="s">
        <v>116</v>
      </c>
      <c r="C5" t="s">
        <v>116</v>
      </c>
      <c r="D5" t="s">
        <v>116</v>
      </c>
    </row>
    <row r="6" spans="1:6">
      <c r="A6" t="s">
        <v>377</v>
      </c>
      <c r="B6" t="s">
        <v>117</v>
      </c>
      <c r="C6" t="s">
        <v>117</v>
      </c>
      <c r="D6" t="s">
        <v>116</v>
      </c>
      <c r="E6">
        <v>22754852</v>
      </c>
      <c r="F6">
        <v>43107574</v>
      </c>
    </row>
    <row r="7" spans="1:6">
      <c r="A7" t="s">
        <v>378</v>
      </c>
      <c r="B7" t="s">
        <v>352</v>
      </c>
      <c r="C7" t="s">
        <v>137</v>
      </c>
      <c r="D7" t="s">
        <v>116</v>
      </c>
      <c r="E7">
        <v>1392441</v>
      </c>
      <c r="F7">
        <v>3880154</v>
      </c>
    </row>
    <row r="8" spans="1:6">
      <c r="A8" t="s">
        <v>379</v>
      </c>
      <c r="B8" t="s">
        <v>126</v>
      </c>
      <c r="C8" t="s">
        <v>126</v>
      </c>
      <c r="D8" t="s">
        <v>116</v>
      </c>
      <c r="E8">
        <v>18616169</v>
      </c>
      <c r="F8">
        <v>12628181</v>
      </c>
    </row>
    <row r="9" spans="1:6">
      <c r="A9" t="s">
        <v>380</v>
      </c>
      <c r="B9" t="s">
        <v>134</v>
      </c>
      <c r="C9" t="s">
        <v>134</v>
      </c>
      <c r="D9" t="s">
        <v>116</v>
      </c>
      <c r="E9">
        <v>1766163</v>
      </c>
      <c r="F9">
        <v>1225654</v>
      </c>
    </row>
    <row r="10" spans="1:6">
      <c r="A10" t="s">
        <v>381</v>
      </c>
      <c r="B10" t="s">
        <v>139</v>
      </c>
      <c r="C10" t="s">
        <v>139</v>
      </c>
      <c r="D10" t="s">
        <v>80</v>
      </c>
      <c r="F10">
        <v>1500000</v>
      </c>
    </row>
    <row r="11" spans="1:6">
      <c r="A11" t="s">
        <v>382</v>
      </c>
      <c r="B11" t="s">
        <v>12</v>
      </c>
      <c r="C11" t="s">
        <v>12</v>
      </c>
      <c r="D11" t="s">
        <v>116</v>
      </c>
      <c r="E11">
        <v>44529625</v>
      </c>
      <c r="F11">
        <v>62341563</v>
      </c>
    </row>
    <row r="12" spans="1:6">
      <c r="A12" t="s">
        <v>383</v>
      </c>
      <c r="B12" t="s">
        <v>384</v>
      </c>
      <c r="C12" t="s">
        <v>84</v>
      </c>
      <c r="D12" t="s">
        <v>80</v>
      </c>
      <c r="E12">
        <v>30115730</v>
      </c>
      <c r="F12">
        <v>30466858</v>
      </c>
    </row>
    <row r="13" spans="1:6">
      <c r="A13" t="s">
        <v>385</v>
      </c>
      <c r="B13" t="s">
        <v>386</v>
      </c>
      <c r="C13" t="s">
        <v>92</v>
      </c>
      <c r="D13" t="s">
        <v>80</v>
      </c>
      <c r="E13">
        <v>4004412</v>
      </c>
      <c r="F13">
        <v>4849350</v>
      </c>
    </row>
    <row r="14" spans="1:6">
      <c r="A14" t="s">
        <v>387</v>
      </c>
      <c r="B14" t="s">
        <v>387</v>
      </c>
      <c r="C14" t="s">
        <v>91</v>
      </c>
      <c r="D14" t="s">
        <v>80</v>
      </c>
      <c r="E14">
        <v>3529509</v>
      </c>
      <c r="F14">
        <v>3529509</v>
      </c>
    </row>
    <row r="15" spans="1:6">
      <c r="A15" t="s">
        <v>388</v>
      </c>
      <c r="B15" t="s">
        <v>84</v>
      </c>
      <c r="C15" t="s">
        <v>84</v>
      </c>
      <c r="D15" t="s">
        <v>80</v>
      </c>
      <c r="E15">
        <v>1153508</v>
      </c>
      <c r="F15">
        <v>1496410</v>
      </c>
    </row>
    <row r="16" spans="1:6">
      <c r="A16" t="s">
        <v>381</v>
      </c>
      <c r="B16" t="s">
        <v>113</v>
      </c>
      <c r="C16" t="s">
        <v>113</v>
      </c>
      <c r="D16" t="s">
        <v>80</v>
      </c>
      <c r="E16">
        <v>4000000</v>
      </c>
      <c r="F16">
        <v>4000000</v>
      </c>
    </row>
    <row r="17" spans="1:6">
      <c r="A17" t="s">
        <v>389</v>
      </c>
      <c r="B17" t="s">
        <v>103</v>
      </c>
      <c r="C17" t="s">
        <v>103</v>
      </c>
      <c r="D17" t="s">
        <v>80</v>
      </c>
      <c r="E17">
        <v>1543737</v>
      </c>
      <c r="F17">
        <v>1335143</v>
      </c>
    </row>
    <row r="18" spans="1:6">
      <c r="A18" t="s">
        <v>390</v>
      </c>
      <c r="D18" t="s">
        <v>80</v>
      </c>
      <c r="E18">
        <v>88876521</v>
      </c>
      <c r="F18">
        <v>108018833</v>
      </c>
    </row>
    <row r="19" spans="1:6">
      <c r="A19" t="s">
        <v>391</v>
      </c>
      <c r="D19" t="s">
        <v>80</v>
      </c>
    </row>
    <row r="20" spans="1:6">
      <c r="A20" t="s">
        <v>392</v>
      </c>
      <c r="B20" t="s">
        <v>141</v>
      </c>
      <c r="C20" t="s">
        <v>141</v>
      </c>
      <c r="D20" t="s">
        <v>141</v>
      </c>
    </row>
    <row r="21" spans="1:6">
      <c r="A21" t="s">
        <v>393</v>
      </c>
      <c r="B21" t="s">
        <v>393</v>
      </c>
      <c r="C21" t="s">
        <v>163</v>
      </c>
      <c r="D21" t="s">
        <v>141</v>
      </c>
      <c r="E21">
        <v>5900394</v>
      </c>
      <c r="F21">
        <v>5920873</v>
      </c>
    </row>
    <row r="22" spans="1:6">
      <c r="A22" t="s">
        <v>394</v>
      </c>
      <c r="B22" t="s">
        <v>395</v>
      </c>
      <c r="C22" t="s">
        <v>161</v>
      </c>
      <c r="D22" t="s">
        <v>141</v>
      </c>
      <c r="E22">
        <v>3551835</v>
      </c>
      <c r="F22">
        <v>3376476</v>
      </c>
    </row>
    <row r="23" spans="1:6">
      <c r="A23" t="s">
        <v>396</v>
      </c>
      <c r="B23" t="s">
        <v>397</v>
      </c>
      <c r="C23" t="s">
        <v>162</v>
      </c>
      <c r="D23" t="s">
        <v>141</v>
      </c>
      <c r="E23">
        <v>142834</v>
      </c>
      <c r="F23">
        <v>142834</v>
      </c>
    </row>
    <row r="24" spans="1:6">
      <c r="A24" t="s">
        <v>398</v>
      </c>
      <c r="B24" t="s">
        <v>180</v>
      </c>
      <c r="C24" t="s">
        <v>180</v>
      </c>
      <c r="D24" t="s">
        <v>165</v>
      </c>
      <c r="E24">
        <v>29983</v>
      </c>
    </row>
    <row r="25" spans="1:6">
      <c r="A25" t="s">
        <v>399</v>
      </c>
      <c r="B25" t="s">
        <v>13</v>
      </c>
      <c r="C25" t="s">
        <v>13</v>
      </c>
      <c r="D25" t="s">
        <v>141</v>
      </c>
      <c r="E25">
        <v>9625046</v>
      </c>
      <c r="F25">
        <v>9440183</v>
      </c>
    </row>
    <row r="26" spans="1:6">
      <c r="A26" t="s">
        <v>400</v>
      </c>
      <c r="B26" t="s">
        <v>401</v>
      </c>
      <c r="C26" t="s">
        <v>171</v>
      </c>
      <c r="D26" t="s">
        <v>165</v>
      </c>
      <c r="E26">
        <v>26440830</v>
      </c>
      <c r="F26">
        <v>25368458</v>
      </c>
    </row>
    <row r="27" spans="1:6">
      <c r="A27" t="s">
        <v>402</v>
      </c>
      <c r="B27" t="s">
        <v>401</v>
      </c>
      <c r="C27" t="s">
        <v>171</v>
      </c>
      <c r="D27" t="s">
        <v>165</v>
      </c>
      <c r="E27">
        <v>2760000</v>
      </c>
      <c r="F27">
        <v>2760000</v>
      </c>
    </row>
    <row r="28" spans="1:6">
      <c r="A28" t="s">
        <v>403</v>
      </c>
      <c r="B28" t="s">
        <v>397</v>
      </c>
      <c r="C28" t="s">
        <v>162</v>
      </c>
      <c r="D28" t="s">
        <v>165</v>
      </c>
      <c r="E28">
        <v>2404365</v>
      </c>
      <c r="F28">
        <v>2547199</v>
      </c>
    </row>
    <row r="29" spans="1:6">
      <c r="A29" t="s">
        <v>404</v>
      </c>
      <c r="B29" t="s">
        <v>401</v>
      </c>
      <c r="C29" t="s">
        <v>171</v>
      </c>
      <c r="D29" t="s">
        <v>165</v>
      </c>
      <c r="E29">
        <v>14874184</v>
      </c>
      <c r="F29">
        <v>14842396</v>
      </c>
    </row>
    <row r="30" spans="1:6">
      <c r="A30" t="s">
        <v>405</v>
      </c>
      <c r="B30" t="s">
        <v>180</v>
      </c>
      <c r="C30" t="s">
        <v>180</v>
      </c>
      <c r="D30" t="s">
        <v>165</v>
      </c>
      <c r="E30">
        <v>12621844</v>
      </c>
      <c r="F30">
        <v>12621844</v>
      </c>
    </row>
    <row r="31" spans="1:6">
      <c r="A31" t="s">
        <v>406</v>
      </c>
      <c r="B31" t="s">
        <v>145</v>
      </c>
      <c r="C31" t="s">
        <v>145</v>
      </c>
      <c r="D31" t="s">
        <v>141</v>
      </c>
      <c r="E31">
        <v>119080</v>
      </c>
    </row>
    <row r="32" spans="1:6">
      <c r="A32" t="s">
        <v>407</v>
      </c>
      <c r="B32" t="s">
        <v>163</v>
      </c>
      <c r="C32" t="s">
        <v>163</v>
      </c>
      <c r="D32" t="s">
        <v>165</v>
      </c>
      <c r="E32">
        <v>260734</v>
      </c>
      <c r="F32">
        <v>105996</v>
      </c>
    </row>
    <row r="33" spans="1:6">
      <c r="A33" t="s">
        <v>408</v>
      </c>
      <c r="B33" t="s">
        <v>164</v>
      </c>
      <c r="C33" t="s">
        <v>164</v>
      </c>
      <c r="D33" t="s">
        <v>165</v>
      </c>
      <c r="E33">
        <v>69106083</v>
      </c>
      <c r="F33">
        <v>67686076</v>
      </c>
    </row>
    <row r="34" spans="1:6">
      <c r="A34" t="s">
        <v>409</v>
      </c>
      <c r="B34" t="s">
        <v>180</v>
      </c>
      <c r="C34" t="s">
        <v>180</v>
      </c>
      <c r="D34" t="s">
        <v>165</v>
      </c>
    </row>
    <row r="35" spans="1:6">
      <c r="A35" t="s">
        <v>410</v>
      </c>
      <c r="B35" t="s">
        <v>181</v>
      </c>
      <c r="C35" t="s">
        <v>181</v>
      </c>
      <c r="D35" t="s">
        <v>165</v>
      </c>
    </row>
    <row r="36" spans="1:6">
      <c r="A36" t="s">
        <v>411</v>
      </c>
      <c r="D36" t="s">
        <v>165</v>
      </c>
    </row>
    <row r="37" spans="1:6">
      <c r="A37" t="s">
        <v>412</v>
      </c>
      <c r="D37" t="s">
        <v>165</v>
      </c>
    </row>
    <row r="38" spans="1:6">
      <c r="A38" t="s">
        <v>413</v>
      </c>
      <c r="B38" t="s">
        <v>182</v>
      </c>
      <c r="C38" t="s">
        <v>182</v>
      </c>
      <c r="D38" t="s">
        <v>165</v>
      </c>
      <c r="E38">
        <v>4635</v>
      </c>
      <c r="F38">
        <v>3673</v>
      </c>
    </row>
    <row r="39" spans="1:6">
      <c r="A39" t="s">
        <v>414</v>
      </c>
      <c r="B39" t="s">
        <v>182</v>
      </c>
      <c r="C39" t="s">
        <v>182</v>
      </c>
      <c r="D39" t="s">
        <v>181</v>
      </c>
      <c r="F39">
        <v>859</v>
      </c>
    </row>
    <row r="40" spans="1:6">
      <c r="A40" t="s">
        <v>415</v>
      </c>
      <c r="B40" t="s">
        <v>182</v>
      </c>
      <c r="C40" t="s">
        <v>182</v>
      </c>
      <c r="D40" t="s">
        <v>181</v>
      </c>
      <c r="E40">
        <v>236203041</v>
      </c>
      <c r="F40">
        <v>191022018</v>
      </c>
    </row>
    <row r="41" spans="1:6">
      <c r="A41" t="s">
        <v>416</v>
      </c>
      <c r="B41" t="s">
        <v>187</v>
      </c>
      <c r="C41" t="s">
        <v>187</v>
      </c>
      <c r="D41" t="s">
        <v>181</v>
      </c>
      <c r="E41">
        <v>-216437238</v>
      </c>
      <c r="F41">
        <v>-150693793</v>
      </c>
    </row>
    <row r="42" spans="1:6">
      <c r="A42" t="s">
        <v>417</v>
      </c>
      <c r="B42" t="s">
        <v>195</v>
      </c>
      <c r="C42" t="s">
        <v>195</v>
      </c>
      <c r="D42" t="s">
        <v>181</v>
      </c>
      <c r="E42">
        <v>19770438</v>
      </c>
      <c r="F42">
        <v>40332757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25"/>
  <sheetViews>
    <sheetView workbookViewId="0">
      <selection activeCell="C16" sqref="C16"/>
    </sheetView>
  </sheetViews>
  <sheetFormatPr defaultRowHeight="13.2"/>
  <cols>
    <col min="1" max="4" width="30.77734375" customWidth="1"/>
  </cols>
  <sheetData>
    <row r="2" spans="1:6">
      <c r="E2">
        <v>2018</v>
      </c>
      <c r="F2">
        <v>2017</v>
      </c>
    </row>
    <row r="3" spans="1:6">
      <c r="A3" t="s">
        <v>418</v>
      </c>
      <c r="B3" t="s">
        <v>419</v>
      </c>
      <c r="C3" t="s">
        <v>26</v>
      </c>
      <c r="D3" t="s">
        <v>419</v>
      </c>
    </row>
    <row r="4" spans="1:6">
      <c r="A4" t="s">
        <v>420</v>
      </c>
      <c r="B4" t="s">
        <v>419</v>
      </c>
      <c r="C4" t="s">
        <v>26</v>
      </c>
      <c r="D4" t="s">
        <v>419</v>
      </c>
      <c r="E4">
        <v>16842456</v>
      </c>
      <c r="F4">
        <v>15617726</v>
      </c>
    </row>
    <row r="5" spans="1:6">
      <c r="A5" t="s">
        <v>421</v>
      </c>
      <c r="B5" t="s">
        <v>419</v>
      </c>
      <c r="C5" t="s">
        <v>26</v>
      </c>
      <c r="D5" t="s">
        <v>419</v>
      </c>
      <c r="E5">
        <v>142834</v>
      </c>
      <c r="F5">
        <v>142834</v>
      </c>
    </row>
    <row r="6" spans="1:6">
      <c r="A6" t="s">
        <v>422</v>
      </c>
      <c r="B6" t="s">
        <v>423</v>
      </c>
      <c r="C6" t="s">
        <v>33</v>
      </c>
      <c r="D6" t="s">
        <v>419</v>
      </c>
      <c r="F6">
        <v>7000000</v>
      </c>
    </row>
    <row r="7" spans="1:6">
      <c r="A7" t="s">
        <v>424</v>
      </c>
      <c r="B7" t="s">
        <v>45</v>
      </c>
      <c r="C7" t="s">
        <v>45</v>
      </c>
      <c r="D7" t="s">
        <v>419</v>
      </c>
      <c r="E7">
        <v>-16985290</v>
      </c>
      <c r="F7">
        <v>-22760560</v>
      </c>
    </row>
    <row r="8" spans="1:6">
      <c r="A8" t="s">
        <v>425</v>
      </c>
      <c r="B8" t="s">
        <v>58</v>
      </c>
      <c r="C8" t="s">
        <v>58</v>
      </c>
      <c r="D8" t="s">
        <v>419</v>
      </c>
    </row>
    <row r="9" spans="1:6">
      <c r="A9" t="s">
        <v>426</v>
      </c>
      <c r="B9" t="s">
        <v>419</v>
      </c>
      <c r="C9" t="s">
        <v>26</v>
      </c>
      <c r="D9" t="s">
        <v>419</v>
      </c>
      <c r="E9">
        <v>42194635</v>
      </c>
      <c r="F9">
        <v>29164321</v>
      </c>
    </row>
    <row r="10" spans="1:6">
      <c r="A10" t="s">
        <v>427</v>
      </c>
      <c r="B10" t="s">
        <v>37</v>
      </c>
      <c r="C10" t="s">
        <v>37</v>
      </c>
      <c r="D10" t="s">
        <v>419</v>
      </c>
      <c r="E10">
        <v>3926120</v>
      </c>
      <c r="F10">
        <v>5570029</v>
      </c>
    </row>
    <row r="11" spans="1:6">
      <c r="A11" t="s">
        <v>428</v>
      </c>
      <c r="B11" t="s">
        <v>38</v>
      </c>
      <c r="C11" t="s">
        <v>38</v>
      </c>
      <c r="D11" t="s">
        <v>419</v>
      </c>
      <c r="E11">
        <v>-7805619</v>
      </c>
      <c r="F11">
        <v>-6503750</v>
      </c>
    </row>
    <row r="12" spans="1:6">
      <c r="A12" t="s">
        <v>429</v>
      </c>
      <c r="B12" t="s">
        <v>44</v>
      </c>
      <c r="C12" t="s">
        <v>44</v>
      </c>
      <c r="D12" t="s">
        <v>419</v>
      </c>
      <c r="F12">
        <v>845389</v>
      </c>
    </row>
    <row r="13" spans="1:6">
      <c r="A13" t="s">
        <v>430</v>
      </c>
      <c r="B13" t="s">
        <v>431</v>
      </c>
      <c r="C13" t="s">
        <v>43</v>
      </c>
      <c r="D13" t="s">
        <v>419</v>
      </c>
      <c r="E13">
        <v>844938</v>
      </c>
      <c r="F13">
        <v>1234674</v>
      </c>
    </row>
    <row r="14" spans="1:6">
      <c r="A14" t="s">
        <v>432</v>
      </c>
      <c r="B14" t="s">
        <v>36</v>
      </c>
      <c r="C14" t="s">
        <v>36</v>
      </c>
      <c r="D14" t="s">
        <v>419</v>
      </c>
      <c r="E14">
        <v>22502922</v>
      </c>
      <c r="F14">
        <v>18752393</v>
      </c>
    </row>
    <row r="15" spans="1:6">
      <c r="A15" t="s">
        <v>433</v>
      </c>
      <c r="B15" t="s">
        <v>45</v>
      </c>
      <c r="C15" t="s">
        <v>45</v>
      </c>
      <c r="D15" t="s">
        <v>419</v>
      </c>
      <c r="E15">
        <v>77274234</v>
      </c>
      <c r="F15">
        <v>62070556</v>
      </c>
    </row>
    <row r="16" spans="1:6">
      <c r="A16" t="s">
        <v>434</v>
      </c>
      <c r="B16" t="s">
        <v>435</v>
      </c>
      <c r="C16" t="s">
        <v>46</v>
      </c>
      <c r="D16" t="s">
        <v>419</v>
      </c>
      <c r="E16">
        <v>-60288944</v>
      </c>
      <c r="F16">
        <v>-39309996</v>
      </c>
    </row>
    <row r="17" spans="1:6">
      <c r="A17" t="s">
        <v>436</v>
      </c>
      <c r="B17" t="s">
        <v>56</v>
      </c>
      <c r="C17" t="s">
        <v>56</v>
      </c>
      <c r="D17" t="s">
        <v>419</v>
      </c>
    </row>
    <row r="18" spans="1:6">
      <c r="A18" t="s">
        <v>437</v>
      </c>
      <c r="B18" t="s">
        <v>54</v>
      </c>
      <c r="C18" t="s">
        <v>54</v>
      </c>
      <c r="D18" t="s">
        <v>419</v>
      </c>
      <c r="E18">
        <v>195403</v>
      </c>
      <c r="F18">
        <v>57228</v>
      </c>
    </row>
    <row r="19" spans="1:6">
      <c r="A19" t="s">
        <v>438</v>
      </c>
      <c r="B19" t="s">
        <v>51</v>
      </c>
      <c r="C19" t="s">
        <v>51</v>
      </c>
      <c r="D19" t="s">
        <v>419</v>
      </c>
      <c r="E19">
        <v>-5522783</v>
      </c>
      <c r="F19">
        <v>-3285847</v>
      </c>
    </row>
    <row r="20" spans="1:6">
      <c r="A20" t="s">
        <v>439</v>
      </c>
      <c r="B20" t="s">
        <v>423</v>
      </c>
      <c r="C20" t="s">
        <v>33</v>
      </c>
      <c r="D20" t="s">
        <v>419</v>
      </c>
      <c r="F20">
        <v>-1210216</v>
      </c>
    </row>
    <row r="21" spans="1:6">
      <c r="A21" t="s">
        <v>440</v>
      </c>
      <c r="B21" t="s">
        <v>441</v>
      </c>
      <c r="C21" t="s">
        <v>58</v>
      </c>
      <c r="D21" t="s">
        <v>419</v>
      </c>
      <c r="E21">
        <v>-127121</v>
      </c>
      <c r="F21">
        <v>-10144</v>
      </c>
    </row>
    <row r="22" spans="1:6">
      <c r="A22" t="s">
        <v>442</v>
      </c>
      <c r="B22" t="s">
        <v>443</v>
      </c>
      <c r="C22" t="s">
        <v>56</v>
      </c>
      <c r="D22" t="s">
        <v>419</v>
      </c>
      <c r="E22">
        <v>-5454501</v>
      </c>
      <c r="F22">
        <v>-4448979</v>
      </c>
    </row>
    <row r="23" spans="1:6">
      <c r="A23" t="s">
        <v>444</v>
      </c>
      <c r="B23" t="s">
        <v>66</v>
      </c>
      <c r="C23" t="s">
        <v>66</v>
      </c>
      <c r="D23" t="s">
        <v>419</v>
      </c>
      <c r="E23">
        <v>-65743445</v>
      </c>
      <c r="F23">
        <v>-43758975</v>
      </c>
    </row>
    <row r="24" spans="1:6">
      <c r="A24" t="s">
        <v>445</v>
      </c>
      <c r="D24" t="s">
        <v>419</v>
      </c>
      <c r="E24">
        <v>-145</v>
      </c>
      <c r="F24">
        <v>-191</v>
      </c>
    </row>
    <row r="25" spans="1:6">
      <c r="A25" t="s">
        <v>446</v>
      </c>
      <c r="D25" t="s">
        <v>419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F57"/>
  <sheetViews>
    <sheetView workbookViewId="0"/>
  </sheetViews>
  <sheetFormatPr defaultRowHeight="13.2"/>
  <cols>
    <col min="1" max="4" width="30.77734375" customWidth="1"/>
  </cols>
  <sheetData>
    <row r="4" spans="1:6">
      <c r="A4" t="s">
        <v>447</v>
      </c>
      <c r="E4">
        <v>12886741</v>
      </c>
      <c r="F4">
        <v>1289</v>
      </c>
    </row>
    <row r="5" spans="1:6">
      <c r="A5" t="s">
        <v>448</v>
      </c>
      <c r="B5" t="s">
        <v>248</v>
      </c>
      <c r="C5" t="s">
        <v>248</v>
      </c>
      <c r="D5" t="s">
        <v>449</v>
      </c>
    </row>
    <row r="6" spans="1:6">
      <c r="A6" t="s">
        <v>450</v>
      </c>
      <c r="E6">
        <v>4295580</v>
      </c>
      <c r="F6">
        <v>430</v>
      </c>
    </row>
    <row r="7" spans="1:6">
      <c r="A7" t="s">
        <v>451</v>
      </c>
    </row>
    <row r="8" spans="1:6">
      <c r="A8" t="s">
        <v>452</v>
      </c>
      <c r="B8" t="s">
        <v>298</v>
      </c>
      <c r="C8" t="s">
        <v>298</v>
      </c>
      <c r="D8" t="s">
        <v>453</v>
      </c>
      <c r="E8">
        <v>19523255</v>
      </c>
      <c r="F8">
        <v>1952</v>
      </c>
    </row>
    <row r="9" spans="1:6">
      <c r="A9" t="s">
        <v>454</v>
      </c>
      <c r="E9">
        <v>19923</v>
      </c>
      <c r="F9">
        <v>2</v>
      </c>
    </row>
    <row r="10" spans="1:6">
      <c r="A10" t="s">
        <v>455</v>
      </c>
      <c r="B10" t="s">
        <v>232</v>
      </c>
      <c r="C10" t="s">
        <v>232</v>
      </c>
      <c r="D10" t="s">
        <v>449</v>
      </c>
    </row>
    <row r="11" spans="1:6">
      <c r="A11" t="s">
        <v>456</v>
      </c>
      <c r="E11">
        <v>36725499</v>
      </c>
      <c r="F11">
        <v>3673</v>
      </c>
    </row>
    <row r="12" spans="1:6">
      <c r="A12" t="s">
        <v>448</v>
      </c>
      <c r="B12" t="s">
        <v>248</v>
      </c>
      <c r="C12" t="s">
        <v>248</v>
      </c>
      <c r="D12" t="s">
        <v>449</v>
      </c>
    </row>
    <row r="13" spans="1:6">
      <c r="A13" t="s">
        <v>452</v>
      </c>
      <c r="B13" t="s">
        <v>298</v>
      </c>
      <c r="C13" t="s">
        <v>298</v>
      </c>
      <c r="D13" t="s">
        <v>453</v>
      </c>
      <c r="E13">
        <v>9623430</v>
      </c>
      <c r="F13">
        <v>962</v>
      </c>
    </row>
    <row r="14" spans="1:6">
      <c r="A14" t="s">
        <v>454</v>
      </c>
      <c r="E14">
        <v>4139</v>
      </c>
    </row>
    <row r="15" spans="1:6">
      <c r="A15" t="s">
        <v>457</v>
      </c>
    </row>
    <row r="16" spans="1:6">
      <c r="A16" t="s">
        <v>455</v>
      </c>
      <c r="B16" t="s">
        <v>232</v>
      </c>
      <c r="C16" t="s">
        <v>232</v>
      </c>
      <c r="D16" t="s">
        <v>449</v>
      </c>
    </row>
    <row r="18" spans="1:6">
      <c r="E18">
        <v>2018</v>
      </c>
      <c r="F18">
        <v>2017</v>
      </c>
    </row>
    <row r="19" spans="1:6">
      <c r="A19" t="s">
        <v>458</v>
      </c>
      <c r="B19" t="s">
        <v>231</v>
      </c>
      <c r="C19" t="s">
        <v>231</v>
      </c>
      <c r="D19" t="s">
        <v>449</v>
      </c>
    </row>
    <row r="20" spans="1:6">
      <c r="A20" t="s">
        <v>455</v>
      </c>
      <c r="B20" t="s">
        <v>232</v>
      </c>
      <c r="C20" t="s">
        <v>232</v>
      </c>
      <c r="D20" t="s">
        <v>449</v>
      </c>
      <c r="E20">
        <v>-65743445</v>
      </c>
      <c r="F20">
        <v>-43758975</v>
      </c>
    </row>
    <row r="21" spans="1:6">
      <c r="A21" t="s">
        <v>459</v>
      </c>
      <c r="D21" t="s">
        <v>449</v>
      </c>
    </row>
    <row r="22" spans="1:6">
      <c r="A22" t="s">
        <v>460</v>
      </c>
      <c r="B22" t="s">
        <v>285</v>
      </c>
      <c r="C22" t="s">
        <v>285</v>
      </c>
      <c r="D22" t="s">
        <v>449</v>
      </c>
    </row>
    <row r="23" spans="1:6">
      <c r="A23" t="s">
        <v>461</v>
      </c>
      <c r="B23" t="s">
        <v>236</v>
      </c>
      <c r="C23" t="s">
        <v>236</v>
      </c>
      <c r="D23" t="s">
        <v>449</v>
      </c>
      <c r="E23">
        <v>3446398</v>
      </c>
      <c r="F23">
        <v>2692301</v>
      </c>
    </row>
    <row r="24" spans="1:6">
      <c r="A24" t="s">
        <v>462</v>
      </c>
      <c r="B24" t="s">
        <v>242</v>
      </c>
      <c r="C24" t="s">
        <v>242</v>
      </c>
      <c r="D24" t="s">
        <v>449</v>
      </c>
      <c r="E24">
        <v>122190</v>
      </c>
      <c r="F24">
        <v>10144</v>
      </c>
    </row>
    <row r="25" spans="1:6">
      <c r="A25" t="s">
        <v>448</v>
      </c>
      <c r="B25" t="s">
        <v>248</v>
      </c>
      <c r="C25" t="s">
        <v>248</v>
      </c>
      <c r="D25" t="s">
        <v>449</v>
      </c>
      <c r="E25">
        <v>2223288</v>
      </c>
      <c r="F25">
        <v>1561659</v>
      </c>
    </row>
    <row r="26" spans="1:6">
      <c r="A26" t="s">
        <v>429</v>
      </c>
      <c r="B26" t="s">
        <v>236</v>
      </c>
      <c r="C26" t="s">
        <v>236</v>
      </c>
      <c r="D26" t="s">
        <v>449</v>
      </c>
      <c r="F26">
        <v>845389</v>
      </c>
    </row>
    <row r="27" spans="1:6">
      <c r="A27" t="s">
        <v>463</v>
      </c>
      <c r="B27" t="s">
        <v>240</v>
      </c>
      <c r="C27" t="s">
        <v>240</v>
      </c>
      <c r="D27" t="s">
        <v>449</v>
      </c>
      <c r="E27">
        <v>1104161</v>
      </c>
      <c r="F27">
        <v>781567</v>
      </c>
    </row>
    <row r="28" spans="1:6">
      <c r="A28" t="s">
        <v>439</v>
      </c>
      <c r="B28" t="s">
        <v>241</v>
      </c>
      <c r="C28" t="s">
        <v>241</v>
      </c>
      <c r="D28" t="s">
        <v>449</v>
      </c>
      <c r="F28">
        <v>1021216</v>
      </c>
    </row>
    <row r="29" spans="1:6">
      <c r="A29" t="s">
        <v>464</v>
      </c>
      <c r="B29" t="s">
        <v>269</v>
      </c>
      <c r="C29" t="s">
        <v>269</v>
      </c>
      <c r="D29" t="s">
        <v>449</v>
      </c>
      <c r="E29">
        <v>-142834</v>
      </c>
      <c r="F29">
        <v>-142834</v>
      </c>
    </row>
    <row r="30" spans="1:6">
      <c r="A30" t="s">
        <v>465</v>
      </c>
      <c r="B30" t="s">
        <v>251</v>
      </c>
      <c r="C30" t="s">
        <v>251</v>
      </c>
      <c r="D30" t="s">
        <v>449</v>
      </c>
    </row>
    <row r="31" spans="1:6">
      <c r="A31" t="s">
        <v>466</v>
      </c>
      <c r="B31" t="s">
        <v>265</v>
      </c>
      <c r="C31" t="s">
        <v>265</v>
      </c>
      <c r="D31" t="s">
        <v>449</v>
      </c>
      <c r="E31">
        <v>2487713</v>
      </c>
      <c r="F31">
        <v>-2862126</v>
      </c>
    </row>
    <row r="32" spans="1:6">
      <c r="A32" t="s">
        <v>379</v>
      </c>
      <c r="B32" t="s">
        <v>261</v>
      </c>
      <c r="C32" t="s">
        <v>261</v>
      </c>
      <c r="D32" t="s">
        <v>449</v>
      </c>
      <c r="E32">
        <v>-5987988</v>
      </c>
      <c r="F32">
        <v>589318</v>
      </c>
    </row>
    <row r="33" spans="1:6">
      <c r="A33" t="s">
        <v>380</v>
      </c>
      <c r="B33" t="s">
        <v>264</v>
      </c>
      <c r="C33" t="s">
        <v>264</v>
      </c>
      <c r="D33" t="s">
        <v>449</v>
      </c>
      <c r="E33">
        <v>-540509</v>
      </c>
      <c r="F33">
        <v>-941272</v>
      </c>
    </row>
    <row r="34" spans="1:6">
      <c r="A34" t="s">
        <v>389</v>
      </c>
      <c r="B34" t="s">
        <v>266</v>
      </c>
      <c r="C34" t="s">
        <v>266</v>
      </c>
      <c r="D34" t="s">
        <v>449</v>
      </c>
      <c r="E34">
        <v>-208594</v>
      </c>
      <c r="F34">
        <v>-482894</v>
      </c>
    </row>
    <row r="35" spans="1:6">
      <c r="A35" t="s">
        <v>393</v>
      </c>
      <c r="B35" t="s">
        <v>275</v>
      </c>
      <c r="C35" t="s">
        <v>275</v>
      </c>
      <c r="D35" t="s">
        <v>449</v>
      </c>
      <c r="E35">
        <v>-20480</v>
      </c>
      <c r="F35">
        <v>2812066</v>
      </c>
    </row>
    <row r="36" spans="1:6">
      <c r="A36" t="s">
        <v>364</v>
      </c>
      <c r="B36" t="s">
        <v>277</v>
      </c>
      <c r="C36" t="s">
        <v>277</v>
      </c>
      <c r="D36" t="s">
        <v>449</v>
      </c>
      <c r="E36">
        <v>406984</v>
      </c>
      <c r="F36">
        <v>614483</v>
      </c>
    </row>
    <row r="37" spans="1:6">
      <c r="A37" t="s">
        <v>467</v>
      </c>
      <c r="B37" t="s">
        <v>277</v>
      </c>
      <c r="C37" t="s">
        <v>277</v>
      </c>
      <c r="D37" t="s">
        <v>449</v>
      </c>
      <c r="E37">
        <v>174434</v>
      </c>
      <c r="F37">
        <v>-11816</v>
      </c>
    </row>
    <row r="38" spans="1:6">
      <c r="A38" t="s">
        <v>468</v>
      </c>
      <c r="B38" t="s">
        <v>285</v>
      </c>
      <c r="C38" t="s">
        <v>285</v>
      </c>
      <c r="D38" t="s">
        <v>449</v>
      </c>
      <c r="E38">
        <v>-62678682</v>
      </c>
      <c r="F38">
        <v>-37271774</v>
      </c>
    </row>
    <row r="39" spans="1:6">
      <c r="A39" t="s">
        <v>469</v>
      </c>
      <c r="B39" t="s">
        <v>231</v>
      </c>
      <c r="C39" t="s">
        <v>231</v>
      </c>
      <c r="D39" t="s">
        <v>470</v>
      </c>
    </row>
    <row r="40" spans="1:6">
      <c r="A40" t="s">
        <v>471</v>
      </c>
      <c r="B40" t="s">
        <v>291</v>
      </c>
      <c r="C40" t="s">
        <v>291</v>
      </c>
      <c r="D40" t="s">
        <v>470</v>
      </c>
      <c r="F40">
        <v>5390184</v>
      </c>
    </row>
    <row r="41" spans="1:6">
      <c r="A41" t="s">
        <v>472</v>
      </c>
      <c r="B41" t="s">
        <v>287</v>
      </c>
      <c r="C41" t="s">
        <v>287</v>
      </c>
      <c r="D41" t="s">
        <v>470</v>
      </c>
      <c r="E41">
        <v>-2095600</v>
      </c>
      <c r="F41">
        <v>-2676328</v>
      </c>
    </row>
    <row r="42" spans="1:6">
      <c r="A42" t="s">
        <v>473</v>
      </c>
      <c r="B42" t="s">
        <v>292</v>
      </c>
      <c r="C42" t="s">
        <v>292</v>
      </c>
      <c r="D42" t="s">
        <v>470</v>
      </c>
    </row>
    <row r="43" spans="1:6">
      <c r="D43" t="s">
        <v>470</v>
      </c>
      <c r="F43">
        <v>12500000</v>
      </c>
    </row>
    <row r="44" spans="1:6">
      <c r="A44" t="s">
        <v>474</v>
      </c>
      <c r="B44" t="s">
        <v>296</v>
      </c>
      <c r="C44" t="s">
        <v>296</v>
      </c>
      <c r="D44" t="s">
        <v>470</v>
      </c>
      <c r="E44">
        <v>-2095600</v>
      </c>
      <c r="F44">
        <v>15213856</v>
      </c>
    </row>
    <row r="45" spans="1:6">
      <c r="A45" t="s">
        <v>475</v>
      </c>
      <c r="B45" t="s">
        <v>297</v>
      </c>
      <c r="C45" t="s">
        <v>297</v>
      </c>
      <c r="D45" t="s">
        <v>453</v>
      </c>
    </row>
    <row r="46" spans="1:6">
      <c r="A46" t="s">
        <v>476</v>
      </c>
      <c r="B46" t="s">
        <v>302</v>
      </c>
      <c r="C46" t="s">
        <v>302</v>
      </c>
      <c r="D46" t="s">
        <v>453</v>
      </c>
      <c r="F46">
        <v>-20000000</v>
      </c>
    </row>
    <row r="47" spans="1:6">
      <c r="A47" t="s">
        <v>477</v>
      </c>
      <c r="B47" t="s">
        <v>302</v>
      </c>
      <c r="C47" t="s">
        <v>302</v>
      </c>
      <c r="D47" t="s">
        <v>453</v>
      </c>
      <c r="F47">
        <v>-1790000</v>
      </c>
    </row>
    <row r="48" spans="1:6">
      <c r="A48" t="s">
        <v>478</v>
      </c>
      <c r="B48" t="s">
        <v>298</v>
      </c>
      <c r="C48" t="s">
        <v>298</v>
      </c>
      <c r="D48" t="s">
        <v>453</v>
      </c>
      <c r="E48">
        <v>42944831</v>
      </c>
      <c r="F48">
        <v>39199850</v>
      </c>
    </row>
    <row r="49" spans="1:6">
      <c r="A49" t="s">
        <v>479</v>
      </c>
      <c r="B49" t="s">
        <v>298</v>
      </c>
      <c r="C49" t="s">
        <v>298</v>
      </c>
      <c r="D49" t="s">
        <v>453</v>
      </c>
      <c r="E49">
        <v>13007</v>
      </c>
      <c r="F49">
        <v>7504</v>
      </c>
    </row>
    <row r="50" spans="1:6">
      <c r="A50" t="s">
        <v>480</v>
      </c>
      <c r="B50" t="s">
        <v>299</v>
      </c>
      <c r="C50" t="s">
        <v>299</v>
      </c>
      <c r="D50" t="s">
        <v>453</v>
      </c>
      <c r="F50">
        <v>15000000</v>
      </c>
    </row>
    <row r="51" spans="1:6">
      <c r="A51" t="s">
        <v>481</v>
      </c>
      <c r="B51" t="s">
        <v>299</v>
      </c>
      <c r="C51" t="s">
        <v>299</v>
      </c>
      <c r="D51" t="s">
        <v>453</v>
      </c>
      <c r="F51">
        <v>30000000</v>
      </c>
    </row>
    <row r="52" spans="1:6">
      <c r="A52" t="s">
        <v>482</v>
      </c>
      <c r="B52" t="s">
        <v>483</v>
      </c>
      <c r="C52" t="s">
        <v>483</v>
      </c>
      <c r="D52" t="s">
        <v>453</v>
      </c>
      <c r="F52">
        <v>-1650170</v>
      </c>
    </row>
    <row r="53" spans="1:6">
      <c r="A53" t="s">
        <v>484</v>
      </c>
      <c r="B53" t="s">
        <v>483</v>
      </c>
      <c r="C53" t="s">
        <v>483</v>
      </c>
      <c r="D53" t="s">
        <v>453</v>
      </c>
      <c r="E53">
        <v>-16581</v>
      </c>
    </row>
    <row r="54" spans="1:6">
      <c r="A54" t="s">
        <v>485</v>
      </c>
      <c r="B54" t="s">
        <v>483</v>
      </c>
      <c r="C54" t="s">
        <v>483</v>
      </c>
      <c r="D54" t="s">
        <v>453</v>
      </c>
      <c r="E54">
        <v>-19697</v>
      </c>
      <c r="F54">
        <v>-16559</v>
      </c>
    </row>
    <row r="55" spans="1:6">
      <c r="A55" t="s">
        <v>486</v>
      </c>
      <c r="B55" t="s">
        <v>311</v>
      </c>
      <c r="C55" t="s">
        <v>311</v>
      </c>
      <c r="D55" t="s">
        <v>453</v>
      </c>
      <c r="E55">
        <v>42921560</v>
      </c>
      <c r="F55">
        <v>60750625</v>
      </c>
    </row>
    <row r="56" spans="1:6">
      <c r="A56" t="s">
        <v>487</v>
      </c>
      <c r="B56" t="s">
        <v>488</v>
      </c>
      <c r="C56" t="s">
        <v>312</v>
      </c>
      <c r="D56" t="s">
        <v>453</v>
      </c>
      <c r="E56">
        <v>-21852722</v>
      </c>
      <c r="F56">
        <v>38692707</v>
      </c>
    </row>
    <row r="57" spans="1:6">
      <c r="A57" t="s">
        <v>489</v>
      </c>
      <c r="B57" t="s">
        <v>490</v>
      </c>
      <c r="C57" t="s">
        <v>315</v>
      </c>
      <c r="D57" t="s">
        <v>453</v>
      </c>
      <c r="E57">
        <v>48607574</v>
      </c>
      <c r="F57">
        <v>9914867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C93971-45EF-4669-98E6-1D671E7F12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D72D691-C38D-453C-8746-64B1912133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6129B9-87DF-4F5F-85D3-9F42D5546F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Ratios</vt:lpstr>
      <vt:lpstr>bs</vt:lpstr>
      <vt:lpstr>pl</vt:lpstr>
      <vt:lpstr>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2021-10-04T07:23:06Z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