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650" activeTab="1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7" i="1"/>
  <c r="F187" i="1"/>
  <c r="G126" i="1"/>
  <c r="F126" i="1"/>
  <c r="G158" i="1"/>
  <c r="F158" i="1"/>
  <c r="G142" i="1"/>
  <c r="F142" i="1"/>
  <c r="G92" i="1"/>
  <c r="F92" i="1"/>
  <c r="G89" i="1"/>
  <c r="G98" i="1" s="1"/>
  <c r="G100" i="1" s="1"/>
  <c r="G128" i="1" s="1"/>
  <c r="G7" i="1" s="1"/>
  <c r="F89" i="1"/>
  <c r="F98" i="1" s="1"/>
  <c r="F100" i="1" s="1"/>
  <c r="F128" i="1" s="1"/>
  <c r="F7" i="1" s="1"/>
  <c r="G36" i="1"/>
  <c r="F36" i="1"/>
  <c r="G42" i="1"/>
  <c r="G43" i="1" s="1"/>
  <c r="G44" i="1" s="1"/>
  <c r="G378" i="1" s="1"/>
  <c r="F42" i="1"/>
  <c r="F43" i="1" s="1"/>
  <c r="F44" i="1" s="1"/>
  <c r="G433" i="1"/>
  <c r="F433" i="1"/>
  <c r="G432" i="1"/>
  <c r="F432" i="1"/>
  <c r="G418" i="1"/>
  <c r="G417" i="1"/>
  <c r="F417" i="1"/>
  <c r="F418" i="1" s="1"/>
  <c r="G410" i="1"/>
  <c r="F410" i="1"/>
  <c r="G409" i="1"/>
  <c r="F409" i="1"/>
  <c r="G397" i="1"/>
  <c r="F397" i="1"/>
  <c r="L382" i="1"/>
  <c r="K382" i="1"/>
  <c r="O381" i="1"/>
  <c r="N381" i="1"/>
  <c r="M381" i="1"/>
  <c r="L381" i="1"/>
  <c r="K381" i="1"/>
  <c r="J381" i="1"/>
  <c r="J377" i="1"/>
  <c r="I377" i="1"/>
  <c r="L376" i="1"/>
  <c r="K376" i="1"/>
  <c r="O375" i="1"/>
  <c r="N375" i="1"/>
  <c r="M375" i="1"/>
  <c r="L375" i="1"/>
  <c r="K375" i="1"/>
  <c r="J375" i="1"/>
  <c r="O373" i="1"/>
  <c r="H373" i="1"/>
  <c r="L371" i="1"/>
  <c r="K371" i="1"/>
  <c r="N370" i="1"/>
  <c r="M370" i="1"/>
  <c r="O369" i="1"/>
  <c r="H369" i="1"/>
  <c r="G369" i="1"/>
  <c r="J368" i="1"/>
  <c r="I368" i="1"/>
  <c r="L366" i="1"/>
  <c r="K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G161" i="1" s="1"/>
  <c r="G8" i="1" s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0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O30" i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77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377" i="1" l="1"/>
  <c r="F161" i="1"/>
  <c r="F8" i="1" s="1"/>
  <c r="F383" i="1" s="1"/>
  <c r="F12" i="1"/>
  <c r="F378" i="1"/>
  <c r="F370" i="1"/>
  <c r="F59" i="1"/>
  <c r="F67" i="1" s="1"/>
  <c r="F71" i="1" s="1"/>
  <c r="F373" i="1" s="1"/>
  <c r="G383" i="1"/>
  <c r="G382" i="1"/>
  <c r="G12" i="1"/>
  <c r="G376" i="1" s="1"/>
  <c r="F384" i="1"/>
  <c r="F353" i="1"/>
  <c r="F355" i="1" s="1"/>
  <c r="F357" i="1" s="1"/>
  <c r="F385" i="1"/>
  <c r="G326" i="1"/>
  <c r="O378" i="1"/>
  <c r="J372" i="1"/>
  <c r="F375" i="1"/>
  <c r="J383" i="1"/>
  <c r="H384" i="1"/>
  <c r="G59" i="1"/>
  <c r="G67" i="1" s="1"/>
  <c r="G71" i="1" s="1"/>
  <c r="K368" i="1"/>
  <c r="G370" i="1"/>
  <c r="K372" i="1"/>
  <c r="I373" i="1"/>
  <c r="G375" i="1"/>
  <c r="M376" i="1"/>
  <c r="K377" i="1"/>
  <c r="I378" i="1"/>
  <c r="G381" i="1"/>
  <c r="M382" i="1"/>
  <c r="I384" i="1"/>
  <c r="O384" i="1"/>
  <c r="F381" i="1"/>
  <c r="H365" i="1"/>
  <c r="L368" i="1"/>
  <c r="H370" i="1"/>
  <c r="L372" i="1"/>
  <c r="H375" i="1"/>
  <c r="N376" i="1"/>
  <c r="L377" i="1"/>
  <c r="J378" i="1"/>
  <c r="H381" i="1"/>
  <c r="N382" i="1"/>
  <c r="J384" i="1"/>
  <c r="G13" i="1"/>
  <c r="G384" i="1"/>
  <c r="I365" i="1"/>
  <c r="M368" i="1"/>
  <c r="M372" i="1"/>
  <c r="I375" i="1"/>
  <c r="O376" i="1"/>
  <c r="M377" i="1"/>
  <c r="K378" i="1"/>
  <c r="O382" i="1"/>
  <c r="I383" i="1"/>
  <c r="F363" i="1"/>
  <c r="N368" i="1"/>
  <c r="N372" i="1"/>
  <c r="H376" i="1"/>
  <c r="N377" i="1"/>
  <c r="L378" i="1"/>
  <c r="H382" i="1"/>
  <c r="G363" i="1"/>
  <c r="O368" i="1"/>
  <c r="H363" i="1"/>
  <c r="F382" i="1" l="1"/>
  <c r="F6" i="1"/>
  <c r="F371" i="1" s="1"/>
  <c r="F372" i="1"/>
  <c r="F83" i="1"/>
  <c r="G372" i="1"/>
  <c r="G373" i="1"/>
  <c r="G83" i="1"/>
  <c r="G6" i="1"/>
  <c r="G366" i="1"/>
  <c r="G14" i="1"/>
  <c r="G385" i="1"/>
  <c r="G353" i="1"/>
  <c r="G355" i="1" s="1"/>
  <c r="G357" i="1" s="1"/>
  <c r="F366" i="1"/>
  <c r="F365" i="1" l="1"/>
  <c r="G371" i="1"/>
  <c r="G365" i="1"/>
  <c r="F210" i="1" l="1"/>
  <c r="F10" i="1" s="1"/>
  <c r="F376" i="1" s="1"/>
  <c r="F13" i="1" l="1"/>
  <c r="F14" i="1" s="1"/>
  <c r="F377" i="1"/>
</calcChain>
</file>

<file path=xl/sharedStrings.xml><?xml version="1.0" encoding="utf-8"?>
<sst xmlns="http://schemas.openxmlformats.org/spreadsheetml/2006/main" count="935" uniqueCount="559">
  <si>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</si>
  <si>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</si>
  <si>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</si>
  <si>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</si>
  <si>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</si>
  <si>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</si>
  <si>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</si>
  <si>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</si>
  <si>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</si>
  <si>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</si>
  <si>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</si>
  <si>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</si>
  <si>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</si>
  <si>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</si>
  <si>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</si>
  <si>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</si>
  <si>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</si>
  <si>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</si>
  <si>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</si>
  <si>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</si>
  <si>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</si>
  <si>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</si>
  <si>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</si>
  <si>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</si>
  <si>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</si>
  <si>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</si>
  <si>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</si>
  <si>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</si>
  <si>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</si>
  <si>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</si>
  <si>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</si>
  <si>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</si>
  <si>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</si>
  <si>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</si>
  <si>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</si>
  <si>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</si>
  <si>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</si>
  <si>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</si>
  <si>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</si>
  <si>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</si>
  <si>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</si>
  <si>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</si>
  <si>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</si>
  <si>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</si>
  <si>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</si>
  <si>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</si>
  <si>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</si>
  <si>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</si>
  <si>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</si>
  <si>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</si>
  <si>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</si>
  <si>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</si>
  <si>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</si>
  <si>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</si>
  <si>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</si>
  <si>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</si>
  <si>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</si>
  <si>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</si>
  <si>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</si>
  <si>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</si>
  <si>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</si>
  <si>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</si>
  <si>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</si>
  <si>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</si>
  <si>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</si>
  <si>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</si>
  <si>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</si>
  <si>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</si>
  <si>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</si>
  <si>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</si>
  <si>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</si>
  <si>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</si>
  <si>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</si>
  <si>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</si>
  <si>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</si>
  <si>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</si>
  <si>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</si>
  <si>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</si>
  <si>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</si>
  <si>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</si>
  <si>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</si>
  <si>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</si>
  <si>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</si>
  <si>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</si>
  <si>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</si>
  <si>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</si>
  <si>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</si>
  <si>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</si>
  <si>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</si>
  <si>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</si>
  <si>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</si>
  <si>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</si>
  <si>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</si>
  <si>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</si>
  <si>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</si>
  <si>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</si>
  <si>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</si>
  <si>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</si>
  <si>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</si>
  <si>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</si>
  <si>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</si>
  <si>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</si>
  <si>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</si>
  <si>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</si>
  <si>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</si>
  <si>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</si>
  <si>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</si>
  <si>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</si>
  <si>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</si>
  <si>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</si>
  <si>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</si>
  <si>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</si>
  <si>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</si>
  <si>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</si>
  <si>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</si>
  <si>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</si>
  <si>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</si>
  <si>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</si>
  <si>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</si>
  <si>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</si>
  <si>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</si>
  <si>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</si>
  <si>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</si>
  <si>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</si>
  <si>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</si>
  <si>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</si>
  <si>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</si>
  <si>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</si>
  <si>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</si>
  <si>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</si>
  <si>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</si>
  <si>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</si>
  <si>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</si>
  <si>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</si>
  <si>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</si>
  <si>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</si>
  <si>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</si>
  <si>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</si>
  <si>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</si>
  <si>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</si>
  <si>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</si>
  <si>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</si>
  <si>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</si>
  <si>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</si>
  <si>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</si>
  <si>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</si>
  <si>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</si>
  <si>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</si>
  <si>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</si>
  <si>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</si>
  <si>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</si>
  <si>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</si>
  <si>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</si>
  <si>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</si>
  <si>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</si>
  <si>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</si>
  <si>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</si>
  <si>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</si>
  <si>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</si>
  <si>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</si>
  <si>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</si>
  <si>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</si>
  <si>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</si>
  <si>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</si>
  <si>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</si>
  <si>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</si>
  <si>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</si>
  <si>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</si>
  <si>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</si>
  <si>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</si>
  <si>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</si>
  <si>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</si>
  <si>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</si>
  <si>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</si>
  <si>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</si>
  <si>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</si>
  <si>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</si>
  <si>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</si>
  <si>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</si>
  <si>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</si>
  <si>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</si>
  <si>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</si>
  <si>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</si>
  <si>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</si>
  <si>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</si>
  <si>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</si>
  <si>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</si>
  <si>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</si>
  <si>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</si>
  <si>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</si>
  <si>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</si>
  <si>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</si>
  <si>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</si>
  <si>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</si>
  <si>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</si>
  <si>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</si>
  <si>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</si>
  <si>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</si>
  <si>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</si>
  <si>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</si>
  <si>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</si>
  <si>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</si>
  <si>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</si>
  <si>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</si>
  <si>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</si>
  <si>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</si>
  <si>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</si>
  <si>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</si>
  <si>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</si>
  <si>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</si>
  <si>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</si>
  <si>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</si>
  <si>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</si>
  <si>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</si>
  <si>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</si>
  <si>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</si>
  <si>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</si>
  <si>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</si>
  <si>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</si>
  <si>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</si>
  <si>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</si>
  <si>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</si>
  <si>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</si>
  <si>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</si>
  <si>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</si>
  <si>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</si>
  <si>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</si>
  <si>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</si>
  <si>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</si>
  <si>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</si>
  <si>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</si>
  <si>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</si>
  <si>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</si>
  <si>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</si>
  <si>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</si>
  <si>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</si>
  <si>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</si>
  <si>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</si>
  <si>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</si>
  <si>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</si>
  <si>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</si>
  <si>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</si>
  <si>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</si>
  <si>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</si>
  <si>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</si>
  <si>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</si>
  <si>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</si>
  <si>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</si>
  <si>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</si>
  <si>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</si>
  <si>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</si>
  <si>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</si>
  <si>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</si>
  <si>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</si>
  <si>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</si>
  <si>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</si>
  <si>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</si>
  <si>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</si>
  <si>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</si>
  <si>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</si>
  <si>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</si>
  <si>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</si>
  <si>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</si>
  <si>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</si>
  <si>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</si>
  <si>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</si>
  <si>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</si>
  <si>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</si>
  <si>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</si>
  <si>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</si>
  <si>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</si>
  <si>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</si>
  <si>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</si>
  <si>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</si>
  <si>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</si>
  <si>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</si>
  <si>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</si>
  <si>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</si>
  <si>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</si>
  <si>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</si>
  <si>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</si>
  <si>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</si>
  <si>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</si>
  <si>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</si>
  <si>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</si>
  <si>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</si>
  <si>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</si>
  <si>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</si>
  <si>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</si>
  <si>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</si>
  <si>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</si>
  <si>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</si>
  <si>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</si>
  <si>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</si>
  <si>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</si>
  <si>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</si>
  <si>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</si>
  <si>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</si>
  <si>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</si>
  <si>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</si>
  <si>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</si>
  <si>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</si>
  <si>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</si>
  <si>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</si>
  <si>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</si>
  <si>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</si>
  <si>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</si>
  <si>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</si>
  <si>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</si>
  <si>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</si>
  <si>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</si>
  <si>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</si>
  <si>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</si>
  <si>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</si>
  <si>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</si>
  <si>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</si>
  <si>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</si>
  <si>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</si>
  <si>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</si>
  <si>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</si>
  <si>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</si>
  <si>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</si>
  <si>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</si>
  <si>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</si>
  <si>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</si>
  <si>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</si>
  <si>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</si>
  <si>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</si>
  <si>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</si>
  <si>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</si>
  <si>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</si>
  <si>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</si>
  <si>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</si>
  <si>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</si>
  <si>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</si>
  <si>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</si>
  <si>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</si>
  <si>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</si>
  <si>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</si>
  <si>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</si>
  <si>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</si>
  <si>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</si>
  <si>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</si>
  <si>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</si>
  <si>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</si>
  <si>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</si>
  <si>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</si>
  <si>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</si>
  <si>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</si>
  <si>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</si>
  <si>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</si>
  <si>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</si>
  <si>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</si>
  <si>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</si>
  <si>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</si>
  <si>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</si>
  <si>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</si>
  <si>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</si>
  <si>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</si>
  <si>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</si>
  <si>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</si>
  <si>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</si>
  <si>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</si>
  <si>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</si>
  <si>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</si>
  <si>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</si>
  <si>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</si>
  <si>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</si>
  <si>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</si>
  <si>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</si>
  <si>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</si>
  <si>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</si>
  <si>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</si>
  <si>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</si>
  <si>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</si>
  <si>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</t>
  </si>
  <si>
    <t>Cash and cash equivalents</t>
  </si>
  <si>
    <t>Restricted cash</t>
  </si>
  <si>
    <t>Receivables, net of allowances of $9,695 and $5,775, respectively</t>
  </si>
  <si>
    <t>Retainage</t>
  </si>
  <si>
    <t>Inventories</t>
  </si>
  <si>
    <t>Prepaid expenses and other current assets</t>
  </si>
  <si>
    <t>Assets held for sale</t>
  </si>
  <si>
    <t>Total current assets</t>
  </si>
  <si>
    <t>Property, plant &amp; equipment, less accumulated depreciation</t>
  </si>
  <si>
    <t>Other assets</t>
  </si>
  <si>
    <t>Goodwill</t>
  </si>
  <si>
    <t>Intangible assets, less accumulated amortization</t>
  </si>
  <si>
    <t>Intangibles - Accumulated Amortisation</t>
  </si>
  <si>
    <t>Deferred income tax assets</t>
  </si>
  <si>
    <t>Total other assets</t>
  </si>
  <si>
    <t>Liabilities and Equity</t>
  </si>
  <si>
    <t>Current liabilities</t>
  </si>
  <si>
    <t>Accounts payable</t>
  </si>
  <si>
    <t>Accruals</t>
  </si>
  <si>
    <t>Contract liabilities</t>
  </si>
  <si>
    <t>Current maturities of long-term debt</t>
  </si>
  <si>
    <t>Liabilities held for sale</t>
  </si>
  <si>
    <t>Total current liabilities</t>
  </si>
  <si>
    <t>Long-term debt, less current maturities</t>
  </si>
  <si>
    <t>Deferred income tax liabilities</t>
  </si>
  <si>
    <t>Other non-current liabilities</t>
  </si>
  <si>
    <t>Total liabilities</t>
  </si>
  <si>
    <t>(See Commitments and Contingencies: Note 12)</t>
  </si>
  <si>
    <t>Preferred stock, undesignated, $.10 par  shares authorized 2,000,000; none outstanding</t>
  </si>
  <si>
    <t>Common stock, $.01 par  shares authorized 125,000,000; shares issued and outstanding</t>
  </si>
  <si>
    <t>31,922,409 and 32,462,542, respectively</t>
  </si>
  <si>
    <t>Additional paid-in capital</t>
  </si>
  <si>
    <t>Retained earnings</t>
  </si>
  <si>
    <t>Accumulated other comprehensive loss</t>
  </si>
  <si>
    <t>Total stockholders equity</t>
  </si>
  <si>
    <t>Non-controlling interests</t>
  </si>
  <si>
    <t>Total equity</t>
  </si>
  <si>
    <t>Revenues</t>
  </si>
  <si>
    <t>Revenue</t>
  </si>
  <si>
    <t>Cost of revenues</t>
  </si>
  <si>
    <t>Gross profit</t>
  </si>
  <si>
    <t>Gross Profit</t>
  </si>
  <si>
    <t>Operating expenses</t>
  </si>
  <si>
    <t>Goodwill impairment</t>
  </si>
  <si>
    <t>Definite-lived intangible asset impairment</t>
  </si>
  <si>
    <t>Gain on litigation settlement</t>
  </si>
  <si>
    <t>Acquisition and divestiture expenses</t>
  </si>
  <si>
    <t>Restructuring and related charges</t>
  </si>
  <si>
    <t>Operating income (loss)</t>
  </si>
  <si>
    <t>Operating Profit</t>
  </si>
  <si>
    <t>Other income (expense):</t>
  </si>
  <si>
    <t>Interest expense</t>
  </si>
  <si>
    <t>Interest income</t>
  </si>
  <si>
    <t>Other</t>
  </si>
  <si>
    <t>Total other expense</t>
  </si>
  <si>
    <t>Other Expenses</t>
  </si>
  <si>
    <t>Income (loss) before taxes on income</t>
  </si>
  <si>
    <t>Profit before Zakat</t>
  </si>
  <si>
    <t>Taxes (benefit) on income (loss)</t>
  </si>
  <si>
    <t>Net income (loss)</t>
  </si>
  <si>
    <t>Non-controlling interests (income) loss</t>
  </si>
  <si>
    <t>Share of profit from associates, JVs</t>
  </si>
  <si>
    <t>Net income (loss) attributable to Aegion Corporation</t>
  </si>
  <si>
    <t>Earnings (loss) per share attributable to Aegion Corporation:</t>
  </si>
  <si>
    <t>Basic</t>
  </si>
  <si>
    <t>Other comprehensive income (loss):</t>
  </si>
  <si>
    <t>Total Other Comprehensive Income</t>
  </si>
  <si>
    <t>Currency translation adjustments</t>
  </si>
  <si>
    <t>Deferred gain (loss) on hedging activity, net of tax(1)</t>
  </si>
  <si>
    <t>Pension activity, net of tax(2)</t>
  </si>
  <si>
    <t>Total comprehensive income (loss)</t>
  </si>
  <si>
    <t>Total Other Comprehensive Income (Loss)</t>
  </si>
  <si>
    <t>Comprehensive (income) loss attributable to non-controlling interests</t>
  </si>
  <si>
    <t>Cash flows from operating activities:</t>
  </si>
  <si>
    <t>Operating Activities</t>
  </si>
  <si>
    <t>Adjustments to reconcile to net cash provided by operating activities:</t>
  </si>
  <si>
    <t>Depreciation and amortization</t>
  </si>
  <si>
    <t>(Gain) loss on sale of fixed assets</t>
  </si>
  <si>
    <t>Equity-based compensation expense</t>
  </si>
  <si>
    <t>Deferred income taxes</t>
  </si>
  <si>
    <t>Non-cash restructuring charges</t>
  </si>
  <si>
    <t>Non-cash portion of litigation settlement</t>
  </si>
  <si>
    <t>Loss on sale of businesses</t>
  </si>
  <si>
    <t>Loss on foreign currency transactions</t>
  </si>
  <si>
    <t>Changes in operating assets and liabilities (net of acquisitions):</t>
  </si>
  <si>
    <t>Receivables net, retainage and contract assets</t>
  </si>
  <si>
    <t>Prepaid expenses and other assets</t>
  </si>
  <si>
    <t>Accounts payable and accrued expenses</t>
  </si>
  <si>
    <t>Other operating</t>
  </si>
  <si>
    <t>Net cash provided by operating activities</t>
  </si>
  <si>
    <t>Cash flows from investing activities:</t>
  </si>
  <si>
    <t>Investing Activities</t>
  </si>
  <si>
    <t>Capital expenditures</t>
  </si>
  <si>
    <t>Proceeds from sale of fixed assets</t>
  </si>
  <si>
    <t>Patent expenditures</t>
  </si>
  <si>
    <t>Purchase of Underground Solutions, Inc., net of cash acquired</t>
  </si>
  <si>
    <t>Other acquisition activity, net of cash acquired</t>
  </si>
  <si>
    <t>Sale of Bayou, net of cash disposed</t>
  </si>
  <si>
    <t>Sale of interest in Bayou Perma-Pipe Canada, Ltd., net of cash disposed</t>
  </si>
  <si>
    <t>Cash flows from financing activities:</t>
  </si>
  <si>
    <t>Financing Activities</t>
  </si>
  <si>
    <t>Proceeds from issuance of common stock upon stock option exercises, including</t>
  </si>
  <si>
    <t>tax effects</t>
  </si>
  <si>
    <t>Repurchase of common stock</t>
  </si>
  <si>
    <t>Investments from non-controlling interest</t>
  </si>
  <si>
    <t>Purchase of or distributions to non-controlling interests</t>
  </si>
  <si>
    <t>Payment of contingent consideration</t>
  </si>
  <si>
    <t>Credit facility amendment fees</t>
  </si>
  <si>
    <t>Proceeds from notes payable, net</t>
  </si>
  <si>
    <t>Proceeds from (payments on) line of credit, net</t>
  </si>
  <si>
    <t>Principal payments on long-term debt</t>
  </si>
  <si>
    <t>Net cash used in financing activities</t>
  </si>
  <si>
    <t>Effect of exchange rate changes on cash</t>
  </si>
  <si>
    <t>Net decrease in cash, cash equivalents and restricted cash for the year</t>
  </si>
  <si>
    <t>Net increase (decrease) in cash and cash equivalents</t>
  </si>
  <si>
    <t>Cash, cash equivalents and restricted cash, beginning of year</t>
  </si>
  <si>
    <t>Cash and cash equivalents at beginning of period</t>
  </si>
  <si>
    <t>Cash, cash equivalents and restricted cash, end of year</t>
  </si>
  <si>
    <t>Cash, cash equivalents and restricted cash, assets held for sale, end of year</t>
  </si>
  <si>
    <t>Supplemental disclosures of cash flow information:</t>
  </si>
  <si>
    <t>Cash paid (received) for:</t>
  </si>
  <si>
    <t>Interest</t>
  </si>
  <si>
    <t>Original Line Item in the pdf</t>
  </si>
  <si>
    <t>Line item in the accounts Tamplate into which Originalline item is mapped</t>
  </si>
  <si>
    <t xml:space="preserve">Person mapping </t>
  </si>
  <si>
    <t>other income (expenses)</t>
  </si>
  <si>
    <t>Niyoshi Aithal</t>
  </si>
  <si>
    <t>turnover</t>
  </si>
  <si>
    <t>impairment</t>
  </si>
  <si>
    <t>construction in progress</t>
  </si>
  <si>
    <t>property, plant and equipment</t>
  </si>
  <si>
    <t>furniture and fixtures</t>
  </si>
  <si>
    <t>restricted cash</t>
  </si>
  <si>
    <t>ordinary shares</t>
  </si>
  <si>
    <t>additional paid-in capital</t>
  </si>
  <si>
    <t>revenues</t>
  </si>
  <si>
    <t>cost of revenues</t>
  </si>
  <si>
    <t>cost of goods sold</t>
  </si>
  <si>
    <t>added from pdf</t>
  </si>
  <si>
    <t>other operating expenses</t>
  </si>
  <si>
    <t>operating expenses</t>
  </si>
  <si>
    <t>goodwill impairment</t>
  </si>
  <si>
    <t>definite-lived intangible asset impairment</t>
  </si>
  <si>
    <t>added from pdf: operating expenses + acquisition and divestiture expenses + restructuring and related charges</t>
  </si>
  <si>
    <t>acquisition and divestiture expenses</t>
  </si>
  <si>
    <t>restructuring and related charges</t>
  </si>
  <si>
    <t>deleted this value</t>
  </si>
  <si>
    <t>changed sign to positive</t>
  </si>
  <si>
    <t>other</t>
  </si>
  <si>
    <t>wrong value, corrected</t>
  </si>
  <si>
    <t>minority interest</t>
  </si>
  <si>
    <t>non-controlling interests (income) loss</t>
  </si>
  <si>
    <t>land and buildings</t>
  </si>
  <si>
    <t>land and land improvements</t>
  </si>
  <si>
    <t>buildings and improvements</t>
  </si>
  <si>
    <t>vehicles</t>
  </si>
  <si>
    <t>autos and trucks</t>
  </si>
  <si>
    <t>machinery and equipment</t>
  </si>
  <si>
    <t>added from pdf: raw materials &amp; supplies + construction materials</t>
  </si>
  <si>
    <t>stock - raw materials</t>
  </si>
  <si>
    <t>raw materials and supplies</t>
  </si>
  <si>
    <t>construction materials</t>
  </si>
  <si>
    <t>stock - work in progress</t>
  </si>
  <si>
    <t>work-in-progress</t>
  </si>
  <si>
    <t>finished products</t>
  </si>
  <si>
    <t>stock - finished goods</t>
  </si>
  <si>
    <t>other operating current assets</t>
  </si>
  <si>
    <t>retainage</t>
  </si>
  <si>
    <t>subtracted the amount of restricted cash from this</t>
  </si>
  <si>
    <t>other assets</t>
  </si>
  <si>
    <t>changed value</t>
  </si>
  <si>
    <t>other operating current liabilities</t>
  </si>
  <si>
    <t>accounts payable</t>
  </si>
  <si>
    <t>contract liabilities</t>
  </si>
  <si>
    <t xml:space="preserve">changed value </t>
  </si>
  <si>
    <t>current portion - long term debt</t>
  </si>
  <si>
    <t>current maturities of long-term debt</t>
  </si>
  <si>
    <t>other non-operating current liabilities</t>
  </si>
  <si>
    <t>liabilities held for sale</t>
  </si>
  <si>
    <t>other non-current liabilities</t>
  </si>
  <si>
    <t>long-term debt, less current maturities</t>
  </si>
  <si>
    <t>long term debt</t>
  </si>
  <si>
    <t>common stock, $0.1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</si>
</sst>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5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0" fillId="0" borderId="0" xfId="0" applyAlignment="1">
      <alignment horizontal="center" vertical="center" wrapText="1"/>
    </xf>
    <xf numFmtId="3" fontId="4" fillId="0" borderId="0" xfId="0" applyFont="1" applyAlignment="1">
      <alignment horizontal="left" vertical="center" wrapText="1"/>
    </xf>
    <xf numFmtId="3" fontId="0" fillId="0" borderId="0" xfId="0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0EC-485C-8C5E-E934543A8B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19-450F-88B6-9F196BA47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19-4AB3-8F41-36128E9469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33-4894-B1C5-963117D2B6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4C-4332-B5DD-BD25F8C2A1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75-4279-B0C8-73EE654A9E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11-4A4D-B71D-E3EC5E9AFD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F1-403E-A2E0-0033AF992C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09B-42AD-AC67-20450CBD99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BF-4428-9EE8-BF4F4D7612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FE-4862-B83C-0B7FCB72CB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FA-45BD-A995-7114E6FEDB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54-40FC-9122-1404226557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92-404B-8B19-14E207DD8D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6B-42A5-A1DF-FA2175F227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2928</v>
      </c>
      <c r="G6" s="7">
        <f t="shared" ref="G6:O6" si="1">IF(G4=$BF$1,"",G71)</f>
        <v>-69401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510550</v>
      </c>
      <c r="G7" s="7">
        <f t="shared" ref="G7:O7" si="2">IF(G4=$BF$1,"",G128)</f>
        <v>520035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481867</v>
      </c>
      <c r="G8" s="7">
        <f t="shared" ref="G8:O8" si="3">IF(G4=$BF$1,"",G161)</f>
        <v>587064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219650</v>
      </c>
      <c r="G9" s="7">
        <f t="shared" ref="G9:O9" si="4">IF(G4=$BF$1,"",G189)</f>
        <v>261674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302580</v>
      </c>
      <c r="G10" s="7">
        <f t="shared" ref="G10:O10" si="5">IF(G4=$BF$1,"",G210)</f>
        <v>340369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470187</v>
      </c>
      <c r="G11" s="7">
        <f t="shared" ref="G11:O11" si="6">IF(G4=$BF$1,"",G227)</f>
        <v>505056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992417</v>
      </c>
      <c r="G12" s="35">
        <f t="shared" ref="G12:O12" si="7">IF(G4=$BF$1,"",SUM(G7:G8))</f>
        <v>1107099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992417</v>
      </c>
      <c r="G13" s="35">
        <f t="shared" ref="G13:O13" si="8">IF(G4=$BF$1,"",SUM(G9:G11))</f>
        <v>1107099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1333568</v>
      </c>
      <c r="G24">
        <v>1359019</v>
      </c>
      <c r="H24">
        <v>1221920</v>
      </c>
    </row>
    <row r="25" spans="5:16">
      <c r="E25" s="1" t="s">
        <v>27</v>
      </c>
      <c r="F25">
        <v>1066642</v>
      </c>
      <c r="G25">
        <v>1074207</v>
      </c>
      <c r="H25">
        <v>967993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266926</v>
      </c>
      <c r="G30" s="7">
        <f>IF(G4=$BF$1,"",G24-G25+ABS(G26)-G27-G28-G29)</f>
        <v>284812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3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0</v>
      </c>
      <c r="G34">
        <v>0</v>
      </c>
      <c r="H34">
        <v>-6625</v>
      </c>
    </row>
    <row r="35" spans="5:16">
      <c r="E35" s="1" t="s">
        <v>37</v>
      </c>
    </row>
    <row r="36" spans="5:16">
      <c r="E36" s="1" t="s">
        <v>38</v>
      </c>
      <c r="F36" s="38">
        <f>219823+7004+6894</f>
        <v>233721</v>
      </c>
      <c r="G36" s="38">
        <f>226173+2923+12814</f>
        <v>241910</v>
      </c>
      <c r="P36" s="44" t="s">
        <v>519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 s="38">
        <f>1389+2169</f>
        <v>3558</v>
      </c>
      <c r="G42" s="38">
        <f>45390+41032</f>
        <v>86422</v>
      </c>
      <c r="P42" s="44" t="s">
        <v>514</v>
      </c>
    </row>
    <row r="43" spans="5:16">
      <c r="E43" s="6" t="s">
        <v>45</v>
      </c>
      <c r="F43" s="7">
        <f>F32+F33+F34+F35+F36+F37+F38+F39+F40+F41+F42</f>
        <v>237279</v>
      </c>
      <c r="G43" s="7">
        <f>G32+G33+G34+G35+G36+G37+G38+G39+G40+G41+G42</f>
        <v>328332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29647</v>
      </c>
      <c r="G44" s="7">
        <f>IF(G4=$BF$1,"",G30+G31-G43)</f>
        <v>-43520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3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17327</v>
      </c>
      <c r="G49">
        <v>16001</v>
      </c>
      <c r="H49">
        <v>-15029</v>
      </c>
      <c r="P49" s="44" t="s">
        <v>523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516</v>
      </c>
      <c r="G52">
        <v>145</v>
      </c>
      <c r="H52">
        <v>166</v>
      </c>
    </row>
    <row r="53" spans="5:16">
      <c r="E53" s="1" t="s">
        <v>55</v>
      </c>
    </row>
    <row r="54" spans="5:16">
      <c r="E54" s="1" t="s">
        <v>56</v>
      </c>
      <c r="F54">
        <v>-9881</v>
      </c>
      <c r="G54">
        <v>-2201</v>
      </c>
      <c r="H54">
        <v>0</v>
      </c>
      <c r="P54" s="44" t="s">
        <v>514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191508</v>
      </c>
      <c r="P56" s="44" t="s">
        <v>522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2955</v>
      </c>
      <c r="G59" s="7">
        <f>IF(G4=$BF$1,"",G44+G45+G46+G47+G48-G49-G50-G51+G52-G53+G54+G55-G56+G57+G58)</f>
        <v>-61577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3"/>
    </row>
    <row r="60" spans="5:16">
      <c r="E60" s="1" t="s">
        <v>62</v>
      </c>
      <c r="F60">
        <v>-132</v>
      </c>
      <c r="G60">
        <v>5005</v>
      </c>
      <c r="H60">
        <v>6109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3087</v>
      </c>
      <c r="G67" s="7">
        <f>IF(G4=$BF$1,"",SUM(G59,-G60,-ABS(G61),-G62,-G66))</f>
        <v>-66582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3"/>
    </row>
    <row r="68" spans="5:16">
      <c r="E68" s="1" t="s">
        <v>67</v>
      </c>
      <c r="F68">
        <v>-159</v>
      </c>
      <c r="G68">
        <v>-2819</v>
      </c>
      <c r="H68">
        <v>622</v>
      </c>
      <c r="P68" s="44" t="s">
        <v>525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2928</v>
      </c>
      <c r="G71" s="7">
        <f t="shared" ref="G71:O71" si="14">IF(G4=$BF$1,"",SUM(G67:G70))</f>
        <v>-69401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3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2928</v>
      </c>
      <c r="G83" s="7">
        <f t="shared" ref="G83:O83" si="15">IF(G4=$BF$1,"",SUM(G71:G82))</f>
        <v>-69401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10521+47430</f>
        <v>57951</v>
      </c>
      <c r="G89" s="38">
        <f>10258+47725</f>
        <v>57983</v>
      </c>
      <c r="P89" s="44" t="s">
        <v>514</v>
      </c>
    </row>
    <row r="90" spans="5:16">
      <c r="E90" s="1" t="s">
        <v>82</v>
      </c>
      <c r="F90" s="38">
        <v>14626</v>
      </c>
      <c r="G90" s="38">
        <v>8424</v>
      </c>
      <c r="P90" s="44" t="s">
        <v>514</v>
      </c>
    </row>
    <row r="91" spans="5:16">
      <c r="E91" s="1" t="s">
        <v>83</v>
      </c>
    </row>
    <row r="92" spans="5:16">
      <c r="E92" s="12" t="s">
        <v>84</v>
      </c>
      <c r="F92">
        <f>147918+37471</f>
        <v>185389</v>
      </c>
      <c r="G92">
        <f>159626+35149</f>
        <v>194775</v>
      </c>
      <c r="P92" s="44" t="s">
        <v>514</v>
      </c>
    </row>
    <row r="93" spans="5:16">
      <c r="E93" s="1" t="s">
        <v>85</v>
      </c>
      <c r="F93" s="38">
        <v>51129</v>
      </c>
      <c r="G93" s="38">
        <v>54039</v>
      </c>
      <c r="P93" s="44" t="s">
        <v>514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309095</v>
      </c>
      <c r="G98" s="7">
        <f>IF(G4=$BF$1,"",G89+G90+G91+G92+G93+G94+G95+G96)</f>
        <v>315221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3"/>
    </row>
    <row r="99" spans="5:16">
      <c r="E99" s="1" t="s">
        <v>89</v>
      </c>
      <c r="F99" s="38">
        <v>-202036</v>
      </c>
      <c r="G99" s="38">
        <v>-206181</v>
      </c>
      <c r="P99" s="44" t="s">
        <v>514</v>
      </c>
    </row>
    <row r="100" spans="5:16">
      <c r="E100" s="6" t="s">
        <v>90</v>
      </c>
      <c r="F100" s="7">
        <f>F98+F99</f>
        <v>107059</v>
      </c>
      <c r="G100" s="7">
        <f t="shared" ref="G100:O100" si="17">IF(G4=$BF$1,"",G98+G99)</f>
        <v>109040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3"/>
    </row>
    <row r="101" spans="5:16">
      <c r="E101" s="1" t="s">
        <v>91</v>
      </c>
      <c r="F101">
        <v>260633</v>
      </c>
      <c r="G101">
        <v>260715</v>
      </c>
    </row>
    <row r="102" spans="5:16">
      <c r="E102" s="1" t="s">
        <v>92</v>
      </c>
    </row>
    <row r="103" spans="5:16">
      <c r="E103" s="1" t="s">
        <v>93</v>
      </c>
      <c r="F103">
        <v>119696</v>
      </c>
      <c r="G103">
        <v>132345</v>
      </c>
    </row>
    <row r="104" spans="5:16">
      <c r="E104" s="6" t="s">
        <v>94</v>
      </c>
      <c r="F104" s="7">
        <f>F101+F102+F103</f>
        <v>380329</v>
      </c>
      <c r="G104" s="7">
        <f t="shared" ref="G104:O104" si="18">IF(G4=$BF$1,"",G101+G102+G103)</f>
        <v>393060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1561</v>
      </c>
      <c r="G111">
        <v>1666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f>22960-1359</f>
        <v>21601</v>
      </c>
      <c r="G126">
        <f>18108-1839</f>
        <v>16269</v>
      </c>
      <c r="P126" s="44" t="s">
        <v>544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510550</v>
      </c>
      <c r="G128" s="7">
        <f t="shared" ref="G128:O128" si="19">IF(G4=$BF$1,"",G100+SUM(G104:G126))</f>
        <v>520035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3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83527</v>
      </c>
      <c r="G130">
        <v>105717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>
        <v>204541</v>
      </c>
      <c r="G133">
        <v>201570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37" spans="5:16">
      <c r="G137" s="35"/>
    </row>
    <row r="140" spans="5:16">
      <c r="E140" s="6" t="s">
        <v>122</v>
      </c>
      <c r="F140" s="7">
        <f>F130+F131+F132+F133+F134+F135+F136+F139</f>
        <v>288068</v>
      </c>
      <c r="G140" s="7">
        <f t="shared" ref="G140:O140" si="20">IF(G4=$BF$1,"",G130+G131+G132+G133+G134+G135+G136+G139)</f>
        <v>307287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f>29343+9379</f>
        <v>38722</v>
      </c>
      <c r="G142" s="38">
        <f>30265+16862</f>
        <v>47127</v>
      </c>
      <c r="P142" s="44" t="s">
        <v>534</v>
      </c>
    </row>
    <row r="143" spans="5:16">
      <c r="E143" s="1" t="s">
        <v>125</v>
      </c>
      <c r="F143" s="38">
        <v>2510</v>
      </c>
      <c r="G143" s="38">
        <v>3246</v>
      </c>
      <c r="P143" s="44" t="s">
        <v>514</v>
      </c>
    </row>
    <row r="144" spans="5:16">
      <c r="E144" s="1" t="s">
        <v>126</v>
      </c>
      <c r="F144">
        <v>15205</v>
      </c>
      <c r="G144">
        <v>13596</v>
      </c>
      <c r="P144" s="44" t="s">
        <v>514</v>
      </c>
    </row>
    <row r="145" spans="5:16">
      <c r="E145" s="6" t="s">
        <v>127</v>
      </c>
      <c r="F145" s="7">
        <f>F141+F142+F143+F144</f>
        <v>56437</v>
      </c>
      <c r="G145" s="7">
        <f t="shared" ref="G145:O145" si="21">IF(G4=$BF$1,"",G141+G142+G143+G144)</f>
        <v>63969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3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32172</v>
      </c>
      <c r="G154">
        <v>35282</v>
      </c>
    </row>
    <row r="155" spans="5:16">
      <c r="E155" s="1" t="s">
        <v>135</v>
      </c>
      <c r="F155">
        <v>62467</v>
      </c>
      <c r="G155">
        <v>75371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  <c r="F158" s="38">
        <f>1359+33572</f>
        <v>34931</v>
      </c>
      <c r="G158" s="38">
        <f>1839+33002</f>
        <v>34841</v>
      </c>
      <c r="P158" s="44" t="s">
        <v>514</v>
      </c>
    </row>
    <row r="159" spans="5:16">
      <c r="E159" s="1" t="s">
        <v>139</v>
      </c>
      <c r="F159">
        <v>7792</v>
      </c>
      <c r="G159">
        <v>70314</v>
      </c>
    </row>
    <row r="160" spans="5:16">
      <c r="E160" s="6" t="s">
        <v>140</v>
      </c>
      <c r="F160" s="7">
        <f>F146+F147+F148+F149+F150+F151+F152+F153+F154+F155+F156+F157+F158+F159</f>
        <v>137362</v>
      </c>
      <c r="G160" s="7">
        <f>IF(G4=$BF$1,"",G146+G147+G148+G149+G150+G151+G152+G153+G154+G155+G156+G157+G158+G159)</f>
        <v>215808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481867</v>
      </c>
      <c r="G161" s="7">
        <f t="shared" ref="G161:O161" si="22">IF(G4=$BF$1,"",G140+G145+G160)</f>
        <v>587064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3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29469</v>
      </c>
      <c r="G167">
        <v>26555</v>
      </c>
      <c r="P167" s="44" t="s">
        <v>550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88020</v>
      </c>
      <c r="G184">
        <v>92011</v>
      </c>
    </row>
    <row r="185" spans="5:16">
      <c r="E185" s="12" t="s">
        <v>162</v>
      </c>
    </row>
    <row r="187" spans="5:16">
      <c r="E187" s="1" t="s">
        <v>163</v>
      </c>
      <c r="F187">
        <f>64562+32339</f>
        <v>96901</v>
      </c>
      <c r="G187">
        <f>70611+51597</f>
        <v>122208</v>
      </c>
      <c r="P187" s="44" t="s">
        <v>546</v>
      </c>
    </row>
    <row r="188" spans="5:16">
      <c r="E188" s="1" t="s">
        <v>164</v>
      </c>
      <c r="F188" s="38">
        <v>5260</v>
      </c>
      <c r="G188" s="38">
        <v>20900</v>
      </c>
      <c r="P188" s="44" t="s">
        <v>514</v>
      </c>
    </row>
    <row r="189" spans="5:16">
      <c r="E189" s="6" t="s">
        <v>13</v>
      </c>
      <c r="F189" s="7">
        <f>SUM(F163:F188)</f>
        <v>219650</v>
      </c>
      <c r="G189" s="7">
        <f t="shared" ref="G189:O189" si="23">IF(G4=$BF$1,"",SUM(G163:G188))</f>
        <v>261674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3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282003</v>
      </c>
      <c r="G194" s="38">
        <v>318240</v>
      </c>
      <c r="P194" s="44" t="s">
        <v>514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8361</v>
      </c>
      <c r="G203">
        <v>9211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5"/>
    </row>
    <row r="209" spans="5:16">
      <c r="E209" s="1" t="s">
        <v>180</v>
      </c>
      <c r="F209">
        <v>12216</v>
      </c>
      <c r="G209">
        <v>12918</v>
      </c>
      <c r="P209" s="44" t="s">
        <v>514</v>
      </c>
    </row>
    <row r="210" spans="5:16">
      <c r="E210" s="6" t="s">
        <v>14</v>
      </c>
      <c r="F210" s="7">
        <f>SUM(F191:F209)</f>
        <v>302580</v>
      </c>
      <c r="G210" s="7">
        <f t="shared" ref="G210:O210" si="24">IF(G4=$BF$1,"",SUM(G191:G209))</f>
        <v>340369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122818+319</f>
        <v>123137</v>
      </c>
      <c r="G212">
        <f>140749+325</f>
        <v>141074</v>
      </c>
      <c r="P212" s="44" t="s">
        <v>514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379890</v>
      </c>
      <c r="G217">
        <v>376694</v>
      </c>
    </row>
    <row r="218" spans="5:16">
      <c r="E218" s="1" t="s">
        <v>188</v>
      </c>
    </row>
    <row r="219" spans="5:16">
      <c r="E219" s="1" t="s">
        <v>189</v>
      </c>
      <c r="F219">
        <v>-40290</v>
      </c>
      <c r="G219">
        <v>-23522</v>
      </c>
    </row>
    <row r="220" spans="5:16">
      <c r="E220" s="1" t="s">
        <v>190</v>
      </c>
    </row>
    <row r="221" spans="5:16">
      <c r="E221" s="1" t="s">
        <v>67</v>
      </c>
      <c r="F221">
        <v>7450</v>
      </c>
      <c r="G221">
        <v>10810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470187</v>
      </c>
      <c r="G227" s="7">
        <f t="shared" ref="G227:O227" si="25">IF(G4=$BF$1,"",SUM(G212:G226))</f>
        <v>505056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3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3087</v>
      </c>
      <c r="G267">
        <v>-66582</v>
      </c>
      <c r="H267">
        <v>29125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37855</v>
      </c>
      <c r="G271">
        <v>44419</v>
      </c>
      <c r="H271">
        <v>46719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3558</v>
      </c>
      <c r="G275">
        <v>86422</v>
      </c>
      <c r="H275">
        <v>0</v>
      </c>
    </row>
    <row r="276" spans="5:8">
      <c r="E276" s="1" t="s">
        <v>241</v>
      </c>
      <c r="F276">
        <v>623</v>
      </c>
      <c r="G276">
        <v>2152</v>
      </c>
      <c r="H276">
        <v>911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7048</v>
      </c>
      <c r="G279">
        <v>0</v>
      </c>
      <c r="H279">
        <v>0</v>
      </c>
    </row>
    <row r="280" spans="5:8" ht="25.5" customHeight="1">
      <c r="E280" s="1" t="s">
        <v>245</v>
      </c>
      <c r="F280">
        <v>143</v>
      </c>
      <c r="G280">
        <v>-59</v>
      </c>
      <c r="H280">
        <v>-1916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7838</v>
      </c>
      <c r="G285">
        <v>10060</v>
      </c>
      <c r="H285">
        <v>10059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1278</v>
      </c>
      <c r="G288">
        <v>-1562</v>
      </c>
      <c r="H288">
        <v>-1044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58343</v>
      </c>
      <c r="G296" s="7">
        <f>IF(G4=$BF$1,"",G271+G272+G273+G274+G275+G276+G277+G278+G279+G280+G281+G282+G283+G284+G285+G286+G287+G288+G289+G290+G291+G292+G293+G294+G295)</f>
        <v>141432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61430</v>
      </c>
      <c r="G297" s="7">
        <f t="shared" ref="G297:O297" si="27">IF(G4=$BF$1,"",MIN(F267,F268,F269)+F296)</f>
        <v>61430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2306</v>
      </c>
      <c r="G299">
        <v>-1926</v>
      </c>
      <c r="H299">
        <v>-2569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614</v>
      </c>
      <c r="G302">
        <v>8732</v>
      </c>
      <c r="H302">
        <v>16759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  <c r="F308">
        <v>-24144</v>
      </c>
      <c r="G308">
        <v>-5924</v>
      </c>
      <c r="H308">
        <v>-27761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-7339</v>
      </c>
      <c r="G313">
        <v>18803</v>
      </c>
      <c r="H313">
        <v>-50022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0</v>
      </c>
      <c r="G317">
        <v>-500</v>
      </c>
      <c r="H317">
        <v>-500</v>
      </c>
    </row>
    <row r="318" spans="5:15">
      <c r="E318" s="6" t="s">
        <v>278</v>
      </c>
      <c r="F318" s="7">
        <f>F299+F300+F301+F302+F303+F304+F305+F306+F307+F308+F309+F310+F311+F312+F313+F314+F315+F316+F317</f>
        <v>-28563</v>
      </c>
      <c r="G318" s="7">
        <f>IF(G4=$BF$1,"",G299+G300+G301+G302+G303+G304+G305+G306+G307+G308+G309+G310+G311+G312+G313+G314+G315+G316+G317)</f>
        <v>19185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32867</v>
      </c>
      <c r="G319" s="7">
        <f t="shared" ref="G319:O319" si="28">IF(G4=$BF$1,"",G297+G318)</f>
        <v>80615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32867</v>
      </c>
      <c r="G326" s="7">
        <f t="shared" ref="G326:O326" si="30">IF(G4=$BF$1,"",G325+G319)</f>
        <v>80615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-39514</v>
      </c>
      <c r="G328">
        <v>-39875</v>
      </c>
      <c r="H328">
        <v>-50327</v>
      </c>
    </row>
    <row r="329" spans="5:15">
      <c r="E329" s="1" t="s">
        <v>288</v>
      </c>
      <c r="F329">
        <v>3036</v>
      </c>
      <c r="G329">
        <v>707</v>
      </c>
      <c r="H329">
        <v>3310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  <c r="F332">
        <v>-7000</v>
      </c>
      <c r="G332">
        <v>2000</v>
      </c>
      <c r="H332">
        <v>36000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-43478</v>
      </c>
      <c r="G337" s="7">
        <f>IF(G4=$BF$1,"",SUM(G328:G336))</f>
        <v>-37168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-25775</v>
      </c>
      <c r="G339">
        <v>-37849</v>
      </c>
      <c r="H339">
        <v>-44454</v>
      </c>
    </row>
    <row r="340" spans="5:15">
      <c r="E340" s="1" t="s">
        <v>299</v>
      </c>
      <c r="F340">
        <v>234</v>
      </c>
      <c r="G340">
        <v>639</v>
      </c>
      <c r="H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-26250</v>
      </c>
      <c r="G343">
        <v>-21647</v>
      </c>
      <c r="H343">
        <v>-17500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-51791</v>
      </c>
      <c r="G352" s="7">
        <f>IF(G4=$BF$1,"",SUM(G339:G351))</f>
        <v>-58857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-62402</v>
      </c>
      <c r="G353" s="7">
        <f t="shared" ref="G353:O353" si="33">IF(G4=$BF$1,"",G326+G337+G352)</f>
        <v>-15410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-4045</v>
      </c>
      <c r="G354">
        <v>6553</v>
      </c>
      <c r="H354">
        <v>-2148</v>
      </c>
    </row>
    <row r="355" spans="5:15">
      <c r="E355" s="6" t="s">
        <v>314</v>
      </c>
      <c r="F355" s="7">
        <f>F353+F354</f>
        <v>-66447</v>
      </c>
      <c r="G355" s="7">
        <f t="shared" ref="G355:O355" si="34">IF(G4=$BF$1,"",G353+G354)</f>
        <v>-8857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108545</v>
      </c>
      <c r="G356">
        <v>134392</v>
      </c>
      <c r="H356">
        <v>217492</v>
      </c>
    </row>
    <row r="357" spans="5:15">
      <c r="E357" s="6" t="s">
        <v>316</v>
      </c>
      <c r="F357" s="7">
        <f>F355+F356</f>
        <v>42098</v>
      </c>
      <c r="G357" s="7">
        <f t="shared" ref="G357:O357" si="35">IF(G4=$BF$1,"",G355+G356)</f>
        <v>125535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-1.8727479159599682E-2</v>
      </c>
      <c r="G364" s="24">
        <f t="shared" si="37"/>
        <v>0.11219965300510672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-1.0421895938098875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-0.10358784535077713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0.2001592719681336</v>
      </c>
      <c r="G369" s="27">
        <f t="shared" si="41"/>
        <v>0.2095717572749167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2.2231337284637904E-2</v>
      </c>
      <c r="G370" s="27">
        <f t="shared" si="42"/>
        <v>-3.202309901480406E-2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2.1956135720113258E-3</v>
      </c>
      <c r="G371" s="28">
        <f t="shared" si="43"/>
        <v>-5.1066982875147438E-2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2.9503726760021242E-3</v>
      </c>
      <c r="G372" s="27">
        <f t="shared" si="44"/>
        <v>-6.2687257417809963E-2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6.2273095598134355E-3</v>
      </c>
      <c r="G373" s="27">
        <f t="shared" si="45"/>
        <v>-0.13741248495216371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0.52622032875293345</v>
      </c>
      <c r="G376" s="30">
        <f t="shared" si="47"/>
        <v>0.5438023157820574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1.1106857484362604</v>
      </c>
      <c r="G377" s="30">
        <f t="shared" si="48"/>
        <v>1.1920321706899828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1.7110290298378255</v>
      </c>
      <c r="G378" s="30">
        <f t="shared" si="49"/>
        <v>-2.719830010624336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2.1937946733439562</v>
      </c>
      <c r="G382" s="32">
        <f t="shared" si="51"/>
        <v>2.2434938129122495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1.9368540860459822</v>
      </c>
      <c r="G383" s="32">
        <f t="shared" si="52"/>
        <v>1.9990331481155943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0.38027316184839516</v>
      </c>
      <c r="G384" s="32">
        <f t="shared" si="53"/>
        <v>0.40400269037046094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0.14963350785340315</v>
      </c>
      <c r="G385" s="32">
        <f t="shared" si="54"/>
        <v>0.30807416862202586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83527</v>
      </c>
      <c r="G418" s="17">
        <f>G130-G417</f>
        <v>105717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498</v>
      </c>
      <c r="B1" s="39" t="s">
        <v>499</v>
      </c>
      <c r="C1" s="39" t="s">
        <v>500</v>
      </c>
      <c r="D1" s="39"/>
    </row>
    <row r="2" spans="1:4">
      <c r="A2" s="41" t="s">
        <v>511</v>
      </c>
      <c r="B2" s="41" t="s">
        <v>503</v>
      </c>
      <c r="C2" s="39" t="s">
        <v>502</v>
      </c>
      <c r="D2" s="39"/>
    </row>
    <row r="3" spans="1:4">
      <c r="A3" s="41" t="s">
        <v>512</v>
      </c>
      <c r="B3" s="41" t="s">
        <v>513</v>
      </c>
      <c r="C3" s="39" t="s">
        <v>502</v>
      </c>
    </row>
    <row r="4" spans="1:4">
      <c r="A4" s="41" t="s">
        <v>516</v>
      </c>
      <c r="B4" s="41" t="s">
        <v>515</v>
      </c>
      <c r="C4" s="39" t="s">
        <v>502</v>
      </c>
    </row>
    <row r="5" spans="1:4">
      <c r="A5" s="41" t="s">
        <v>517</v>
      </c>
      <c r="B5" s="41" t="s">
        <v>504</v>
      </c>
      <c r="C5" s="39" t="s">
        <v>502</v>
      </c>
    </row>
    <row r="6" spans="1:4">
      <c r="A6" s="41" t="s">
        <v>518</v>
      </c>
      <c r="B6" s="41" t="s">
        <v>504</v>
      </c>
      <c r="C6" s="39" t="s">
        <v>502</v>
      </c>
    </row>
    <row r="7" spans="1:4">
      <c r="A7" s="41" t="s">
        <v>520</v>
      </c>
      <c r="B7" s="41" t="s">
        <v>515</v>
      </c>
      <c r="C7" s="39" t="s">
        <v>502</v>
      </c>
    </row>
    <row r="8" spans="1:4">
      <c r="A8" s="41" t="s">
        <v>521</v>
      </c>
      <c r="B8" s="41" t="s">
        <v>515</v>
      </c>
      <c r="C8" s="39" t="s">
        <v>502</v>
      </c>
    </row>
    <row r="9" spans="1:4">
      <c r="A9" s="41" t="s">
        <v>524</v>
      </c>
      <c r="B9" s="41" t="s">
        <v>501</v>
      </c>
      <c r="C9" s="39" t="s">
        <v>502</v>
      </c>
    </row>
    <row r="10" spans="1:4">
      <c r="A10" s="41" t="s">
        <v>527</v>
      </c>
      <c r="B10" s="41" t="s">
        <v>526</v>
      </c>
      <c r="C10" s="39" t="s">
        <v>502</v>
      </c>
    </row>
    <row r="11" spans="1:4">
      <c r="A11" s="41" t="s">
        <v>529</v>
      </c>
      <c r="B11" s="41" t="s">
        <v>528</v>
      </c>
      <c r="C11" s="39" t="s">
        <v>502</v>
      </c>
    </row>
    <row r="12" spans="1:4">
      <c r="A12" s="41" t="s">
        <v>530</v>
      </c>
      <c r="B12" s="41" t="s">
        <v>528</v>
      </c>
      <c r="C12" s="39" t="s">
        <v>502</v>
      </c>
    </row>
    <row r="13" spans="1:4">
      <c r="A13" s="41" t="s">
        <v>532</v>
      </c>
      <c r="B13" s="41" t="s">
        <v>531</v>
      </c>
      <c r="C13" s="39" t="s">
        <v>502</v>
      </c>
    </row>
    <row r="14" spans="1:4">
      <c r="A14" s="41" t="s">
        <v>533</v>
      </c>
      <c r="B14" s="41" t="s">
        <v>506</v>
      </c>
      <c r="C14" s="39" t="s">
        <v>502</v>
      </c>
    </row>
    <row r="15" spans="1:4">
      <c r="A15" s="41" t="s">
        <v>507</v>
      </c>
      <c r="B15" s="41" t="s">
        <v>506</v>
      </c>
      <c r="C15" s="39" t="s">
        <v>502</v>
      </c>
    </row>
    <row r="16" spans="1:4">
      <c r="A16" s="41" t="s">
        <v>505</v>
      </c>
      <c r="B16" s="41" t="s">
        <v>505</v>
      </c>
      <c r="C16" s="39" t="s">
        <v>502</v>
      </c>
    </row>
    <row r="17" spans="1:3">
      <c r="A17" s="41" t="s">
        <v>536</v>
      </c>
      <c r="B17" s="41" t="s">
        <v>535</v>
      </c>
      <c r="C17" s="39" t="s">
        <v>502</v>
      </c>
    </row>
    <row r="18" spans="1:3">
      <c r="A18" s="41" t="s">
        <v>537</v>
      </c>
      <c r="B18" s="41" t="s">
        <v>535</v>
      </c>
      <c r="C18" s="39" t="s">
        <v>502</v>
      </c>
    </row>
    <row r="19" spans="1:3">
      <c r="A19" s="41" t="s">
        <v>539</v>
      </c>
      <c r="B19" s="41" t="s">
        <v>538</v>
      </c>
      <c r="C19" s="39" t="s">
        <v>502</v>
      </c>
    </row>
    <row r="20" spans="1:3">
      <c r="A20" s="42" t="s">
        <v>540</v>
      </c>
      <c r="B20" s="42" t="s">
        <v>541</v>
      </c>
      <c r="C20" s="39" t="s">
        <v>502</v>
      </c>
    </row>
    <row r="21" spans="1:3">
      <c r="A21" s="42" t="s">
        <v>508</v>
      </c>
      <c r="B21" s="42" t="s">
        <v>542</v>
      </c>
      <c r="C21" s="39" t="s">
        <v>502</v>
      </c>
    </row>
    <row r="22" spans="1:3">
      <c r="A22" s="42" t="s">
        <v>543</v>
      </c>
      <c r="B22" s="42" t="s">
        <v>542</v>
      </c>
      <c r="C22" s="39" t="s">
        <v>502</v>
      </c>
    </row>
    <row r="23" spans="1:3">
      <c r="A23" s="42" t="s">
        <v>545</v>
      </c>
      <c r="B23" s="42" t="s">
        <v>113</v>
      </c>
      <c r="C23" s="39" t="s">
        <v>502</v>
      </c>
    </row>
    <row r="24" spans="1:3">
      <c r="A24" s="42" t="s">
        <v>548</v>
      </c>
      <c r="B24" s="42" t="s">
        <v>547</v>
      </c>
      <c r="C24" s="39" t="s">
        <v>502</v>
      </c>
    </row>
    <row r="25" spans="1:3">
      <c r="A25" s="42" t="s">
        <v>549</v>
      </c>
      <c r="B25" s="42" t="s">
        <v>547</v>
      </c>
      <c r="C25" s="39" t="s">
        <v>502</v>
      </c>
    </row>
    <row r="26" spans="1:3">
      <c r="A26" s="42" t="s">
        <v>552</v>
      </c>
      <c r="B26" s="42" t="s">
        <v>551</v>
      </c>
      <c r="C26" s="39" t="s">
        <v>502</v>
      </c>
    </row>
    <row r="27" spans="1:3">
      <c r="A27" s="42" t="s">
        <v>554</v>
      </c>
      <c r="B27" s="42" t="s">
        <v>553</v>
      </c>
      <c r="C27" s="39" t="s">
        <v>502</v>
      </c>
    </row>
    <row r="28" spans="1:3">
      <c r="A28" s="42" t="s">
        <v>555</v>
      </c>
      <c r="B28" s="42" t="s">
        <v>555</v>
      </c>
      <c r="C28" s="39" t="s">
        <v>502</v>
      </c>
    </row>
    <row r="29" spans="1:3">
      <c r="A29" s="42" t="s">
        <v>556</v>
      </c>
      <c r="B29" s="42" t="s">
        <v>557</v>
      </c>
      <c r="C29" s="39" t="s">
        <v>502</v>
      </c>
    </row>
    <row r="30" spans="1:3">
      <c r="A30" s="42" t="s">
        <v>558</v>
      </c>
      <c r="B30" s="42" t="s">
        <v>509</v>
      </c>
      <c r="C30" s="39" t="s">
        <v>502</v>
      </c>
    </row>
    <row r="31" spans="1:3">
      <c r="A31" s="42" t="s">
        <v>510</v>
      </c>
      <c r="B31" s="42" t="s">
        <v>509</v>
      </c>
      <c r="C31" s="39" t="s">
        <v>502</v>
      </c>
    </row>
    <row r="32" spans="1:3">
      <c r="A32" s="42"/>
      <c r="B32" s="42"/>
    </row>
    <row r="33" spans="1:2">
      <c r="A33" s="42"/>
      <c r="B33" s="42"/>
    </row>
    <row r="34" spans="1:2">
      <c r="A34" s="42"/>
      <c r="B34" s="42"/>
    </row>
    <row r="35" spans="1:2">
      <c r="A35" s="42"/>
      <c r="B35" s="42"/>
    </row>
    <row r="36" spans="1:2">
      <c r="A36" s="42"/>
      <c r="B36" s="42"/>
    </row>
    <row r="37" spans="1:2">
      <c r="A37" s="42"/>
      <c r="B37" s="42"/>
    </row>
    <row r="38" spans="1:2">
      <c r="A38" s="42"/>
      <c r="B38" s="42"/>
    </row>
    <row r="39" spans="1:2">
      <c r="A39" s="42"/>
      <c r="B39" s="42"/>
    </row>
    <row r="40" spans="1:2">
      <c r="A40" s="42"/>
      <c r="B40" s="42"/>
    </row>
    <row r="41" spans="1:2">
      <c r="A41" s="42"/>
      <c r="B41" s="42"/>
    </row>
    <row r="42" spans="1:2">
      <c r="A42" s="42"/>
      <c r="B42" s="42"/>
    </row>
    <row r="43" spans="1:2">
      <c r="A43" s="42"/>
      <c r="B43" s="42"/>
    </row>
    <row r="44" spans="1:2">
      <c r="A44" s="42"/>
      <c r="B44" s="42"/>
    </row>
    <row r="45" spans="1:2">
      <c r="A45" s="42"/>
      <c r="B45" s="42"/>
    </row>
    <row r="46" spans="1:2">
      <c r="A46" s="42"/>
      <c r="B46" s="42"/>
    </row>
    <row r="47" spans="1:2">
      <c r="A47" s="42"/>
      <c r="B47" s="42"/>
    </row>
    <row r="48" spans="1:2">
      <c r="A48" s="42"/>
      <c r="B48" s="42"/>
    </row>
    <row r="49" spans="1:2">
      <c r="A49" s="42"/>
      <c r="B49" s="42"/>
    </row>
    <row r="50" spans="1:2">
      <c r="A50" s="42"/>
      <c r="B50" s="42"/>
    </row>
    <row r="51" spans="1:2">
      <c r="A51" s="42"/>
      <c r="B51" s="42"/>
    </row>
    <row r="52" spans="1:2">
      <c r="A52" s="42"/>
      <c r="B52" s="42"/>
    </row>
    <row r="53" spans="1:2">
      <c r="A53" s="42"/>
      <c r="B53" s="42"/>
    </row>
    <row r="54" spans="1:2">
      <c r="A54" s="42"/>
      <c r="B54" s="42"/>
    </row>
    <row r="55" spans="1:2">
      <c r="A55" s="42"/>
      <c r="B55" s="42"/>
    </row>
    <row r="56" spans="1:2">
      <c r="A56" s="42"/>
      <c r="B56" s="42"/>
    </row>
    <row r="57" spans="1:2">
      <c r="A57" s="42"/>
      <c r="B57" s="42"/>
    </row>
    <row r="58" spans="1:2">
      <c r="A58" s="42"/>
      <c r="B58" s="42"/>
    </row>
    <row r="59" spans="1:2">
      <c r="A59" s="42"/>
      <c r="B59" s="42"/>
    </row>
    <row r="60" spans="1:2">
      <c r="A60" s="42"/>
      <c r="B60" s="42"/>
    </row>
    <row r="61" spans="1:2">
      <c r="A61" s="42"/>
      <c r="B61" s="42"/>
    </row>
    <row r="62" spans="1:2">
      <c r="A62" s="42"/>
      <c r="B62" s="42"/>
    </row>
    <row r="63" spans="1:2">
      <c r="A63" s="42"/>
      <c r="B63" s="42"/>
    </row>
    <row r="64" spans="1:2">
      <c r="A64" s="42"/>
      <c r="B64" s="42"/>
    </row>
    <row r="65" spans="1:2">
      <c r="A65" s="42"/>
      <c r="B65" s="42"/>
    </row>
    <row r="66" spans="1:2">
      <c r="A66" s="42"/>
      <c r="B66" s="42"/>
    </row>
    <row r="67" spans="1:2">
      <c r="A67" s="42"/>
      <c r="B67" s="42"/>
    </row>
    <row r="68" spans="1:2">
      <c r="A68" s="42"/>
      <c r="B6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31" workbookViewId="0">
      <selection activeCell="C30" sqref="C30"/>
    </sheetView>
  </sheetViews>
  <sheetFormatPr defaultRowHeight="12.75"/>
  <cols>
    <col min="1" max="4" width="20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83527</v>
      </c>
      <c r="F5">
        <v>105717</v>
      </c>
    </row>
    <row r="6" spans="1:6">
      <c r="A6" t="s">
        <v>377</v>
      </c>
      <c r="B6" t="s">
        <v>113</v>
      </c>
      <c r="C6" t="s">
        <v>113</v>
      </c>
      <c r="D6" t="s">
        <v>80</v>
      </c>
      <c r="E6">
        <v>1359</v>
      </c>
      <c r="F6">
        <v>1839</v>
      </c>
    </row>
    <row r="7" spans="1:6">
      <c r="A7" t="s">
        <v>378</v>
      </c>
      <c r="B7" t="s">
        <v>120</v>
      </c>
      <c r="C7" t="s">
        <v>120</v>
      </c>
      <c r="D7" t="s">
        <v>116</v>
      </c>
      <c r="E7">
        <v>204541</v>
      </c>
      <c r="F7">
        <v>201570</v>
      </c>
    </row>
    <row r="8" spans="1:6">
      <c r="A8" t="s">
        <v>379</v>
      </c>
      <c r="D8" t="s">
        <v>116</v>
      </c>
      <c r="E8">
        <v>33572</v>
      </c>
      <c r="F8">
        <v>33002</v>
      </c>
    </row>
    <row r="9" spans="1:6">
      <c r="A9" t="s">
        <v>135</v>
      </c>
      <c r="B9" t="s">
        <v>135</v>
      </c>
      <c r="C9" t="s">
        <v>135</v>
      </c>
      <c r="D9" t="s">
        <v>116</v>
      </c>
      <c r="E9">
        <v>62467</v>
      </c>
      <c r="F9">
        <v>75371</v>
      </c>
    </row>
    <row r="10" spans="1:6">
      <c r="A10" t="s">
        <v>380</v>
      </c>
      <c r="B10" t="s">
        <v>126</v>
      </c>
      <c r="C10" t="s">
        <v>126</v>
      </c>
      <c r="D10" t="s">
        <v>116</v>
      </c>
      <c r="E10">
        <v>56437</v>
      </c>
      <c r="F10">
        <v>63969</v>
      </c>
    </row>
    <row r="11" spans="1:6">
      <c r="A11" t="s">
        <v>381</v>
      </c>
      <c r="B11" t="s">
        <v>134</v>
      </c>
      <c r="C11" t="s">
        <v>134</v>
      </c>
      <c r="D11" t="s">
        <v>116</v>
      </c>
      <c r="E11">
        <v>32172</v>
      </c>
      <c r="F11">
        <v>35282</v>
      </c>
    </row>
    <row r="12" spans="1:6">
      <c r="A12" t="s">
        <v>382</v>
      </c>
      <c r="B12" t="s">
        <v>139</v>
      </c>
      <c r="C12" t="s">
        <v>139</v>
      </c>
      <c r="D12" t="s">
        <v>116</v>
      </c>
      <c r="E12">
        <v>7792</v>
      </c>
      <c r="F12">
        <v>70314</v>
      </c>
    </row>
    <row r="13" spans="1:6">
      <c r="A13" t="s">
        <v>383</v>
      </c>
      <c r="B13" t="s">
        <v>12</v>
      </c>
      <c r="C13" t="s">
        <v>12</v>
      </c>
      <c r="D13" t="s">
        <v>116</v>
      </c>
      <c r="E13">
        <v>481867</v>
      </c>
      <c r="F13">
        <v>587064</v>
      </c>
    </row>
    <row r="14" spans="1:6">
      <c r="A14" t="s">
        <v>384</v>
      </c>
      <c r="B14" t="s">
        <v>84</v>
      </c>
      <c r="C14" t="s">
        <v>84</v>
      </c>
      <c r="D14" t="s">
        <v>80</v>
      </c>
      <c r="E14">
        <v>107059</v>
      </c>
      <c r="F14">
        <v>109040</v>
      </c>
    </row>
    <row r="15" spans="1:6">
      <c r="A15" t="s">
        <v>385</v>
      </c>
      <c r="B15" t="s">
        <v>113</v>
      </c>
      <c r="C15" t="s">
        <v>113</v>
      </c>
      <c r="D15" t="s">
        <v>80</v>
      </c>
    </row>
    <row r="16" spans="1:6">
      <c r="A16" t="s">
        <v>386</v>
      </c>
      <c r="B16" t="s">
        <v>386</v>
      </c>
      <c r="C16" t="s">
        <v>91</v>
      </c>
      <c r="D16" t="s">
        <v>80</v>
      </c>
      <c r="E16">
        <v>260633</v>
      </c>
      <c r="F16">
        <v>260715</v>
      </c>
    </row>
    <row r="17" spans="1:6">
      <c r="A17" t="s">
        <v>387</v>
      </c>
      <c r="B17" t="s">
        <v>388</v>
      </c>
      <c r="C17" t="s">
        <v>93</v>
      </c>
      <c r="D17" t="s">
        <v>80</v>
      </c>
      <c r="E17">
        <v>119696</v>
      </c>
      <c r="F17">
        <v>132345</v>
      </c>
    </row>
    <row r="18" spans="1:6">
      <c r="A18" t="s">
        <v>389</v>
      </c>
      <c r="B18" t="s">
        <v>101</v>
      </c>
      <c r="C18" t="s">
        <v>101</v>
      </c>
      <c r="D18" t="s">
        <v>80</v>
      </c>
      <c r="E18">
        <v>1561</v>
      </c>
      <c r="F18">
        <v>1666</v>
      </c>
    </row>
    <row r="19" spans="1:6">
      <c r="A19" t="s">
        <v>385</v>
      </c>
      <c r="B19" t="s">
        <v>113</v>
      </c>
      <c r="C19" t="s">
        <v>113</v>
      </c>
      <c r="D19" t="s">
        <v>80</v>
      </c>
      <c r="E19">
        <v>21601</v>
      </c>
      <c r="F19">
        <v>16269</v>
      </c>
    </row>
    <row r="20" spans="1:6">
      <c r="A20" t="s">
        <v>390</v>
      </c>
      <c r="B20" t="s">
        <v>140</v>
      </c>
      <c r="C20" t="s">
        <v>140</v>
      </c>
      <c r="D20" t="s">
        <v>80</v>
      </c>
      <c r="E20">
        <v>403491</v>
      </c>
      <c r="F20">
        <v>410995</v>
      </c>
    </row>
    <row r="21" spans="1:6">
      <c r="A21" t="s">
        <v>16</v>
      </c>
      <c r="D21" t="s">
        <v>80</v>
      </c>
      <c r="E21">
        <v>992417</v>
      </c>
      <c r="F21">
        <v>1107099</v>
      </c>
    </row>
    <row r="22" spans="1:6">
      <c r="A22" t="s">
        <v>391</v>
      </c>
      <c r="D22" t="s">
        <v>80</v>
      </c>
    </row>
    <row r="23" spans="1:6">
      <c r="A23" t="s">
        <v>392</v>
      </c>
      <c r="B23" t="s">
        <v>141</v>
      </c>
      <c r="C23" t="s">
        <v>141</v>
      </c>
      <c r="D23" t="s">
        <v>141</v>
      </c>
    </row>
    <row r="24" spans="1:6">
      <c r="A24" t="s">
        <v>393</v>
      </c>
      <c r="B24" t="s">
        <v>393</v>
      </c>
      <c r="C24" t="s">
        <v>163</v>
      </c>
      <c r="D24" t="s">
        <v>141</v>
      </c>
      <c r="E24">
        <v>64562</v>
      </c>
      <c r="F24">
        <v>70611</v>
      </c>
    </row>
    <row r="25" spans="1:6">
      <c r="A25" t="s">
        <v>364</v>
      </c>
      <c r="B25" t="s">
        <v>394</v>
      </c>
      <c r="C25" t="s">
        <v>161</v>
      </c>
      <c r="D25" t="s">
        <v>141</v>
      </c>
      <c r="E25">
        <v>88020</v>
      </c>
      <c r="F25">
        <v>92011</v>
      </c>
    </row>
    <row r="26" spans="1:6">
      <c r="A26" t="s">
        <v>395</v>
      </c>
      <c r="B26" t="s">
        <v>163</v>
      </c>
      <c r="C26" t="s">
        <v>163</v>
      </c>
      <c r="D26" t="s">
        <v>141</v>
      </c>
      <c r="E26">
        <v>32339</v>
      </c>
      <c r="F26">
        <v>51597</v>
      </c>
    </row>
    <row r="27" spans="1:6">
      <c r="A27" t="s">
        <v>396</v>
      </c>
      <c r="B27" t="s">
        <v>146</v>
      </c>
      <c r="C27" t="s">
        <v>146</v>
      </c>
      <c r="D27" t="s">
        <v>141</v>
      </c>
      <c r="E27">
        <v>29469</v>
      </c>
      <c r="F27">
        <v>26555</v>
      </c>
    </row>
    <row r="28" spans="1:6">
      <c r="A28" t="s">
        <v>397</v>
      </c>
      <c r="D28" t="s">
        <v>141</v>
      </c>
      <c r="E28">
        <v>5260</v>
      </c>
      <c r="F28">
        <v>20900</v>
      </c>
    </row>
    <row r="29" spans="1:6">
      <c r="A29" t="s">
        <v>398</v>
      </c>
      <c r="B29" t="s">
        <v>13</v>
      </c>
      <c r="C29" t="s">
        <v>13</v>
      </c>
      <c r="D29" t="s">
        <v>141</v>
      </c>
      <c r="E29">
        <v>219650</v>
      </c>
      <c r="F29">
        <v>261674</v>
      </c>
    </row>
    <row r="30" spans="1:6">
      <c r="A30" t="s">
        <v>399</v>
      </c>
      <c r="B30" t="s">
        <v>146</v>
      </c>
      <c r="C30" t="s">
        <v>146</v>
      </c>
      <c r="D30" t="s">
        <v>141</v>
      </c>
      <c r="E30">
        <v>282003</v>
      </c>
      <c r="F30">
        <v>318240</v>
      </c>
    </row>
    <row r="31" spans="1:6">
      <c r="A31" t="s">
        <v>400</v>
      </c>
      <c r="B31" t="s">
        <v>178</v>
      </c>
      <c r="C31" t="s">
        <v>178</v>
      </c>
      <c r="D31" t="s">
        <v>165</v>
      </c>
      <c r="E31">
        <v>8361</v>
      </c>
      <c r="F31">
        <v>9211</v>
      </c>
    </row>
    <row r="32" spans="1:6">
      <c r="A32" t="s">
        <v>401</v>
      </c>
      <c r="B32" t="s">
        <v>163</v>
      </c>
      <c r="C32" t="s">
        <v>163</v>
      </c>
      <c r="D32" t="s">
        <v>165</v>
      </c>
      <c r="E32">
        <v>12216</v>
      </c>
      <c r="F32">
        <v>12918</v>
      </c>
    </row>
    <row r="33" spans="1:6">
      <c r="A33" t="s">
        <v>402</v>
      </c>
      <c r="B33" t="s">
        <v>164</v>
      </c>
      <c r="C33" t="s">
        <v>164</v>
      </c>
      <c r="D33" t="s">
        <v>165</v>
      </c>
      <c r="E33">
        <v>522230</v>
      </c>
      <c r="F33">
        <v>602043</v>
      </c>
    </row>
    <row r="34" spans="1:6">
      <c r="A34" t="s">
        <v>403</v>
      </c>
      <c r="B34" t="s">
        <v>180</v>
      </c>
      <c r="C34" t="s">
        <v>180</v>
      </c>
      <c r="D34" t="s">
        <v>165</v>
      </c>
    </row>
    <row r="35" spans="1:6">
      <c r="A35" t="s">
        <v>181</v>
      </c>
      <c r="B35" t="s">
        <v>181</v>
      </c>
      <c r="C35" t="s">
        <v>181</v>
      </c>
      <c r="D35" t="s">
        <v>181</v>
      </c>
    </row>
    <row r="36" spans="1:6">
      <c r="A36" t="s">
        <v>404</v>
      </c>
      <c r="B36" t="s">
        <v>183</v>
      </c>
      <c r="C36" t="s">
        <v>183</v>
      </c>
      <c r="D36" t="s">
        <v>181</v>
      </c>
    </row>
    <row r="37" spans="1:6">
      <c r="A37" t="s">
        <v>405</v>
      </c>
      <c r="B37" t="s">
        <v>182</v>
      </c>
      <c r="C37" t="s">
        <v>182</v>
      </c>
      <c r="D37" t="s">
        <v>181</v>
      </c>
    </row>
    <row r="38" spans="1:6">
      <c r="D38" t="s">
        <v>181</v>
      </c>
      <c r="E38">
        <v>319</v>
      </c>
      <c r="F38">
        <v>325</v>
      </c>
    </row>
    <row r="39" spans="1:6">
      <c r="A39" t="s">
        <v>406</v>
      </c>
      <c r="D39" t="s">
        <v>181</v>
      </c>
    </row>
    <row r="40" spans="1:6">
      <c r="A40" t="s">
        <v>407</v>
      </c>
      <c r="B40" t="s">
        <v>182</v>
      </c>
      <c r="C40" t="s">
        <v>182</v>
      </c>
      <c r="D40" t="s">
        <v>181</v>
      </c>
      <c r="E40">
        <v>122818</v>
      </c>
      <c r="F40">
        <v>140749</v>
      </c>
    </row>
    <row r="41" spans="1:6">
      <c r="A41" t="s">
        <v>408</v>
      </c>
      <c r="B41" t="s">
        <v>187</v>
      </c>
      <c r="C41" t="s">
        <v>187</v>
      </c>
      <c r="D41" t="s">
        <v>181</v>
      </c>
      <c r="E41">
        <v>379890</v>
      </c>
      <c r="F41">
        <v>376694</v>
      </c>
    </row>
    <row r="42" spans="1:6">
      <c r="A42" t="s">
        <v>409</v>
      </c>
      <c r="B42" t="s">
        <v>189</v>
      </c>
      <c r="C42" t="s">
        <v>189</v>
      </c>
      <c r="D42" t="s">
        <v>181</v>
      </c>
      <c r="E42">
        <v>-40290</v>
      </c>
      <c r="F42">
        <v>-23522</v>
      </c>
    </row>
    <row r="43" spans="1:6">
      <c r="A43" t="s">
        <v>410</v>
      </c>
      <c r="B43" t="s">
        <v>195</v>
      </c>
      <c r="C43" t="s">
        <v>195</v>
      </c>
      <c r="D43" t="s">
        <v>181</v>
      </c>
      <c r="E43">
        <v>462737</v>
      </c>
      <c r="F43">
        <v>494246</v>
      </c>
    </row>
    <row r="44" spans="1:6">
      <c r="A44" t="s">
        <v>411</v>
      </c>
      <c r="B44" t="s">
        <v>67</v>
      </c>
      <c r="C44" t="s">
        <v>67</v>
      </c>
      <c r="D44" t="s">
        <v>181</v>
      </c>
      <c r="E44">
        <v>7450</v>
      </c>
      <c r="F44">
        <v>10810</v>
      </c>
    </row>
    <row r="45" spans="1:6">
      <c r="A45" t="s">
        <v>412</v>
      </c>
      <c r="B45" t="s">
        <v>195</v>
      </c>
      <c r="C45" t="s">
        <v>195</v>
      </c>
      <c r="D45" t="s">
        <v>181</v>
      </c>
      <c r="E45">
        <v>470187</v>
      </c>
      <c r="F45">
        <v>505056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B11" sqref="B11"/>
    </sheetView>
  </sheetViews>
  <sheetFormatPr defaultRowHeight="12.75"/>
  <cols>
    <col min="1" max="4" width="20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413</v>
      </c>
      <c r="B3" t="s">
        <v>414</v>
      </c>
      <c r="C3" t="s">
        <v>26</v>
      </c>
      <c r="D3" t="s">
        <v>414</v>
      </c>
      <c r="E3">
        <v>1333568</v>
      </c>
      <c r="F3">
        <v>1359019</v>
      </c>
      <c r="G3">
        <v>1221920</v>
      </c>
    </row>
    <row r="4" spans="1:7">
      <c r="A4" t="s">
        <v>415</v>
      </c>
      <c r="B4" t="s">
        <v>27</v>
      </c>
      <c r="C4" t="s">
        <v>27</v>
      </c>
      <c r="D4" t="s">
        <v>414</v>
      </c>
      <c r="E4">
        <v>1066642</v>
      </c>
      <c r="F4">
        <v>1074207</v>
      </c>
      <c r="G4">
        <v>967993</v>
      </c>
    </row>
    <row r="5" spans="1:7">
      <c r="A5" t="s">
        <v>416</v>
      </c>
      <c r="B5" t="s">
        <v>417</v>
      </c>
      <c r="C5" t="s">
        <v>32</v>
      </c>
      <c r="D5" t="s">
        <v>414</v>
      </c>
      <c r="E5">
        <v>266926</v>
      </c>
      <c r="F5">
        <v>284812</v>
      </c>
      <c r="G5">
        <v>253927</v>
      </c>
    </row>
    <row r="6" spans="1:7">
      <c r="A6" t="s">
        <v>418</v>
      </c>
      <c r="B6" t="s">
        <v>58</v>
      </c>
      <c r="C6" t="s">
        <v>58</v>
      </c>
      <c r="D6" t="s">
        <v>414</v>
      </c>
      <c r="E6">
        <v>219823</v>
      </c>
      <c r="F6">
        <v>226173</v>
      </c>
      <c r="G6">
        <v>197897</v>
      </c>
    </row>
    <row r="7" spans="1:7">
      <c r="A7" t="s">
        <v>419</v>
      </c>
      <c r="D7" t="s">
        <v>414</v>
      </c>
      <c r="E7">
        <v>1389</v>
      </c>
      <c r="F7">
        <v>45390</v>
      </c>
    </row>
    <row r="8" spans="1:7">
      <c r="A8" t="s">
        <v>420</v>
      </c>
      <c r="D8" t="s">
        <v>414</v>
      </c>
      <c r="E8">
        <v>2169</v>
      </c>
      <c r="F8">
        <v>41032</v>
      </c>
    </row>
    <row r="9" spans="1:7">
      <c r="A9" t="s">
        <v>421</v>
      </c>
      <c r="B9" t="s">
        <v>36</v>
      </c>
      <c r="C9" t="s">
        <v>36</v>
      </c>
      <c r="D9" t="s">
        <v>414</v>
      </c>
      <c r="G9">
        <v>-6625</v>
      </c>
    </row>
    <row r="10" spans="1:7">
      <c r="A10" t="s">
        <v>422</v>
      </c>
      <c r="D10" t="s">
        <v>414</v>
      </c>
      <c r="E10">
        <v>7004</v>
      </c>
      <c r="F10">
        <v>2923</v>
      </c>
      <c r="G10">
        <v>2696</v>
      </c>
    </row>
    <row r="11" spans="1:7">
      <c r="A11" t="s">
        <v>423</v>
      </c>
      <c r="B11" t="s">
        <v>58</v>
      </c>
      <c r="C11" t="s">
        <v>58</v>
      </c>
      <c r="D11" t="s">
        <v>414</v>
      </c>
      <c r="E11">
        <v>-6894</v>
      </c>
      <c r="F11">
        <v>-12814</v>
      </c>
      <c r="G11">
        <v>9168</v>
      </c>
    </row>
    <row r="12" spans="1:7">
      <c r="A12" t="s">
        <v>424</v>
      </c>
      <c r="B12" t="s">
        <v>425</v>
      </c>
      <c r="C12" t="s">
        <v>46</v>
      </c>
      <c r="D12" t="s">
        <v>414</v>
      </c>
      <c r="E12">
        <v>29647</v>
      </c>
      <c r="F12">
        <v>-43520</v>
      </c>
      <c r="G12">
        <v>50791</v>
      </c>
    </row>
    <row r="13" spans="1:7">
      <c r="A13" t="s">
        <v>426</v>
      </c>
      <c r="B13" t="s">
        <v>56</v>
      </c>
      <c r="C13" t="s">
        <v>56</v>
      </c>
      <c r="D13" t="s">
        <v>414</v>
      </c>
    </row>
    <row r="14" spans="1:7">
      <c r="A14" t="s">
        <v>427</v>
      </c>
      <c r="B14" t="s">
        <v>51</v>
      </c>
      <c r="C14" t="s">
        <v>51</v>
      </c>
      <c r="D14" t="s">
        <v>414</v>
      </c>
      <c r="E14">
        <v>-17327</v>
      </c>
      <c r="F14">
        <v>-16001</v>
      </c>
      <c r="G14">
        <v>-15029</v>
      </c>
    </row>
    <row r="15" spans="1:7">
      <c r="A15" t="s">
        <v>428</v>
      </c>
      <c r="B15" t="s">
        <v>54</v>
      </c>
      <c r="C15" t="s">
        <v>54</v>
      </c>
      <c r="D15" t="s">
        <v>414</v>
      </c>
      <c r="E15">
        <v>516</v>
      </c>
      <c r="F15">
        <v>145</v>
      </c>
      <c r="G15">
        <v>166</v>
      </c>
    </row>
    <row r="16" spans="1:7">
      <c r="A16" t="s">
        <v>429</v>
      </c>
      <c r="D16" t="s">
        <v>414</v>
      </c>
      <c r="E16">
        <v>-9881</v>
      </c>
      <c r="F16">
        <v>-2201</v>
      </c>
      <c r="G16">
        <v>-694</v>
      </c>
    </row>
    <row r="17" spans="1:7">
      <c r="A17" t="s">
        <v>430</v>
      </c>
      <c r="B17" t="s">
        <v>431</v>
      </c>
      <c r="C17" t="s">
        <v>58</v>
      </c>
      <c r="D17" t="s">
        <v>414</v>
      </c>
      <c r="E17">
        <v>-26692</v>
      </c>
      <c r="F17">
        <v>-18057</v>
      </c>
      <c r="G17">
        <v>-15557</v>
      </c>
    </row>
    <row r="18" spans="1:7">
      <c r="A18" t="s">
        <v>432</v>
      </c>
      <c r="B18" t="s">
        <v>433</v>
      </c>
      <c r="C18" t="s">
        <v>61</v>
      </c>
      <c r="D18" t="s">
        <v>414</v>
      </c>
      <c r="E18">
        <v>2955</v>
      </c>
      <c r="F18">
        <v>-61577</v>
      </c>
      <c r="G18">
        <v>35234</v>
      </c>
    </row>
    <row r="19" spans="1:7">
      <c r="A19" t="s">
        <v>434</v>
      </c>
      <c r="B19" t="s">
        <v>62</v>
      </c>
      <c r="C19" t="s">
        <v>62</v>
      </c>
      <c r="D19" t="s">
        <v>414</v>
      </c>
      <c r="E19">
        <v>-132</v>
      </c>
      <c r="F19">
        <v>5005</v>
      </c>
      <c r="G19">
        <v>6109</v>
      </c>
    </row>
    <row r="20" spans="1:7">
      <c r="A20" t="s">
        <v>435</v>
      </c>
      <c r="D20" t="s">
        <v>414</v>
      </c>
      <c r="E20">
        <v>3087</v>
      </c>
      <c r="F20">
        <v>-66582</v>
      </c>
      <c r="G20">
        <v>29125</v>
      </c>
    </row>
    <row r="21" spans="1:7">
      <c r="A21" t="s">
        <v>436</v>
      </c>
      <c r="B21" t="s">
        <v>437</v>
      </c>
      <c r="C21" t="s">
        <v>67</v>
      </c>
      <c r="D21" t="s">
        <v>414</v>
      </c>
      <c r="E21">
        <v>-159</v>
      </c>
      <c r="F21">
        <v>-2819</v>
      </c>
      <c r="G21">
        <v>328</v>
      </c>
    </row>
    <row r="22" spans="1:7">
      <c r="A22" t="s">
        <v>438</v>
      </c>
      <c r="D22" t="s">
        <v>414</v>
      </c>
      <c r="E22">
        <v>2928</v>
      </c>
      <c r="F22">
        <v>-69401</v>
      </c>
      <c r="G22">
        <v>29453</v>
      </c>
    </row>
    <row r="23" spans="1:7">
      <c r="A23" t="s">
        <v>439</v>
      </c>
      <c r="D23" t="s">
        <v>414</v>
      </c>
    </row>
    <row r="24" spans="1:7">
      <c r="A24" t="s">
        <v>440</v>
      </c>
      <c r="D24" t="s">
        <v>414</v>
      </c>
      <c r="E24">
        <v>9</v>
      </c>
      <c r="F24">
        <v>-209</v>
      </c>
      <c r="G24">
        <v>85</v>
      </c>
    </row>
    <row r="25" spans="1:7">
      <c r="D25" t="s">
        <v>414</v>
      </c>
      <c r="E25">
        <v>2018</v>
      </c>
      <c r="F25">
        <v>2017</v>
      </c>
      <c r="G25">
        <v>2016</v>
      </c>
    </row>
    <row r="26" spans="1:7">
      <c r="A26" t="s">
        <v>435</v>
      </c>
      <c r="B26" t="s">
        <v>70</v>
      </c>
      <c r="C26" t="s">
        <v>70</v>
      </c>
      <c r="D26" t="s">
        <v>414</v>
      </c>
      <c r="E26">
        <v>3087</v>
      </c>
      <c r="F26">
        <v>-66582</v>
      </c>
      <c r="G26">
        <v>29125</v>
      </c>
    </row>
    <row r="27" spans="1:7">
      <c r="A27" t="s">
        <v>441</v>
      </c>
      <c r="B27" t="s">
        <v>442</v>
      </c>
      <c r="C27" t="s">
        <v>442</v>
      </c>
      <c r="D27" t="s">
        <v>414</v>
      </c>
    </row>
    <row r="28" spans="1:7">
      <c r="A28" t="s">
        <v>443</v>
      </c>
      <c r="D28" t="s">
        <v>414</v>
      </c>
      <c r="E28">
        <v>-14651</v>
      </c>
      <c r="F28">
        <v>20839</v>
      </c>
      <c r="G28">
        <v>-6343</v>
      </c>
    </row>
    <row r="29" spans="1:7">
      <c r="A29" t="s">
        <v>444</v>
      </c>
      <c r="D29" t="s">
        <v>414</v>
      </c>
      <c r="E29">
        <v>-1621</v>
      </c>
      <c r="F29">
        <v>1402</v>
      </c>
      <c r="G29">
        <v>746</v>
      </c>
    </row>
    <row r="30" spans="1:7">
      <c r="A30" t="s">
        <v>445</v>
      </c>
      <c r="D30" t="s">
        <v>414</v>
      </c>
      <c r="E30">
        <v>-654</v>
      </c>
      <c r="F30">
        <v>93</v>
      </c>
      <c r="G30">
        <v>-8</v>
      </c>
    </row>
    <row r="31" spans="1:7">
      <c r="A31" t="s">
        <v>446</v>
      </c>
      <c r="B31" t="s">
        <v>447</v>
      </c>
      <c r="C31" t="s">
        <v>442</v>
      </c>
      <c r="D31" t="s">
        <v>414</v>
      </c>
      <c r="E31">
        <v>-13839</v>
      </c>
      <c r="F31">
        <v>-44248</v>
      </c>
      <c r="G31">
        <v>23520</v>
      </c>
    </row>
    <row r="32" spans="1:7">
      <c r="A32" t="s">
        <v>448</v>
      </c>
      <c r="B32" t="s">
        <v>67</v>
      </c>
      <c r="C32" t="s">
        <v>67</v>
      </c>
      <c r="D32" t="s">
        <v>414</v>
      </c>
      <c r="E32">
        <v>-1</v>
      </c>
      <c r="F32">
        <v>-3040</v>
      </c>
      <c r="G32">
        <v>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workbookViewId="0"/>
  </sheetViews>
  <sheetFormatPr defaultRowHeight="12.75"/>
  <cols>
    <col min="1" max="4" width="20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449</v>
      </c>
      <c r="B3" t="s">
        <v>231</v>
      </c>
      <c r="C3" t="s">
        <v>231</v>
      </c>
      <c r="D3" t="s">
        <v>450</v>
      </c>
    </row>
    <row r="4" spans="1:7">
      <c r="A4" t="s">
        <v>435</v>
      </c>
      <c r="B4" t="s">
        <v>232</v>
      </c>
      <c r="C4" t="s">
        <v>232</v>
      </c>
      <c r="D4" t="s">
        <v>450</v>
      </c>
      <c r="E4">
        <v>3087</v>
      </c>
      <c r="F4">
        <v>-66582</v>
      </c>
      <c r="G4">
        <v>29125</v>
      </c>
    </row>
    <row r="5" spans="1:7">
      <c r="A5" t="s">
        <v>451</v>
      </c>
    </row>
    <row r="6" spans="1:7">
      <c r="A6" t="s">
        <v>452</v>
      </c>
      <c r="B6" t="s">
        <v>236</v>
      </c>
      <c r="C6" t="s">
        <v>236</v>
      </c>
      <c r="D6" t="s">
        <v>450</v>
      </c>
      <c r="E6">
        <v>37855</v>
      </c>
      <c r="F6">
        <v>44419</v>
      </c>
      <c r="G6">
        <v>46719</v>
      </c>
    </row>
    <row r="7" spans="1:7">
      <c r="A7" t="s">
        <v>453</v>
      </c>
      <c r="B7" t="s">
        <v>245</v>
      </c>
      <c r="C7" t="s">
        <v>245</v>
      </c>
      <c r="D7" t="s">
        <v>450</v>
      </c>
      <c r="E7">
        <v>143</v>
      </c>
      <c r="F7">
        <v>-59</v>
      </c>
      <c r="G7">
        <v>-1916</v>
      </c>
    </row>
    <row r="8" spans="1:7">
      <c r="A8" t="s">
        <v>454</v>
      </c>
      <c r="B8" t="s">
        <v>248</v>
      </c>
      <c r="C8" t="s">
        <v>248</v>
      </c>
      <c r="D8" t="s">
        <v>450</v>
      </c>
      <c r="E8">
        <v>7838</v>
      </c>
      <c r="F8">
        <v>10060</v>
      </c>
      <c r="G8">
        <v>10059</v>
      </c>
    </row>
    <row r="9" spans="1:7">
      <c r="A9" t="s">
        <v>455</v>
      </c>
      <c r="B9" t="s">
        <v>269</v>
      </c>
      <c r="C9" t="s">
        <v>269</v>
      </c>
      <c r="E9">
        <v>-648</v>
      </c>
      <c r="F9">
        <v>-9376</v>
      </c>
      <c r="G9">
        <v>1772</v>
      </c>
    </row>
    <row r="10" spans="1:7">
      <c r="A10" t="s">
        <v>456</v>
      </c>
      <c r="E10">
        <v>13814</v>
      </c>
      <c r="F10">
        <v>10080</v>
      </c>
      <c r="G10">
        <v>300</v>
      </c>
    </row>
    <row r="11" spans="1:7">
      <c r="A11" t="s">
        <v>457</v>
      </c>
      <c r="G11">
        <v>-3000</v>
      </c>
    </row>
    <row r="12" spans="1:7">
      <c r="A12" t="s">
        <v>419</v>
      </c>
      <c r="B12" t="s">
        <v>240</v>
      </c>
      <c r="C12" t="s">
        <v>240</v>
      </c>
      <c r="D12" t="s">
        <v>450</v>
      </c>
      <c r="E12">
        <v>1389</v>
      </c>
      <c r="F12">
        <v>45390</v>
      </c>
    </row>
    <row r="13" spans="1:7">
      <c r="A13" t="s">
        <v>420</v>
      </c>
      <c r="B13" t="s">
        <v>240</v>
      </c>
      <c r="C13" t="s">
        <v>240</v>
      </c>
      <c r="D13" t="s">
        <v>450</v>
      </c>
      <c r="E13">
        <v>2169</v>
      </c>
      <c r="F13">
        <v>41032</v>
      </c>
    </row>
    <row r="14" spans="1:7">
      <c r="A14" t="s">
        <v>458</v>
      </c>
      <c r="B14" t="s">
        <v>244</v>
      </c>
      <c r="C14" t="s">
        <v>244</v>
      </c>
      <c r="D14" t="s">
        <v>450</v>
      </c>
      <c r="E14">
        <v>7048</v>
      </c>
    </row>
    <row r="15" spans="1:7">
      <c r="A15" t="s">
        <v>459</v>
      </c>
      <c r="B15" t="s">
        <v>241</v>
      </c>
      <c r="C15" t="s">
        <v>241</v>
      </c>
      <c r="D15" t="s">
        <v>450</v>
      </c>
      <c r="E15">
        <v>623</v>
      </c>
      <c r="F15">
        <v>2152</v>
      </c>
      <c r="G15">
        <v>911</v>
      </c>
    </row>
    <row r="16" spans="1:7">
      <c r="A16" t="s">
        <v>429</v>
      </c>
      <c r="B16" t="s">
        <v>251</v>
      </c>
      <c r="C16" t="s">
        <v>251</v>
      </c>
      <c r="D16" t="s">
        <v>450</v>
      </c>
      <c r="E16">
        <v>1278</v>
      </c>
      <c r="F16">
        <v>-1562</v>
      </c>
      <c r="G16">
        <v>-1044</v>
      </c>
    </row>
    <row r="17" spans="1:7">
      <c r="A17" t="s">
        <v>460</v>
      </c>
      <c r="B17" t="s">
        <v>251</v>
      </c>
      <c r="C17" t="s">
        <v>251</v>
      </c>
      <c r="D17" t="s">
        <v>450</v>
      </c>
    </row>
    <row r="18" spans="1:7">
      <c r="A18" t="s">
        <v>461</v>
      </c>
      <c r="D18" t="s">
        <v>450</v>
      </c>
      <c r="E18">
        <v>-6821</v>
      </c>
      <c r="F18">
        <v>-29847</v>
      </c>
      <c r="G18">
        <v>52774</v>
      </c>
    </row>
    <row r="19" spans="1:7">
      <c r="A19" t="s">
        <v>380</v>
      </c>
      <c r="B19" t="s">
        <v>261</v>
      </c>
      <c r="C19" t="s">
        <v>261</v>
      </c>
      <c r="D19" t="s">
        <v>450</v>
      </c>
      <c r="E19">
        <v>2306</v>
      </c>
      <c r="F19">
        <v>-1926</v>
      </c>
      <c r="G19">
        <v>-2569</v>
      </c>
    </row>
    <row r="20" spans="1:7">
      <c r="A20" t="s">
        <v>462</v>
      </c>
      <c r="B20" t="s">
        <v>264</v>
      </c>
      <c r="C20" t="s">
        <v>264</v>
      </c>
      <c r="D20" t="s">
        <v>450</v>
      </c>
      <c r="E20">
        <v>614</v>
      </c>
      <c r="F20">
        <v>8732</v>
      </c>
      <c r="G20">
        <v>16759</v>
      </c>
    </row>
    <row r="21" spans="1:7">
      <c r="A21" t="s">
        <v>463</v>
      </c>
      <c r="B21" t="s">
        <v>273</v>
      </c>
      <c r="C21" t="s">
        <v>273</v>
      </c>
      <c r="D21" t="s">
        <v>450</v>
      </c>
      <c r="E21">
        <v>-7339</v>
      </c>
      <c r="F21">
        <v>18803</v>
      </c>
      <c r="G21">
        <v>-50022</v>
      </c>
    </row>
    <row r="22" spans="1:7">
      <c r="A22" t="s">
        <v>395</v>
      </c>
      <c r="B22" t="s">
        <v>268</v>
      </c>
      <c r="C22" t="s">
        <v>268</v>
      </c>
      <c r="D22" t="s">
        <v>450</v>
      </c>
      <c r="E22">
        <v>-24144</v>
      </c>
      <c r="F22">
        <v>-5924</v>
      </c>
      <c r="G22">
        <v>-27761</v>
      </c>
    </row>
    <row r="23" spans="1:7">
      <c r="A23" t="s">
        <v>464</v>
      </c>
      <c r="D23" t="s">
        <v>450</v>
      </c>
      <c r="E23">
        <v>457</v>
      </c>
      <c r="F23">
        <v>-1798</v>
      </c>
      <c r="G23">
        <v>-946</v>
      </c>
    </row>
    <row r="24" spans="1:7">
      <c r="A24" t="s">
        <v>465</v>
      </c>
      <c r="B24" t="s">
        <v>285</v>
      </c>
      <c r="C24" t="s">
        <v>285</v>
      </c>
      <c r="D24" t="s">
        <v>450</v>
      </c>
      <c r="E24">
        <v>39669</v>
      </c>
      <c r="F24">
        <v>63594</v>
      </c>
      <c r="G24">
        <v>71161</v>
      </c>
    </row>
    <row r="25" spans="1:7">
      <c r="A25" t="s">
        <v>466</v>
      </c>
      <c r="B25" t="s">
        <v>231</v>
      </c>
      <c r="C25" t="s">
        <v>231</v>
      </c>
      <c r="D25" t="s">
        <v>467</v>
      </c>
    </row>
    <row r="26" spans="1:7">
      <c r="A26" t="s">
        <v>468</v>
      </c>
      <c r="B26" t="s">
        <v>287</v>
      </c>
      <c r="C26" t="s">
        <v>287</v>
      </c>
      <c r="D26" t="s">
        <v>467</v>
      </c>
      <c r="E26">
        <v>-30514</v>
      </c>
      <c r="F26">
        <v>-30830</v>
      </c>
      <c r="G26">
        <v>-38760</v>
      </c>
    </row>
    <row r="27" spans="1:7">
      <c r="A27" t="s">
        <v>469</v>
      </c>
      <c r="B27" t="s">
        <v>288</v>
      </c>
      <c r="C27" t="s">
        <v>288</v>
      </c>
      <c r="D27" t="s">
        <v>467</v>
      </c>
      <c r="E27">
        <v>3036</v>
      </c>
      <c r="F27">
        <v>707</v>
      </c>
      <c r="G27">
        <v>3310</v>
      </c>
    </row>
    <row r="28" spans="1:7">
      <c r="A28" t="s">
        <v>470</v>
      </c>
      <c r="D28" t="s">
        <v>467</v>
      </c>
      <c r="E28">
        <v>-299</v>
      </c>
      <c r="F28">
        <v>-379</v>
      </c>
      <c r="G28">
        <v>-1043</v>
      </c>
    </row>
    <row r="29" spans="1:7">
      <c r="A29" t="s">
        <v>471</v>
      </c>
      <c r="D29" t="s">
        <v>467</v>
      </c>
      <c r="G29">
        <v>-84740</v>
      </c>
    </row>
    <row r="30" spans="1:7">
      <c r="A30" t="s">
        <v>472</v>
      </c>
      <c r="B30" t="s">
        <v>287</v>
      </c>
      <c r="C30" t="s">
        <v>287</v>
      </c>
      <c r="D30" t="s">
        <v>467</v>
      </c>
      <c r="E30">
        <v>-9000</v>
      </c>
      <c r="F30">
        <v>-9045</v>
      </c>
      <c r="G30">
        <v>-11567</v>
      </c>
    </row>
    <row r="31" spans="1:7">
      <c r="A31" t="s">
        <v>473</v>
      </c>
      <c r="D31" t="s">
        <v>467</v>
      </c>
      <c r="E31">
        <v>37942</v>
      </c>
    </row>
    <row r="32" spans="1:7">
      <c r="A32" t="s">
        <v>474</v>
      </c>
      <c r="D32" t="s">
        <v>467</v>
      </c>
      <c r="G32">
        <v>6599</v>
      </c>
    </row>
    <row r="33" spans="1:7">
      <c r="A33" t="s">
        <v>475</v>
      </c>
      <c r="B33" t="s">
        <v>297</v>
      </c>
      <c r="C33" t="s">
        <v>297</v>
      </c>
      <c r="D33" t="s">
        <v>476</v>
      </c>
    </row>
    <row r="34" spans="1:7">
      <c r="A34" t="s">
        <v>477</v>
      </c>
      <c r="B34" t="s">
        <v>298</v>
      </c>
      <c r="C34" t="s">
        <v>298</v>
      </c>
      <c r="D34" t="s">
        <v>476</v>
      </c>
    </row>
    <row r="35" spans="1:7">
      <c r="D35" t="s">
        <v>467</v>
      </c>
      <c r="F35">
        <v>823</v>
      </c>
      <c r="G35">
        <v>1818</v>
      </c>
    </row>
    <row r="36" spans="1:7">
      <c r="A36" t="s">
        <v>478</v>
      </c>
      <c r="D36" t="s">
        <v>467</v>
      </c>
    </row>
    <row r="37" spans="1:7">
      <c r="A37" t="s">
        <v>479</v>
      </c>
      <c r="B37" t="s">
        <v>298</v>
      </c>
      <c r="C37" t="s">
        <v>298</v>
      </c>
      <c r="D37" t="s">
        <v>476</v>
      </c>
      <c r="E37">
        <v>-25775</v>
      </c>
      <c r="F37">
        <v>-37849</v>
      </c>
      <c r="G37">
        <v>-44454</v>
      </c>
    </row>
    <row r="38" spans="1:7">
      <c r="A38" t="s">
        <v>480</v>
      </c>
      <c r="B38" t="s">
        <v>318</v>
      </c>
      <c r="C38" t="s">
        <v>318</v>
      </c>
      <c r="D38" t="s">
        <v>467</v>
      </c>
      <c r="F38">
        <v>158</v>
      </c>
    </row>
    <row r="39" spans="1:7">
      <c r="A39" t="s">
        <v>481</v>
      </c>
      <c r="D39" t="s">
        <v>467</v>
      </c>
      <c r="F39">
        <v>-71</v>
      </c>
      <c r="G39">
        <v>-1276</v>
      </c>
    </row>
    <row r="40" spans="1:7">
      <c r="A40" t="s">
        <v>482</v>
      </c>
      <c r="B40" t="s">
        <v>277</v>
      </c>
      <c r="C40" t="s">
        <v>277</v>
      </c>
      <c r="D40" t="s">
        <v>450</v>
      </c>
      <c r="F40">
        <v>-500</v>
      </c>
      <c r="G40">
        <v>-500</v>
      </c>
    </row>
    <row r="41" spans="1:7">
      <c r="A41" t="s">
        <v>483</v>
      </c>
      <c r="D41" t="s">
        <v>467</v>
      </c>
      <c r="E41">
        <v>-1657</v>
      </c>
    </row>
    <row r="42" spans="1:7">
      <c r="A42" t="s">
        <v>484</v>
      </c>
      <c r="B42" t="s">
        <v>299</v>
      </c>
      <c r="C42" t="s">
        <v>299</v>
      </c>
      <c r="D42" t="s">
        <v>476</v>
      </c>
      <c r="E42">
        <v>234</v>
      </c>
      <c r="F42">
        <v>639</v>
      </c>
    </row>
    <row r="43" spans="1:7">
      <c r="A43" t="s">
        <v>485</v>
      </c>
      <c r="B43" t="s">
        <v>291</v>
      </c>
      <c r="C43" t="s">
        <v>291</v>
      </c>
      <c r="D43" t="s">
        <v>467</v>
      </c>
      <c r="E43">
        <v>-7000</v>
      </c>
      <c r="F43">
        <v>2000</v>
      </c>
      <c r="G43">
        <v>36000</v>
      </c>
    </row>
    <row r="44" spans="1:7">
      <c r="A44" t="s">
        <v>486</v>
      </c>
      <c r="B44" t="s">
        <v>302</v>
      </c>
      <c r="C44" t="s">
        <v>302</v>
      </c>
      <c r="D44" t="s">
        <v>476</v>
      </c>
      <c r="E44">
        <v>-26250</v>
      </c>
      <c r="F44">
        <v>-21647</v>
      </c>
      <c r="G44">
        <v>-17500</v>
      </c>
    </row>
    <row r="45" spans="1:7">
      <c r="A45" t="s">
        <v>487</v>
      </c>
      <c r="B45" t="s">
        <v>311</v>
      </c>
      <c r="C45" t="s">
        <v>311</v>
      </c>
      <c r="D45" t="s">
        <v>476</v>
      </c>
      <c r="E45">
        <v>-60448</v>
      </c>
      <c r="F45">
        <v>-56447</v>
      </c>
      <c r="G45">
        <v>-25912</v>
      </c>
    </row>
    <row r="46" spans="1:7">
      <c r="A46" t="s">
        <v>488</v>
      </c>
      <c r="B46" t="s">
        <v>313</v>
      </c>
      <c r="C46" t="s">
        <v>313</v>
      </c>
      <c r="D46" t="s">
        <v>476</v>
      </c>
      <c r="E46">
        <v>-4045</v>
      </c>
      <c r="F46">
        <v>6553</v>
      </c>
      <c r="G46">
        <v>-2148</v>
      </c>
    </row>
    <row r="47" spans="1:7">
      <c r="A47" t="s">
        <v>489</v>
      </c>
      <c r="B47" t="s">
        <v>490</v>
      </c>
      <c r="C47" t="s">
        <v>312</v>
      </c>
      <c r="D47" t="s">
        <v>476</v>
      </c>
      <c r="E47">
        <v>-23659</v>
      </c>
      <c r="F47">
        <v>-25847</v>
      </c>
      <c r="G47">
        <v>-83100</v>
      </c>
    </row>
    <row r="48" spans="1:7">
      <c r="A48" t="s">
        <v>491</v>
      </c>
      <c r="B48" t="s">
        <v>492</v>
      </c>
      <c r="C48" t="s">
        <v>315</v>
      </c>
      <c r="D48" t="s">
        <v>476</v>
      </c>
      <c r="E48">
        <v>108545</v>
      </c>
      <c r="F48">
        <v>134392</v>
      </c>
      <c r="G48">
        <v>217492</v>
      </c>
    </row>
    <row r="49" spans="1:7">
      <c r="A49" t="s">
        <v>493</v>
      </c>
      <c r="B49" t="s">
        <v>316</v>
      </c>
      <c r="C49" t="s">
        <v>316</v>
      </c>
      <c r="D49" t="s">
        <v>476</v>
      </c>
      <c r="E49">
        <v>84886</v>
      </c>
      <c r="F49">
        <v>108545</v>
      </c>
      <c r="G49">
        <v>134392</v>
      </c>
    </row>
    <row r="50" spans="1:7">
      <c r="A50" t="s">
        <v>494</v>
      </c>
      <c r="D50" t="s">
        <v>476</v>
      </c>
      <c r="F50">
        <v>-989</v>
      </c>
    </row>
    <row r="51" spans="1:7">
      <c r="A51" t="s">
        <v>493</v>
      </c>
      <c r="B51" t="s">
        <v>316</v>
      </c>
      <c r="C51" t="s">
        <v>316</v>
      </c>
      <c r="D51" t="s">
        <v>476</v>
      </c>
      <c r="E51">
        <v>84886</v>
      </c>
      <c r="F51">
        <v>107556</v>
      </c>
      <c r="G51">
        <v>134392</v>
      </c>
    </row>
    <row r="52" spans="1:7">
      <c r="A52" t="s">
        <v>495</v>
      </c>
      <c r="D52" t="s">
        <v>476</v>
      </c>
    </row>
    <row r="53" spans="1:7">
      <c r="A53" t="s">
        <v>496</v>
      </c>
      <c r="D53" t="s">
        <v>476</v>
      </c>
    </row>
    <row r="54" spans="1:7">
      <c r="A54" t="s">
        <v>497</v>
      </c>
      <c r="B54" t="s">
        <v>243</v>
      </c>
      <c r="C54" t="s">
        <v>243</v>
      </c>
      <c r="D54" t="s">
        <v>476</v>
      </c>
      <c r="E54">
        <v>15622</v>
      </c>
      <c r="F54">
        <v>14998</v>
      </c>
      <c r="G54">
        <v>11118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9B425D-C3FE-42AB-A557-788058486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0355D8-9BAD-4977-B3D3-E1F552B799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544E5E-8FC2-4947-B8B3-F2766CDC4C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2021-10-07T05:40:57Z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