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 l="1"/>
  <c r="F184" i="1"/>
  <c r="G92" i="1"/>
  <c r="F92" i="1"/>
  <c r="G60" i="1"/>
  <c r="F60" i="1"/>
  <c r="G25" i="1"/>
  <c r="F25" i="1"/>
  <c r="G24" i="1"/>
  <c r="F24" i="1"/>
  <c r="G433" i="1" l="1"/>
  <c r="F433" i="1"/>
  <c r="G432" i="1"/>
  <c r="F432" i="1"/>
  <c r="G417" i="1"/>
  <c r="G418" i="1" s="1"/>
  <c r="F417" i="1"/>
  <c r="F418" i="1" s="1"/>
  <c r="G410" i="1"/>
  <c r="G409" i="1"/>
  <c r="G397" i="1"/>
  <c r="F397" i="1"/>
  <c r="F409" i="1" s="1"/>
  <c r="F410" i="1" s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2" i="1" s="1"/>
  <c r="F161" i="1"/>
  <c r="F8" i="1" s="1"/>
  <c r="F12" i="1" s="1"/>
  <c r="F376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3" i="1"/>
  <c r="F382" i="1"/>
  <c r="G383" i="1"/>
  <c r="I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J383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H384" i="1"/>
  <c r="F44" i="1"/>
  <c r="H363" i="1"/>
  <c r="K383" i="1"/>
  <c r="G44" i="1"/>
  <c r="I363" i="1"/>
  <c r="G12" i="1" l="1"/>
  <c r="G14" i="1" s="1"/>
  <c r="F14" i="1"/>
  <c r="F378" i="1"/>
  <c r="F59" i="1"/>
  <c r="F67" i="1" s="1"/>
  <c r="F71" i="1" s="1"/>
  <c r="F370" i="1"/>
  <c r="G378" i="1"/>
  <c r="G59" i="1"/>
  <c r="G67" i="1" s="1"/>
  <c r="G71" i="1" s="1"/>
  <c r="G370" i="1"/>
  <c r="G366" i="1" l="1"/>
  <c r="G376" i="1"/>
  <c r="F366" i="1"/>
  <c r="G373" i="1"/>
  <c r="G83" i="1"/>
  <c r="G6" i="1"/>
  <c r="G372" i="1"/>
  <c r="F373" i="1"/>
  <c r="F83" i="1"/>
  <c r="F6" i="1"/>
  <c r="F372" i="1"/>
  <c r="F365" i="1" l="1"/>
  <c r="F371" i="1"/>
  <c r="G365" i="1"/>
  <c r="G371" i="1"/>
</calcChain>
</file>

<file path=xl/sharedStrings.xml><?xml version="1.0" encoding="utf-8"?>
<sst xmlns="http://schemas.openxmlformats.org/spreadsheetml/2006/main" count="971" uniqueCount="563">
  <si>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</si>
  <si>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</si>
  <si>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</si>
  <si>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</si>
  <si>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</si>
  <si>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</si>
  <si>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</si>
  <si>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</si>
  <si>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</si>
  <si>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</si>
  <si>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</si>
  <si>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</si>
  <si>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</si>
  <si>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</si>
  <si>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</si>
  <si>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</si>
  <si>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</si>
  <si>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</si>
  <si>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</si>
  <si>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</si>
  <si>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</si>
  <si>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</si>
  <si>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</si>
  <si>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</si>
  <si>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</si>
  <si>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</si>
  <si>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</si>
  <si>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</si>
  <si>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</si>
  <si>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</si>
  <si>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</si>
  <si>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</si>
  <si>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</si>
  <si>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</si>
  <si>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</si>
  <si>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</si>
  <si>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</si>
  <si>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</si>
  <si>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</si>
  <si>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</si>
  <si>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</si>
  <si>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</si>
  <si>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</si>
  <si>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</si>
  <si>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</si>
  <si>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</si>
  <si>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</si>
  <si>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</si>
  <si>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</si>
  <si>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</si>
  <si>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</si>
  <si>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</si>
  <si>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</si>
  <si>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</si>
  <si>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</si>
  <si>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</si>
  <si>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</si>
  <si>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</si>
  <si>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</si>
  <si>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</si>
  <si>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</si>
  <si>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</si>
  <si>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</si>
  <si>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</si>
  <si>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</si>
  <si>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</si>
  <si>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</si>
  <si>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</si>
  <si>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</si>
  <si>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</si>
  <si>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</si>
  <si>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</si>
  <si>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</si>
  <si>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</si>
  <si>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</si>
  <si>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</si>
  <si>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</si>
  <si>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</si>
  <si>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</si>
  <si>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</si>
  <si>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</si>
  <si>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</si>
  <si>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</si>
  <si>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</si>
  <si>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</si>
  <si>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</si>
  <si>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</si>
  <si>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</si>
  <si>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</si>
  <si>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</si>
  <si>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</si>
  <si>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</si>
  <si>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</si>
  <si>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</si>
  <si>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</si>
  <si>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</si>
  <si>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</si>
  <si>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</si>
  <si>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</si>
  <si>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</si>
  <si>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</si>
  <si>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</si>
  <si>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</si>
  <si>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</si>
  <si>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</si>
  <si>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</si>
  <si>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</si>
  <si>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</si>
  <si>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</si>
  <si>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</si>
  <si>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</si>
  <si>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</si>
  <si>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</si>
  <si>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</si>
  <si>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</si>
  <si>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</si>
  <si>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</si>
  <si>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</si>
  <si>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</si>
  <si>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</si>
  <si>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</si>
  <si>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</si>
  <si>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</si>
  <si>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</si>
  <si>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</si>
  <si>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</si>
  <si>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</si>
  <si>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</si>
  <si>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</si>
  <si>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</si>
  <si>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</si>
  <si>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</si>
  <si>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</si>
  <si>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</si>
  <si>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</si>
  <si>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</si>
  <si>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</si>
  <si>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</si>
  <si>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</si>
  <si>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</si>
  <si>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</si>
  <si>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</si>
  <si>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</si>
  <si>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</si>
  <si>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</si>
  <si>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</si>
  <si>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</si>
  <si>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</si>
  <si>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</si>
  <si>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</si>
  <si>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</si>
  <si>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</si>
  <si>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</si>
  <si>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</si>
  <si>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</si>
  <si>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</si>
  <si>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</si>
  <si>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</si>
  <si>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</si>
  <si>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</si>
  <si>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</si>
  <si>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</si>
  <si>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</si>
  <si>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</si>
  <si>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</si>
  <si>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</si>
  <si>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</si>
  <si>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</si>
  <si>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</si>
  <si>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</si>
  <si>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</si>
  <si>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</si>
  <si>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</si>
  <si>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</si>
  <si>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</si>
  <si>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</si>
  <si>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</si>
  <si>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</si>
  <si>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</si>
  <si>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</si>
  <si>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</si>
  <si>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</si>
  <si>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</si>
  <si>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</si>
  <si>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</si>
  <si>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</si>
  <si>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</si>
  <si>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</si>
  <si>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</si>
  <si>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</si>
  <si>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</si>
  <si>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</si>
  <si>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</si>
  <si>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</si>
  <si>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</si>
  <si>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</si>
  <si>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</si>
  <si>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</si>
  <si>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</si>
  <si>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</si>
  <si>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</si>
  <si>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</si>
  <si>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</si>
  <si>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</si>
  <si>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</si>
  <si>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</si>
  <si>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</si>
  <si>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</si>
  <si>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</si>
  <si>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</si>
  <si>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</si>
  <si>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</si>
  <si>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</si>
  <si>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</si>
  <si>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</si>
  <si>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</si>
  <si>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</si>
  <si>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</si>
  <si>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</si>
  <si>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</si>
  <si>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</si>
  <si>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</si>
  <si>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</si>
  <si>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</si>
  <si>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</si>
  <si>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</si>
  <si>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</si>
  <si>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</si>
  <si>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</si>
  <si>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</si>
  <si>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</si>
  <si>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</si>
  <si>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</si>
  <si>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</si>
  <si>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</si>
  <si>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</si>
  <si>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</si>
  <si>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</si>
  <si>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</si>
  <si>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</si>
  <si>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</si>
  <si>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</si>
  <si>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</si>
  <si>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</si>
  <si>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</si>
  <si>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</si>
  <si>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</si>
  <si>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</si>
  <si>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</si>
  <si>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</si>
  <si>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</si>
  <si>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</si>
  <si>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</si>
  <si>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</si>
  <si>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</si>
  <si>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</si>
  <si>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</si>
  <si>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</si>
  <si>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</si>
  <si>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</si>
  <si>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</si>
  <si>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</si>
  <si>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</si>
  <si>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</si>
  <si>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</si>
  <si>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</si>
  <si>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</si>
  <si>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</si>
  <si>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</si>
  <si>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</si>
  <si>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</si>
  <si>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</si>
  <si>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</si>
  <si>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</si>
  <si>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</si>
  <si>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</si>
  <si>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</si>
  <si>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</si>
  <si>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</si>
  <si>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</si>
  <si>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</si>
  <si>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</si>
  <si>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</si>
  <si>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</si>
  <si>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</si>
  <si>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</si>
  <si>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</si>
  <si>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</si>
  <si>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</si>
  <si>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</si>
  <si>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</si>
  <si>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</si>
  <si>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</si>
  <si>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</si>
  <si>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</si>
  <si>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</si>
  <si>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</si>
  <si>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</si>
  <si>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</si>
  <si>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</si>
  <si>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</si>
  <si>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</si>
  <si>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</si>
  <si>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</si>
  <si>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</si>
  <si>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</si>
  <si>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</si>
  <si>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</si>
  <si>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</si>
  <si>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</si>
  <si>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</si>
  <si>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</si>
  <si>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</si>
  <si>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</si>
  <si>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</si>
  <si>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</si>
  <si>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</si>
  <si>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</si>
  <si>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</si>
  <si>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</si>
  <si>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</si>
  <si>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</si>
  <si>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</si>
  <si>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</si>
  <si>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</si>
  <si>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</si>
  <si>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</si>
  <si>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</si>
  <si>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</si>
  <si>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</si>
  <si>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</si>
  <si>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</si>
  <si>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</si>
  <si>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</si>
  <si>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</si>
  <si>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</si>
  <si>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</si>
  <si>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</si>
  <si>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</si>
  <si>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</si>
  <si>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</si>
  <si>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</si>
  <si>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</si>
  <si>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</si>
  <si>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</si>
  <si>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</si>
  <si>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</si>
  <si>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</si>
  <si>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</si>
  <si>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</si>
  <si>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</si>
  <si>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</si>
  <si>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</si>
  <si>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</si>
  <si>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</si>
  <si>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</si>
  <si>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</si>
  <si>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</si>
  <si>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</si>
  <si>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</si>
  <si>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</si>
  <si>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</si>
  <si>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</si>
  <si>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</si>
  <si>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</si>
  <si>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</si>
  <si>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</si>
  <si>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</si>
  <si>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</si>
  <si>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</si>
  <si>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</si>
  <si>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</si>
  <si>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</si>
  <si>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</si>
  <si>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</si>
  <si>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AEROVIRONMENT, INC</t>
  </si>
  <si>
    <t>CONSOLIDATED BALANCE SHEETS</t>
  </si>
  <si>
    <t>(In thousands except share data)</t>
  </si>
  <si>
    <t>Assets</t>
  </si>
  <si>
    <t>Current assets:</t>
  </si>
  <si>
    <t>Cash and cash equivalents</t>
  </si>
  <si>
    <t>Short-term investments</t>
  </si>
  <si>
    <t>Accounts receivable, net of allowance for doubtful accounts of $1,041 at April 30, 2019 and $1,080 at April 30, 2018</t>
  </si>
  <si>
    <t>Unbilled receivables and retentions (inclusive of related party unbilled receivables of $9,028 at April 30, 2019 and $3,145 at April 30, 2018)</t>
  </si>
  <si>
    <t>Inventories</t>
  </si>
  <si>
    <t>Prepaid expenses and other current assets</t>
  </si>
  <si>
    <t>Income taxes receivable</t>
  </si>
  <si>
    <t>Current assets of discontinued operations</t>
  </si>
  <si>
    <t>Total current assets</t>
  </si>
  <si>
    <t>Long-term investments</t>
  </si>
  <si>
    <t>Property and equipment, net</t>
  </si>
  <si>
    <t>Property and Equipment</t>
  </si>
  <si>
    <t>Deferred income taxes</t>
  </si>
  <si>
    <t>Other assets</t>
  </si>
  <si>
    <t>Total assets</t>
  </si>
  <si>
    <t>Liabilities and stockholders equity</t>
  </si>
  <si>
    <t>Current liabilities:</t>
  </si>
  <si>
    <t>Accounts payable</t>
  </si>
  <si>
    <t>Wages and related accruals</t>
  </si>
  <si>
    <t>Accruals</t>
  </si>
  <si>
    <t>Income taxes payable</t>
  </si>
  <si>
    <t>Customer advances</t>
  </si>
  <si>
    <t>Accrued Revenue</t>
  </si>
  <si>
    <t>Other current liabilities</t>
  </si>
  <si>
    <t>Current liabilities of discontinued operations</t>
  </si>
  <si>
    <t>Total current liabilities</t>
  </si>
  <si>
    <t>Deferred rent</t>
  </si>
  <si>
    <t>Other non-current liabilities</t>
  </si>
  <si>
    <t>Deferred tax liability</t>
  </si>
  <si>
    <t>Liability for uncertain tax positions</t>
  </si>
  <si>
    <t>Commitments and contingencies</t>
  </si>
  <si>
    <t>Stockholders equity:</t>
  </si>
  <si>
    <t>Preferred stock, $0.0001 par value:</t>
  </si>
  <si>
    <t>Authorized shares10,000,000; none issued or outstanding at April 30, 2019 and April 30, 2018</t>
  </si>
  <si>
    <t>Common stock, $0.0001 par value:</t>
  </si>
  <si>
    <t>Authorized shares100,000,000</t>
  </si>
  <si>
    <t>Issued and outstanding shares23,946,293 shares at April 30, 2019 and 23,908,736 shares at</t>
  </si>
  <si>
    <t>April 30, 2018</t>
  </si>
  <si>
    <t>Additional paid-in capital</t>
  </si>
  <si>
    <t>Accumulated other comprehensive loss</t>
  </si>
  <si>
    <t>Retained earnings</t>
  </si>
  <si>
    <t>Total AeroVironment stockholders equity</t>
  </si>
  <si>
    <t>Noncontrolling interest</t>
  </si>
  <si>
    <t>Total equity</t>
  </si>
  <si>
    <t>Total liabilities and stockholders equity</t>
  </si>
  <si>
    <t>Revenue:</t>
  </si>
  <si>
    <t>Revenue</t>
  </si>
  <si>
    <t>Product sales</t>
  </si>
  <si>
    <t>Contract services (inclusive of related party revenue of $55,407 and $29,594 for the years ended April 30, 2019 and April 30, 2018, respectively)</t>
  </si>
  <si>
    <t>Cost of sales:</t>
  </si>
  <si>
    <t>Contract services</t>
  </si>
  <si>
    <t>Gross margin:</t>
  </si>
  <si>
    <t>Selling, general and administrative</t>
  </si>
  <si>
    <t>Research and development</t>
  </si>
  <si>
    <t>Income from continuing operations</t>
  </si>
  <si>
    <t>Other Income - net</t>
  </si>
  <si>
    <t>Other income:</t>
  </si>
  <si>
    <t>Interest income, net</t>
  </si>
  <si>
    <t>Other income (expense), net</t>
  </si>
  <si>
    <t>Income from continuing operations before income taxes</t>
  </si>
  <si>
    <t>Profit before Zakat and Income tax</t>
  </si>
  <si>
    <t>Provision for income taxes</t>
  </si>
  <si>
    <t>Equity method investment loss, net of tax</t>
  </si>
  <si>
    <t>Net income from continuing operations</t>
  </si>
  <si>
    <t>Discontinued operations:</t>
  </si>
  <si>
    <t>Gain on sale of business, net of tax expense of $2,444 for the year ended April 30, 2019</t>
  </si>
  <si>
    <t>Loss from discontinued operations, net of tax</t>
  </si>
  <si>
    <t>Net income (loss) from discontinued operations</t>
  </si>
  <si>
    <t>Net income</t>
  </si>
  <si>
    <t>Net loss attributable to noncontrolling interest</t>
  </si>
  <si>
    <t>Share of profit or loss from associates, JVs</t>
  </si>
  <si>
    <t>Net income attributable to AeroVironment</t>
  </si>
  <si>
    <t>Net income (loss) per share attributable to AeroVironmentBasic</t>
  </si>
  <si>
    <t>Continuing operations</t>
  </si>
  <si>
    <t>Discontinued operations</t>
  </si>
  <si>
    <t>Net income per share attributable to AeroVironmentBasic</t>
  </si>
  <si>
    <t>Net income (loss) per share attributable to AeroVironmentDiluted</t>
  </si>
  <si>
    <t>Net income per share attributable to AeroVironmentDiluted</t>
  </si>
  <si>
    <t>Weighted-average shares outstanding:</t>
  </si>
  <si>
    <t>Basic</t>
  </si>
  <si>
    <t>Diluted</t>
  </si>
  <si>
    <t>(In thousands)</t>
  </si>
  <si>
    <t>Other comprehensive income:</t>
  </si>
  <si>
    <t>Total Other Comprehensive Income</t>
  </si>
  <si>
    <t>Change in foreign currency translation adjustments</t>
  </si>
  <si>
    <t>Unrealized gain on investments, net of deferred tax expense of $51,  $25, and $43 for the fiscal years ended 2019, 2018, and 2017, respectively</t>
  </si>
  <si>
    <t>Gain on Disposals</t>
  </si>
  <si>
    <t>Total comprehensive income</t>
  </si>
  <si>
    <t>Operating activities</t>
  </si>
  <si>
    <t>Operating Activities</t>
  </si>
  <si>
    <t>Gain on sale of business, net of tax</t>
  </si>
  <si>
    <t>Adjustments to reconcile net income to cash provided by (used in) operating activities:</t>
  </si>
  <si>
    <t>Depreciation and amortization</t>
  </si>
  <si>
    <t>Loss from equity method investment</t>
  </si>
  <si>
    <t>Impairment of long-lived assets</t>
  </si>
  <si>
    <t>Provision for doubtful accounts</t>
  </si>
  <si>
    <t>Impairment of intangible assets and goodwill</t>
  </si>
  <si>
    <t>Gains on foreign currency transactions</t>
  </si>
  <si>
    <t>Gain on business acquisition</t>
  </si>
  <si>
    <t>Stock-based compensation</t>
  </si>
  <si>
    <t>Loss on disposition of property and equipment</t>
  </si>
  <si>
    <t>Amortization of held-to-maturity investments</t>
  </si>
  <si>
    <t>Investing Activities</t>
  </si>
  <si>
    <t>Changes in operating assets and liabilities:</t>
  </si>
  <si>
    <t>Accounts receivable</t>
  </si>
  <si>
    <t>Unbilled receivables and retentions</t>
  </si>
  <si>
    <t>Income tax receivable</t>
  </si>
  <si>
    <t>Prepaid expenses and other assets</t>
  </si>
  <si>
    <t>Other liabilities</t>
  </si>
  <si>
    <t>Net cash provided by (used in) operating activities of continuing operations</t>
  </si>
  <si>
    <t>Investing activities</t>
  </si>
  <si>
    <t>Acquisition of property and equipment</t>
  </si>
  <si>
    <t>Equity method investments</t>
  </si>
  <si>
    <t>Business acquisitions, net of cash acquired</t>
  </si>
  <si>
    <t>Proceeds from sale of business</t>
  </si>
  <si>
    <t>Redemptions of held-to-maturity investments</t>
  </si>
  <si>
    <t>Purchases of held-to-maturity investments</t>
  </si>
  <si>
    <t>Redemptions of available-for-sale investments</t>
  </si>
  <si>
    <t>Net cash provided by (used in) investing activities from continuing operations</t>
  </si>
  <si>
    <t>Financing activities</t>
  </si>
  <si>
    <t>Financing Activities</t>
  </si>
  <si>
    <t>Principal payments of capital lease obligations</t>
  </si>
  <si>
    <t>Tax withholding payment related to net settlement of equity awards</t>
  </si>
  <si>
    <t>Finance Costs</t>
  </si>
  <si>
    <t>Exercise of stock options</t>
  </si>
  <si>
    <t>Net cash (used in) provided by financing activities from continuing operations</t>
  </si>
  <si>
    <t>Operating activities of discontinued operations</t>
  </si>
  <si>
    <t>Investing activities of discontinued operations</t>
  </si>
  <si>
    <t>Financing activities of discontinued operations</t>
  </si>
  <si>
    <t>Net cash used in discontinued operations</t>
  </si>
  <si>
    <t>Net increase (decrease) in cash and cash equivalents</t>
  </si>
  <si>
    <t>Cash and cash equivalents at beginning of period</t>
  </si>
  <si>
    <t>Cash and cash equivalents at end of period</t>
  </si>
  <si>
    <t>Supplemental disclosures of cash flow information</t>
  </si>
  <si>
    <t>Cash paid, net during the period for:</t>
  </si>
  <si>
    <t>Income taxes</t>
  </si>
  <si>
    <t>Non-cash activities</t>
  </si>
  <si>
    <t>Unrealized gain on investments, net of deferred tax expense of $51,  $25 and $43, respectively</t>
  </si>
  <si>
    <t>Reclassification from share-based liability compensation to equity</t>
  </si>
  <si>
    <t>Acquisitions of property and equipment included in accounts payable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</si>
  <si>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</si>
  <si>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</si>
  <si>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</si>
  <si>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</si>
  <si>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should actually be for 2019 &amp; 2018, not '18 and '17</t>
  </si>
  <si>
    <t>changed value from pdf</t>
  </si>
  <si>
    <t>turnover</t>
  </si>
  <si>
    <t>product sales</t>
  </si>
  <si>
    <t>contract services</t>
  </si>
  <si>
    <t>cost of goods sold</t>
  </si>
  <si>
    <t>cost of sales: product sales</t>
  </si>
  <si>
    <t>cost of sales: contract services</t>
  </si>
  <si>
    <t>matches with pdf as gross margin</t>
  </si>
  <si>
    <t>gross profit (loss)</t>
  </si>
  <si>
    <t>gross margin</t>
  </si>
  <si>
    <t>deleted this value</t>
  </si>
  <si>
    <t>added from pdf</t>
  </si>
  <si>
    <t>other income (expenses)</t>
  </si>
  <si>
    <t>other income (expense), net</t>
  </si>
  <si>
    <t>provision for income tax + equity method investment loss</t>
  </si>
  <si>
    <t>current taxation</t>
  </si>
  <si>
    <t>provision for income taxes</t>
  </si>
  <si>
    <t>equity method investment loss, net of tax</t>
  </si>
  <si>
    <t>construction in progress</t>
  </si>
  <si>
    <t>property, plant and equipment</t>
  </si>
  <si>
    <t>machinery and equipment</t>
  </si>
  <si>
    <t>furniture and fixtures</t>
  </si>
  <si>
    <t>computer equipment and software</t>
  </si>
  <si>
    <t>leasehold improvements</t>
  </si>
  <si>
    <t>leased assets</t>
  </si>
  <si>
    <t>other operating current assets</t>
  </si>
  <si>
    <t>unbilled receivables and retentions</t>
  </si>
  <si>
    <t>changed value</t>
  </si>
  <si>
    <t>accounts payable</t>
  </si>
  <si>
    <t>wages and related accruals</t>
  </si>
  <si>
    <t>other current liabilities</t>
  </si>
  <si>
    <t>other operating current liabilities</t>
  </si>
  <si>
    <t>deferred rent</t>
  </si>
  <si>
    <t>deferred income and gains</t>
  </si>
  <si>
    <t>other non-current liabilities</t>
  </si>
  <si>
    <t>ordinary shares</t>
  </si>
  <si>
    <t>common stock, $0.0001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</si>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</sst>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8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0" borderId="0" xfId="0" applyNumberFormat="1"/>
    <xf numFmtId="3" fontId="0" fillId="12" borderId="0" xfId="0" applyFill="1"/>
    <xf numFmtId="3" fontId="0" fillId="13" borderId="0" xfId="0" applyFill="1"/>
    <xf numFmtId="3" fontId="4" fillId="12" borderId="0" xfId="0" applyFont="1" applyFill="1"/>
    <xf numFmtId="3" fontId="4" fillId="13" borderId="0" xfId="0" applyFont="1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9A-468D-85E2-A839CF514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2-4935-AA4D-BB8B17FF4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4B-4046-8917-ABC2A32E7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F0-4071-AC66-C3356069AF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23-44C3-A59C-BDA672F933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70-4AD0-962D-558FBD1D7A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70-49D4-847B-E618401141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D-447E-AFC5-2762B1B16E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6B-4E5C-AC74-A2FB1D5E0F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E0-4B8A-9883-5525FC6F31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54-454D-BAE3-6EB42BC7A2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F0-433E-8A8E-8D45D4D5C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89-40BD-9668-ACE3964B5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D3-4673-89B3-80C3C14A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8-42D0-B798-73399E9D8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4" t="s">
        <v>524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42128</v>
      </c>
      <c r="G6" s="7">
        <f t="shared" ref="G6:O6" si="1">IF(G4=$BF$1,"",G71)</f>
        <v>22041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39256</v>
      </c>
      <c r="G7" s="7">
        <f t="shared" ref="G7:O7" si="2">IF(G4=$BF$1,"",G128)</f>
        <v>74371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469588</v>
      </c>
      <c r="G8" s="7">
        <f t="shared" ref="G8:O8" si="3">IF(G4=$BF$1,"",G161)</f>
        <v>399047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44866</v>
      </c>
      <c r="G9" s="7">
        <f t="shared" ref="G9:O9" si="4">IF(G4=$BF$1,"",G189)</f>
        <v>62088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1403</v>
      </c>
      <c r="G10" s="7">
        <f t="shared" ref="G10:O10" si="5">IF(G4=$BF$1,"",G210)</f>
        <v>2274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462575</v>
      </c>
      <c r="G11" s="7">
        <f t="shared" ref="G11:O11" si="6">IF(G4=$BF$1,"",G227)</f>
        <v>409056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508844</v>
      </c>
      <c r="G12" s="35">
        <f t="shared" ref="G12:O12" si="7">IF(G4=$BF$1,"",SUM(G7:G8))</f>
        <v>473418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508844</v>
      </c>
      <c r="G13" s="35">
        <f t="shared" ref="G13:O13" si="8">IF(G4=$BF$1,"",SUM(G9:G11))</f>
        <v>473418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212089+102185</f>
        <v>314274</v>
      </c>
      <c r="G24">
        <f>191712+76712</f>
        <v>268424</v>
      </c>
      <c r="H24">
        <v>317848</v>
      </c>
      <c r="P24" s="44" t="s">
        <v>525</v>
      </c>
    </row>
    <row r="25" spans="5:16">
      <c r="E25" s="1" t="s">
        <v>27</v>
      </c>
      <c r="F25">
        <f>113489+72382</f>
        <v>185871</v>
      </c>
      <c r="G25">
        <f>109393+51346</f>
        <v>160739</v>
      </c>
      <c r="H25">
        <v>0</v>
      </c>
      <c r="P25" s="44" t="s">
        <v>525</v>
      </c>
    </row>
    <row r="26" spans="5:16">
      <c r="E26" s="1" t="s">
        <v>28</v>
      </c>
      <c r="F26" s="43"/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128403</v>
      </c>
      <c r="G30" s="7">
        <f>IF(G4=$BF$1,"",G24-G25+ABS(G26)-G27-G28-G29)</f>
        <v>107685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 t="s">
        <v>532</v>
      </c>
    </row>
    <row r="31" spans="5:16">
      <c r="E31" s="12" t="s">
        <v>33</v>
      </c>
      <c r="F31"/>
      <c r="G31"/>
      <c r="H31">
        <v>38617</v>
      </c>
      <c r="P31" s="46" t="s">
        <v>535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60343</v>
      </c>
      <c r="G34">
        <v>50826</v>
      </c>
      <c r="H34">
        <v>47642</v>
      </c>
    </row>
    <row r="35" spans="5:16">
      <c r="E35" s="1" t="s">
        <v>37</v>
      </c>
      <c r="F35">
        <v>34234</v>
      </c>
      <c r="G35">
        <v>26433</v>
      </c>
      <c r="H35">
        <v>28465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94577</v>
      </c>
      <c r="G43" s="7">
        <f>G32+G33+G34+G35+G36+G37+G38+G39+G40+G41+G42</f>
        <v>77259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33826</v>
      </c>
      <c r="G44" s="7">
        <f>IF(G4=$BF$1,"",G30+G31-G43)</f>
        <v>30426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/>
      <c r="G45"/>
      <c r="H45">
        <v>74</v>
      </c>
      <c r="P45" s="46" t="s">
        <v>535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4672</v>
      </c>
      <c r="G52">
        <v>2240</v>
      </c>
      <c r="H52">
        <v>1618</v>
      </c>
    </row>
    <row r="53" spans="5:16">
      <c r="E53" s="1" t="s">
        <v>55</v>
      </c>
    </row>
    <row r="54" spans="5:16">
      <c r="E54" s="1" t="s">
        <v>56</v>
      </c>
      <c r="F54" s="38">
        <v>11980</v>
      </c>
      <c r="G54" s="38">
        <v>-49</v>
      </c>
      <c r="P54" s="46" t="s">
        <v>536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-4621</v>
      </c>
      <c r="P56" s="46" t="s">
        <v>535</v>
      </c>
    </row>
    <row r="57" spans="5:16">
      <c r="E57" s="1" t="s">
        <v>59</v>
      </c>
      <c r="F57"/>
      <c r="G57"/>
      <c r="H57">
        <v>0</v>
      </c>
      <c r="P57" s="46" t="s">
        <v>535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50478</v>
      </c>
      <c r="G59" s="7">
        <f>IF(G4=$BF$1,"",G44+G45+G46+G47+G48-G49-G50-G51+G52-G53+G54+G55-G56+G57+G58)</f>
        <v>32617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f>4641+3944</f>
        <v>8585</v>
      </c>
      <c r="G60">
        <f>9800+1283</f>
        <v>11083</v>
      </c>
      <c r="H60">
        <v>4758</v>
      </c>
      <c r="P60" s="46" t="s">
        <v>539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41893</v>
      </c>
      <c r="G67" s="7">
        <f>IF(G4=$BF$1,"",SUM(G59,-G60,-ABS(G61),-G62,-G66))</f>
        <v>21534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  <c r="F68">
        <v>235</v>
      </c>
      <c r="G68">
        <v>507</v>
      </c>
      <c r="H68">
        <v>100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42128</v>
      </c>
      <c r="G71" s="7">
        <f t="shared" ref="G71:O71" si="14">IF(G4=$BF$1,"",SUM(G67:G70))</f>
        <v>22041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42128</v>
      </c>
      <c r="G83" s="7">
        <f t="shared" ref="G83:O83" si="15">IF(G4=$BF$1,"",SUM(G71:G82))</f>
        <v>22041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2411</v>
      </c>
      <c r="G90" s="38">
        <v>3359</v>
      </c>
      <c r="P90" s="46" t="s">
        <v>536</v>
      </c>
    </row>
    <row r="91" spans="5:16">
      <c r="E91" s="1" t="s">
        <v>83</v>
      </c>
    </row>
    <row r="92" spans="5:16">
      <c r="E92" s="12" t="s">
        <v>84</v>
      </c>
      <c r="F92">
        <f>40432+2145+35056</f>
        <v>77633</v>
      </c>
      <c r="G92">
        <f>40377+2094+31895</f>
        <v>74366</v>
      </c>
      <c r="P92" s="46" t="s">
        <v>536</v>
      </c>
    </row>
    <row r="93" spans="5:16">
      <c r="E93" s="1" t="s">
        <v>85</v>
      </c>
    </row>
    <row r="94" spans="5:16">
      <c r="E94" s="1" t="s">
        <v>86</v>
      </c>
      <c r="F94" s="38">
        <v>12324</v>
      </c>
      <c r="G94" s="38">
        <v>10541</v>
      </c>
      <c r="P94" s="46" t="s">
        <v>536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92368</v>
      </c>
      <c r="G98" s="7">
        <f>IF(G4=$BF$1,"",G89+G90+G91+G92+G93+G94+G95+G96)</f>
        <v>88266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-75463</v>
      </c>
      <c r="G99" s="38">
        <v>-69047</v>
      </c>
      <c r="P99" s="46" t="s">
        <v>536</v>
      </c>
    </row>
    <row r="100" spans="5:16">
      <c r="E100" s="6" t="s">
        <v>90</v>
      </c>
      <c r="F100" s="7">
        <f>F98+F99</f>
        <v>16905</v>
      </c>
      <c r="G100" s="7">
        <f t="shared" ref="G100:O100" si="17">IF(G4=$BF$1,"",G98+G99)</f>
        <v>19219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6685</v>
      </c>
      <c r="G111">
        <v>11494</v>
      </c>
    </row>
    <row r="112" spans="5:16">
      <c r="E112" s="1" t="s">
        <v>102</v>
      </c>
    </row>
    <row r="113" spans="5:16">
      <c r="E113" s="1" t="s">
        <v>103</v>
      </c>
      <c r="F113">
        <v>9386</v>
      </c>
      <c r="G113">
        <v>40656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6280</v>
      </c>
      <c r="G126">
        <v>3002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39256</v>
      </c>
      <c r="G128" s="7">
        <f t="shared" ref="G128:O128" si="19">IF(G4=$BF$1,"",G100+SUM(G104:G126))</f>
        <v>74371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172708</v>
      </c>
      <c r="G130">
        <v>143517</v>
      </c>
    </row>
    <row r="131" spans="5:15">
      <c r="E131" s="1" t="s">
        <v>118</v>
      </c>
      <c r="F131">
        <v>150487</v>
      </c>
      <c r="G131">
        <v>113649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323195</v>
      </c>
      <c r="G140" s="7">
        <f t="shared" ref="G140:O140" si="20">IF(G4=$BF$1,"",G130+G131+G132+G133+G134+G135+G136+G139)</f>
        <v>257166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54056</v>
      </c>
      <c r="G144">
        <v>37425</v>
      </c>
    </row>
    <row r="145" spans="5:16">
      <c r="E145" s="6" t="s">
        <v>127</v>
      </c>
      <c r="F145" s="7">
        <f>F141+F142+F143+F144</f>
        <v>54056</v>
      </c>
      <c r="G145" s="7">
        <f t="shared" ref="G145:O145" si="21">IF(G4=$BF$1,"",G141+G142+G143+G144)</f>
        <v>37425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821</v>
      </c>
      <c r="G151">
        <v>0</v>
      </c>
    </row>
    <row r="154" spans="5:16">
      <c r="E154" s="12" t="s">
        <v>134</v>
      </c>
      <c r="F154">
        <v>7418</v>
      </c>
      <c r="G154">
        <v>5103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31051</v>
      </c>
      <c r="G157">
        <v>56813</v>
      </c>
    </row>
    <row r="158" spans="5:16">
      <c r="E158" s="1" t="s">
        <v>138</v>
      </c>
      <c r="F158" s="38">
        <v>53047</v>
      </c>
      <c r="G158" s="38">
        <v>16872</v>
      </c>
      <c r="P158" s="46" t="s">
        <v>536</v>
      </c>
    </row>
    <row r="159" spans="5:16">
      <c r="E159" s="1" t="s">
        <v>139</v>
      </c>
      <c r="F159">
        <v>0</v>
      </c>
      <c r="G159">
        <v>25668</v>
      </c>
    </row>
    <row r="160" spans="5:16">
      <c r="E160" s="6" t="s">
        <v>140</v>
      </c>
      <c r="F160" s="7">
        <f>F146+F147+F148+F149+F150+F151+F152+F153+F154+F155+F156+F157+F158+F159</f>
        <v>92337</v>
      </c>
      <c r="G160" s="7">
        <f>IF(G4=$BF$1,"",G146+G147+G148+G149+G150+G151+G152+G153+G154+G155+G156+G157+G158+G159)</f>
        <v>104456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469588</v>
      </c>
      <c r="G161" s="7">
        <f t="shared" ref="G161:O161" si="22">IF(G4=$BF$1,"",G140+G145+G160)</f>
        <v>399047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0</v>
      </c>
      <c r="G181">
        <v>4085</v>
      </c>
    </row>
    <row r="183" spans="5:16">
      <c r="E183" s="1" t="s">
        <v>160</v>
      </c>
    </row>
    <row r="184" spans="5:16">
      <c r="E184" s="12" t="s">
        <v>161</v>
      </c>
      <c r="F184">
        <f>15972+18507</f>
        <v>34479</v>
      </c>
      <c r="G184">
        <f>21340+16851</f>
        <v>38191</v>
      </c>
      <c r="P184" s="46" t="s">
        <v>552</v>
      </c>
    </row>
    <row r="185" spans="5:16">
      <c r="E185" s="12" t="s">
        <v>162</v>
      </c>
      <c r="F185">
        <v>2962</v>
      </c>
      <c r="G185">
        <v>3564</v>
      </c>
    </row>
    <row r="187" spans="5:16">
      <c r="E187" s="1" t="s">
        <v>163</v>
      </c>
      <c r="F187">
        <v>7425</v>
      </c>
      <c r="G187">
        <v>6954</v>
      </c>
      <c r="P187" s="46" t="s">
        <v>552</v>
      </c>
    </row>
    <row r="188" spans="5:16">
      <c r="E188" s="1" t="s">
        <v>164</v>
      </c>
      <c r="F188">
        <v>0</v>
      </c>
      <c r="G188">
        <v>9294</v>
      </c>
    </row>
    <row r="189" spans="5:16">
      <c r="E189" s="6" t="s">
        <v>13</v>
      </c>
      <c r="F189" s="7">
        <f>SUM(F163:F188)</f>
        <v>44866</v>
      </c>
      <c r="G189" s="7">
        <f t="shared" ref="G189:O189" si="23">IF(G4=$BF$1,"",SUM(G163:G188))</f>
        <v>62088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>
        <v>51</v>
      </c>
      <c r="G198">
        <v>49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29</v>
      </c>
      <c r="G203">
        <v>67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1173</v>
      </c>
      <c r="G206" s="38">
        <v>1536</v>
      </c>
      <c r="P206" s="46" t="s">
        <v>536</v>
      </c>
    </row>
    <row r="209" spans="5:16">
      <c r="E209" s="1" t="s">
        <v>180</v>
      </c>
      <c r="F209">
        <v>150</v>
      </c>
      <c r="G209">
        <v>622</v>
      </c>
      <c r="P209" s="46" t="s">
        <v>536</v>
      </c>
    </row>
    <row r="210" spans="5:16">
      <c r="E210" s="6" t="s">
        <v>14</v>
      </c>
      <c r="F210" s="7">
        <f>SUM(F191:F209)</f>
        <v>1403</v>
      </c>
      <c r="G210" s="7">
        <f t="shared" ref="G210:O210" si="24">IF(G4=$BF$1,"",SUM(G191:G209))</f>
        <v>2274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176216+2</f>
        <v>176218</v>
      </c>
      <c r="G212">
        <f>170139+2</f>
        <v>170141</v>
      </c>
      <c r="P212" s="46" t="s">
        <v>536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286351</v>
      </c>
      <c r="G217">
        <v>238913</v>
      </c>
    </row>
    <row r="218" spans="5:16">
      <c r="E218" s="1" t="s">
        <v>188</v>
      </c>
    </row>
    <row r="219" spans="5:16">
      <c r="E219" s="1" t="s">
        <v>189</v>
      </c>
      <c r="F219">
        <v>2</v>
      </c>
      <c r="G219">
        <v>-21</v>
      </c>
    </row>
    <row r="220" spans="5:16">
      <c r="E220" s="1" t="s">
        <v>190</v>
      </c>
    </row>
    <row r="221" spans="5:16">
      <c r="E221" s="1" t="s">
        <v>67</v>
      </c>
      <c r="F221">
        <v>4</v>
      </c>
      <c r="G221">
        <v>23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462575</v>
      </c>
      <c r="G227" s="7">
        <f t="shared" ref="G227:O227" si="25">IF(G4=$BF$1,"",SUM(G212:G226))</f>
        <v>409056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7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47419</v>
      </c>
      <c r="G267">
        <v>17647</v>
      </c>
      <c r="H267">
        <v>13078</v>
      </c>
    </row>
    <row r="268" spans="5:15">
      <c r="E268" s="1" t="s">
        <v>233</v>
      </c>
      <c r="F268">
        <v>2964</v>
      </c>
      <c r="G268">
        <v>3887</v>
      </c>
      <c r="H268">
        <v>4601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7669</v>
      </c>
      <c r="G271">
        <v>5982</v>
      </c>
      <c r="H271">
        <v>5054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0</v>
      </c>
      <c r="G275">
        <v>1021</v>
      </c>
      <c r="H275">
        <v>0</v>
      </c>
    </row>
    <row r="276" spans="5:8">
      <c r="E276" s="1" t="s">
        <v>241</v>
      </c>
      <c r="F276">
        <v>3982</v>
      </c>
      <c r="G276">
        <v>1196</v>
      </c>
      <c r="H276">
        <v>403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57</v>
      </c>
      <c r="G279">
        <v>70</v>
      </c>
      <c r="H279">
        <v>74</v>
      </c>
    </row>
    <row r="280" spans="5:8" ht="25.5" customHeight="1">
      <c r="E280" s="1" t="s">
        <v>245</v>
      </c>
      <c r="F280">
        <v>76</v>
      </c>
      <c r="G280">
        <v>20</v>
      </c>
      <c r="H280">
        <v>44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6985</v>
      </c>
      <c r="G285">
        <v>4956</v>
      </c>
      <c r="H285">
        <v>3392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18769</v>
      </c>
      <c r="G296" s="7">
        <f>IF(G4=$BF$1,"",G271+G272+G273+G274+G275+G276+G277+G278+G279+G280+G281+G282+G283+G284+G285+G286+G287+G288+G289+G290+G291+G292+G293+G294+G295)</f>
        <v>13245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21733</v>
      </c>
      <c r="G297" s="7">
        <f t="shared" ref="G297:O297" si="27">IF(G4=$BF$1,"",MIN(F267,F268,F269)+F296)</f>
        <v>21733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-16631</v>
      </c>
      <c r="G299">
        <v>1192</v>
      </c>
      <c r="H299">
        <v>-16816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-2401</v>
      </c>
      <c r="G302">
        <v>139</v>
      </c>
      <c r="H302">
        <v>-1484</v>
      </c>
    </row>
    <row r="303" spans="5:15">
      <c r="E303" s="1" t="s">
        <v>265</v>
      </c>
      <c r="F303">
        <v>25821</v>
      </c>
      <c r="G303">
        <v>11070</v>
      </c>
      <c r="H303">
        <v>-19720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-7054</v>
      </c>
      <c r="G315">
        <v>5736</v>
      </c>
      <c r="H315">
        <v>545</v>
      </c>
    </row>
    <row r="316" spans="5:15">
      <c r="E316" s="1" t="s">
        <v>276</v>
      </c>
    </row>
    <row r="317" spans="5:15">
      <c r="E317" s="1" t="s">
        <v>277</v>
      </c>
      <c r="F317">
        <v>-4043</v>
      </c>
      <c r="G317">
        <v>9224</v>
      </c>
      <c r="H317">
        <v>-166</v>
      </c>
    </row>
    <row r="318" spans="5:15">
      <c r="E318" s="6" t="s">
        <v>278</v>
      </c>
      <c r="F318" s="7">
        <f>F299+F300+F301+F302+F303+F304+F305+F306+F307+F308+F309+F310+F311+F312+F313+F314+F315+F316+F317</f>
        <v>-4308</v>
      </c>
      <c r="G318" s="7">
        <f>IF(G4=$BF$1,"",G299+G300+G301+G302+G303+G304+G305+G306+G307+G308+G309+G310+G311+G312+G313+G314+G315+G316+G317)</f>
        <v>27361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17425</v>
      </c>
      <c r="G319" s="7">
        <f t="shared" ref="G319:O319" si="28">IF(G4=$BF$1,"",G297+G318)</f>
        <v>49094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17425</v>
      </c>
      <c r="G326" s="7">
        <f t="shared" ref="G326:O326" si="30">IF(G4=$BF$1,"",G325+G319)</f>
        <v>49094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-8086</v>
      </c>
      <c r="G328">
        <v>-9184</v>
      </c>
      <c r="H328">
        <v>-8723</v>
      </c>
    </row>
    <row r="329" spans="5:15">
      <c r="E329" s="1" t="s">
        <v>288</v>
      </c>
      <c r="F329">
        <v>31994</v>
      </c>
      <c r="G329">
        <v>0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-7710</v>
      </c>
      <c r="G331">
        <v>7407</v>
      </c>
      <c r="H331">
        <v>-25087</v>
      </c>
    </row>
    <row r="332" spans="5:15">
      <c r="E332" s="12" t="s">
        <v>291</v>
      </c>
      <c r="F332">
        <v>2250</v>
      </c>
      <c r="G332">
        <v>450</v>
      </c>
      <c r="H332">
        <v>400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18448</v>
      </c>
      <c r="G337" s="7">
        <f>IF(G4=$BF$1,"",SUM(G328:G336))</f>
        <v>-1327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71</v>
      </c>
      <c r="G339">
        <v>2705</v>
      </c>
      <c r="H339">
        <v>3865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-161</v>
      </c>
      <c r="G343">
        <v>-288</v>
      </c>
      <c r="H343">
        <v>-390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-1094</v>
      </c>
      <c r="G349">
        <v>-397</v>
      </c>
      <c r="H349">
        <v>-5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-1184</v>
      </c>
      <c r="G352" s="7">
        <f>IF(G4=$BF$1,"",SUM(G339:G351))</f>
        <v>2020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34689</v>
      </c>
      <c r="G353" s="7">
        <f t="shared" ref="G353:O353" si="33">IF(G4=$BF$1,"",G326+G337+G352)</f>
        <v>49787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34689</v>
      </c>
      <c r="G355" s="7">
        <f t="shared" ref="G355:O355" si="34">IF(G4=$BF$1,"",G353+G354)</f>
        <v>49787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143517</v>
      </c>
      <c r="G356">
        <v>79904</v>
      </c>
      <c r="H356">
        <v>124287</v>
      </c>
    </row>
    <row r="357" spans="5:15">
      <c r="E357" s="6" t="s">
        <v>316</v>
      </c>
      <c r="F357" s="7">
        <f>F355+F356</f>
        <v>178206</v>
      </c>
      <c r="G357" s="7">
        <f t="shared" ref="G357:O357" si="35">IF(G4=$BF$1,"",G355+G356)</f>
        <v>129691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0.17081184990909903</v>
      </c>
      <c r="G364" s="24">
        <f t="shared" si="37"/>
        <v>-0.15549570864060808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0.91134703507100401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7.4830276837805063E-2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0.40857022852669961</v>
      </c>
      <c r="G369" s="27">
        <f t="shared" si="41"/>
        <v>0.40117500670580875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0.10763219356357828</v>
      </c>
      <c r="G370" s="27">
        <f t="shared" si="42"/>
        <v>0.11335052007272077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0.13404863272176509</v>
      </c>
      <c r="G371" s="28">
        <f t="shared" si="43"/>
        <v>8.2112627782910619E-2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8.27915824889357E-2</v>
      </c>
      <c r="G372" s="27">
        <f t="shared" si="44"/>
        <v>4.6557165126801262E-2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9.1072799005566668E-2</v>
      </c>
      <c r="G373" s="27">
        <f t="shared" si="45"/>
        <v>5.3882597981694438E-2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9.092963658803091E-2</v>
      </c>
      <c r="G376" s="30">
        <f t="shared" si="47"/>
        <v>0.13595173821020748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0.10002486083337837</v>
      </c>
      <c r="G377" s="30">
        <f t="shared" si="48"/>
        <v>0.1573427599155128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10.466455667989123</v>
      </c>
      <c r="G382" s="32">
        <f t="shared" si="51"/>
        <v>6.4271195722200751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9.2616235010921404</v>
      </c>
      <c r="G383" s="32">
        <f t="shared" si="52"/>
        <v>5.824346089421466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7.2035617171131818</v>
      </c>
      <c r="G384" s="32">
        <f t="shared" si="53"/>
        <v>4.141959798994975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0.38837872776712878</v>
      </c>
      <c r="G385" s="32">
        <f t="shared" si="54"/>
        <v>0.79071640252544773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172708</v>
      </c>
      <c r="G418" s="17">
        <f>G130-G417</f>
        <v>143517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A23" sqref="A23"/>
    </sheetView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520</v>
      </c>
      <c r="B1" s="39" t="s">
        <v>521</v>
      </c>
      <c r="C1" s="39" t="s">
        <v>522</v>
      </c>
      <c r="D1" s="39"/>
    </row>
    <row r="2" spans="1:4">
      <c r="A2" s="41" t="s">
        <v>527</v>
      </c>
      <c r="B2" s="41" t="s">
        <v>526</v>
      </c>
      <c r="C2" s="39" t="s">
        <v>523</v>
      </c>
      <c r="D2" s="39"/>
    </row>
    <row r="3" spans="1:4">
      <c r="A3" s="41" t="s">
        <v>528</v>
      </c>
      <c r="B3" s="41" t="s">
        <v>526</v>
      </c>
      <c r="C3" s="39" t="s">
        <v>523</v>
      </c>
    </row>
    <row r="4" spans="1:4">
      <c r="A4" s="41" t="s">
        <v>530</v>
      </c>
      <c r="B4" s="41" t="s">
        <v>529</v>
      </c>
      <c r="C4" s="39" t="s">
        <v>523</v>
      </c>
    </row>
    <row r="5" spans="1:4">
      <c r="A5" s="41" t="s">
        <v>531</v>
      </c>
      <c r="B5" s="41" t="s">
        <v>529</v>
      </c>
      <c r="C5" s="39" t="s">
        <v>523</v>
      </c>
    </row>
    <row r="6" spans="1:4">
      <c r="A6" s="41" t="s">
        <v>534</v>
      </c>
      <c r="B6" s="41" t="s">
        <v>533</v>
      </c>
      <c r="C6" s="39" t="s">
        <v>523</v>
      </c>
    </row>
    <row r="7" spans="1:4">
      <c r="A7" s="41" t="s">
        <v>538</v>
      </c>
      <c r="B7" s="41" t="s">
        <v>537</v>
      </c>
      <c r="C7" s="39" t="s">
        <v>523</v>
      </c>
    </row>
    <row r="8" spans="1:4">
      <c r="A8" s="41" t="s">
        <v>541</v>
      </c>
      <c r="B8" s="41" t="s">
        <v>540</v>
      </c>
      <c r="C8" s="39" t="s">
        <v>523</v>
      </c>
    </row>
    <row r="9" spans="1:4">
      <c r="A9" s="41" t="s">
        <v>542</v>
      </c>
      <c r="B9" s="41" t="s">
        <v>540</v>
      </c>
      <c r="C9" s="39" t="s">
        <v>523</v>
      </c>
    </row>
    <row r="10" spans="1:4">
      <c r="A10" s="41" t="s">
        <v>543</v>
      </c>
      <c r="B10" s="41" t="s">
        <v>543</v>
      </c>
      <c r="C10" s="39" t="s">
        <v>523</v>
      </c>
    </row>
    <row r="11" spans="1:4">
      <c r="A11" s="41" t="s">
        <v>545</v>
      </c>
      <c r="B11" s="41" t="s">
        <v>544</v>
      </c>
      <c r="C11" s="39" t="s">
        <v>523</v>
      </c>
    </row>
    <row r="12" spans="1:4">
      <c r="A12" s="41" t="s">
        <v>546</v>
      </c>
      <c r="B12" s="41" t="s">
        <v>544</v>
      </c>
      <c r="C12" s="39" t="s">
        <v>523</v>
      </c>
    </row>
    <row r="13" spans="1:4">
      <c r="A13" s="41" t="s">
        <v>547</v>
      </c>
      <c r="B13" s="41" t="s">
        <v>544</v>
      </c>
      <c r="C13" s="39" t="s">
        <v>523</v>
      </c>
    </row>
    <row r="14" spans="1:4">
      <c r="A14" s="41" t="s">
        <v>548</v>
      </c>
      <c r="B14" s="41" t="s">
        <v>549</v>
      </c>
      <c r="C14" s="39" t="s">
        <v>523</v>
      </c>
    </row>
    <row r="15" spans="1:4">
      <c r="A15" s="41" t="s">
        <v>551</v>
      </c>
      <c r="B15" s="41" t="s">
        <v>550</v>
      </c>
      <c r="C15" s="39" t="s">
        <v>523</v>
      </c>
    </row>
    <row r="16" spans="1:4">
      <c r="A16" s="41" t="s">
        <v>553</v>
      </c>
      <c r="B16" s="41" t="s">
        <v>161</v>
      </c>
      <c r="C16" s="39" t="s">
        <v>523</v>
      </c>
    </row>
    <row r="17" spans="1:3">
      <c r="A17" s="41" t="s">
        <v>554</v>
      </c>
      <c r="B17" s="41" t="s">
        <v>161</v>
      </c>
      <c r="C17" s="39" t="s">
        <v>523</v>
      </c>
    </row>
    <row r="18" spans="1:3">
      <c r="A18" s="41" t="s">
        <v>555</v>
      </c>
      <c r="B18" s="41" t="s">
        <v>556</v>
      </c>
      <c r="C18" s="39" t="s">
        <v>523</v>
      </c>
    </row>
    <row r="19" spans="1:3">
      <c r="A19" s="41" t="s">
        <v>557</v>
      </c>
      <c r="B19" s="41" t="s">
        <v>558</v>
      </c>
      <c r="C19" s="39" t="s">
        <v>523</v>
      </c>
    </row>
    <row r="20" spans="1:3">
      <c r="A20" s="41" t="s">
        <v>559</v>
      </c>
      <c r="B20" s="41" t="s">
        <v>559</v>
      </c>
      <c r="C20" s="39" t="s">
        <v>523</v>
      </c>
    </row>
    <row r="21" spans="1:3">
      <c r="A21" s="41" t="s">
        <v>561</v>
      </c>
      <c r="B21" s="41" t="s">
        <v>560</v>
      </c>
      <c r="C21" s="39" t="s">
        <v>523</v>
      </c>
    </row>
    <row r="22" spans="1:3">
      <c r="A22" s="41" t="s">
        <v>562</v>
      </c>
      <c r="B22" s="41" t="s">
        <v>560</v>
      </c>
      <c r="C22" s="39" t="s">
        <v>523</v>
      </c>
    </row>
    <row r="23" spans="1:3">
      <c r="A23" s="42"/>
      <c r="B23" s="42"/>
      <c r="C23" s="39"/>
    </row>
    <row r="24" spans="1:3">
      <c r="A24" s="42"/>
      <c r="B24" s="42"/>
      <c r="C24" s="39"/>
    </row>
    <row r="25" spans="1:3">
      <c r="A25" s="42"/>
      <c r="B25" s="42"/>
      <c r="C25" s="39"/>
    </row>
    <row r="26" spans="1:3">
      <c r="A26" s="42"/>
      <c r="B26" s="42"/>
      <c r="C26" s="39"/>
    </row>
    <row r="27" spans="1:3">
      <c r="A27" s="42"/>
      <c r="B27" s="42"/>
      <c r="C27" s="39"/>
    </row>
    <row r="28" spans="1:3">
      <c r="A28" s="42"/>
      <c r="B28" s="42"/>
      <c r="C28" s="39"/>
    </row>
    <row r="29" spans="1:3">
      <c r="A29" s="42"/>
      <c r="B29" s="42"/>
      <c r="C29" s="39"/>
    </row>
    <row r="30" spans="1:3">
      <c r="A30" s="42"/>
      <c r="B30" s="42"/>
      <c r="C30" s="39"/>
    </row>
    <row r="31" spans="1:3">
      <c r="A31" s="42"/>
      <c r="B31" s="42"/>
      <c r="C31" s="39"/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9" workbookViewId="0">
      <selection activeCell="A32" sqref="A32"/>
    </sheetView>
  </sheetViews>
  <sheetFormatPr defaultRowHeight="12.75"/>
  <cols>
    <col min="1" max="4" width="22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6" spans="1:6">
      <c r="E6">
        <v>2019</v>
      </c>
      <c r="F6">
        <v>2018</v>
      </c>
    </row>
    <row r="7" spans="1:6">
      <c r="A7" t="s">
        <v>378</v>
      </c>
    </row>
    <row r="8" spans="1:6">
      <c r="A8" t="s">
        <v>379</v>
      </c>
      <c r="B8" t="s">
        <v>116</v>
      </c>
      <c r="C8" t="s">
        <v>116</v>
      </c>
      <c r="D8" t="s">
        <v>116</v>
      </c>
    </row>
    <row r="9" spans="1:6">
      <c r="A9" t="s">
        <v>380</v>
      </c>
      <c r="B9" t="s">
        <v>117</v>
      </c>
      <c r="C9" t="s">
        <v>117</v>
      </c>
      <c r="D9" t="s">
        <v>116</v>
      </c>
      <c r="E9">
        <v>172708</v>
      </c>
      <c r="F9">
        <v>143517</v>
      </c>
    </row>
    <row r="10" spans="1:6">
      <c r="A10" t="s">
        <v>381</v>
      </c>
      <c r="B10" t="s">
        <v>118</v>
      </c>
      <c r="C10" t="s">
        <v>118</v>
      </c>
      <c r="D10" t="s">
        <v>116</v>
      </c>
      <c r="E10">
        <v>150487</v>
      </c>
      <c r="F10">
        <v>113649</v>
      </c>
    </row>
    <row r="11" spans="1:6">
      <c r="A11" t="s">
        <v>382</v>
      </c>
      <c r="B11" t="s">
        <v>352</v>
      </c>
      <c r="C11" t="s">
        <v>137</v>
      </c>
      <c r="D11" t="s">
        <v>116</v>
      </c>
      <c r="E11">
        <v>31051</v>
      </c>
      <c r="F11">
        <v>56813</v>
      </c>
    </row>
    <row r="12" spans="1:6">
      <c r="A12" t="s">
        <v>383</v>
      </c>
      <c r="D12" t="s">
        <v>116</v>
      </c>
      <c r="E12">
        <v>53047</v>
      </c>
      <c r="F12">
        <v>16872</v>
      </c>
    </row>
    <row r="13" spans="1:6">
      <c r="A13" t="s">
        <v>384</v>
      </c>
      <c r="B13" t="s">
        <v>126</v>
      </c>
      <c r="C13" t="s">
        <v>126</v>
      </c>
      <c r="D13" t="s">
        <v>116</v>
      </c>
      <c r="E13">
        <v>54056</v>
      </c>
      <c r="F13">
        <v>37425</v>
      </c>
    </row>
    <row r="14" spans="1:6">
      <c r="A14" t="s">
        <v>385</v>
      </c>
      <c r="B14" t="s">
        <v>134</v>
      </c>
      <c r="C14" t="s">
        <v>134</v>
      </c>
      <c r="D14" t="s">
        <v>116</v>
      </c>
      <c r="E14">
        <v>7418</v>
      </c>
      <c r="F14">
        <v>5103</v>
      </c>
    </row>
    <row r="15" spans="1:6">
      <c r="A15" t="s">
        <v>386</v>
      </c>
      <c r="B15" t="s">
        <v>133</v>
      </c>
      <c r="C15" t="s">
        <v>133</v>
      </c>
      <c r="D15" t="s">
        <v>116</v>
      </c>
      <c r="E15">
        <v>821</v>
      </c>
    </row>
    <row r="16" spans="1:6">
      <c r="A16" t="s">
        <v>387</v>
      </c>
      <c r="B16" t="s">
        <v>139</v>
      </c>
      <c r="C16" t="s">
        <v>139</v>
      </c>
      <c r="D16" t="s">
        <v>116</v>
      </c>
      <c r="F16">
        <v>25668</v>
      </c>
    </row>
    <row r="17" spans="1:6">
      <c r="A17" t="s">
        <v>388</v>
      </c>
      <c r="B17" t="s">
        <v>12</v>
      </c>
      <c r="C17" t="s">
        <v>12</v>
      </c>
      <c r="D17" t="s">
        <v>116</v>
      </c>
      <c r="E17">
        <v>469588</v>
      </c>
      <c r="F17">
        <v>399047</v>
      </c>
    </row>
    <row r="18" spans="1:6">
      <c r="A18" t="s">
        <v>389</v>
      </c>
      <c r="B18" t="s">
        <v>103</v>
      </c>
      <c r="C18" t="s">
        <v>103</v>
      </c>
      <c r="D18" t="s">
        <v>80</v>
      </c>
      <c r="E18">
        <v>9386</v>
      </c>
      <c r="F18">
        <v>40656</v>
      </c>
    </row>
    <row r="19" spans="1:6">
      <c r="A19" t="s">
        <v>390</v>
      </c>
      <c r="B19" t="s">
        <v>391</v>
      </c>
      <c r="C19" t="s">
        <v>84</v>
      </c>
      <c r="D19" t="s">
        <v>80</v>
      </c>
      <c r="E19">
        <v>16905</v>
      </c>
      <c r="F19">
        <v>19219</v>
      </c>
    </row>
    <row r="20" spans="1:6">
      <c r="A20" t="s">
        <v>392</v>
      </c>
      <c r="B20" t="s">
        <v>101</v>
      </c>
      <c r="C20" t="s">
        <v>101</v>
      </c>
      <c r="D20" t="s">
        <v>80</v>
      </c>
      <c r="E20">
        <v>6685</v>
      </c>
      <c r="F20">
        <v>11494</v>
      </c>
    </row>
    <row r="21" spans="1:6">
      <c r="A21" t="s">
        <v>393</v>
      </c>
      <c r="B21" t="s">
        <v>113</v>
      </c>
      <c r="C21" t="s">
        <v>113</v>
      </c>
      <c r="D21" t="s">
        <v>80</v>
      </c>
      <c r="E21">
        <v>6280</v>
      </c>
      <c r="F21">
        <v>3002</v>
      </c>
    </row>
    <row r="22" spans="1:6">
      <c r="A22" t="s">
        <v>394</v>
      </c>
      <c r="D22" t="s">
        <v>80</v>
      </c>
      <c r="E22">
        <v>508844</v>
      </c>
      <c r="F22">
        <v>473418</v>
      </c>
    </row>
    <row r="23" spans="1:6">
      <c r="A23" t="s">
        <v>395</v>
      </c>
      <c r="D23" t="s">
        <v>80</v>
      </c>
    </row>
    <row r="24" spans="1:6">
      <c r="A24" t="s">
        <v>396</v>
      </c>
      <c r="B24" t="s">
        <v>141</v>
      </c>
      <c r="C24" t="s">
        <v>141</v>
      </c>
      <c r="D24" t="s">
        <v>141</v>
      </c>
    </row>
    <row r="25" spans="1:6">
      <c r="A25" t="s">
        <v>397</v>
      </c>
      <c r="B25" t="s">
        <v>397</v>
      </c>
      <c r="C25" t="s">
        <v>163</v>
      </c>
      <c r="D25" t="s">
        <v>141</v>
      </c>
      <c r="E25">
        <v>15972</v>
      </c>
      <c r="F25">
        <v>21340</v>
      </c>
    </row>
    <row r="26" spans="1:6">
      <c r="A26" t="s">
        <v>398</v>
      </c>
      <c r="B26" t="s">
        <v>399</v>
      </c>
      <c r="C26" t="s">
        <v>161</v>
      </c>
      <c r="D26" t="s">
        <v>141</v>
      </c>
      <c r="E26">
        <v>18507</v>
      </c>
      <c r="F26">
        <v>16851</v>
      </c>
    </row>
    <row r="27" spans="1:6">
      <c r="A27" t="s">
        <v>400</v>
      </c>
      <c r="B27" t="s">
        <v>159</v>
      </c>
      <c r="C27" t="s">
        <v>159</v>
      </c>
      <c r="D27" t="s">
        <v>141</v>
      </c>
      <c r="F27">
        <v>4085</v>
      </c>
    </row>
    <row r="28" spans="1:6">
      <c r="A28" t="s">
        <v>401</v>
      </c>
      <c r="B28" t="s">
        <v>402</v>
      </c>
      <c r="C28" t="s">
        <v>162</v>
      </c>
      <c r="D28" t="s">
        <v>141</v>
      </c>
      <c r="E28">
        <v>2962</v>
      </c>
      <c r="F28">
        <v>3564</v>
      </c>
    </row>
    <row r="29" spans="1:6">
      <c r="A29" t="s">
        <v>403</v>
      </c>
      <c r="B29" t="s">
        <v>163</v>
      </c>
      <c r="C29" t="s">
        <v>163</v>
      </c>
      <c r="D29" t="s">
        <v>141</v>
      </c>
      <c r="E29">
        <v>7425</v>
      </c>
      <c r="F29">
        <v>6954</v>
      </c>
    </row>
    <row r="30" spans="1:6">
      <c r="A30" t="s">
        <v>404</v>
      </c>
      <c r="B30" t="s">
        <v>164</v>
      </c>
      <c r="C30" t="s">
        <v>164</v>
      </c>
      <c r="D30" t="s">
        <v>141</v>
      </c>
      <c r="F30">
        <v>9294</v>
      </c>
    </row>
    <row r="31" spans="1:6">
      <c r="A31" t="s">
        <v>405</v>
      </c>
      <c r="B31" t="s">
        <v>13</v>
      </c>
      <c r="C31" t="s">
        <v>13</v>
      </c>
      <c r="D31" t="s">
        <v>141</v>
      </c>
      <c r="E31">
        <v>44866</v>
      </c>
      <c r="F31">
        <v>62088</v>
      </c>
    </row>
    <row r="32" spans="1:6">
      <c r="A32" t="s">
        <v>406</v>
      </c>
      <c r="B32" t="s">
        <v>399</v>
      </c>
      <c r="C32" t="s">
        <v>161</v>
      </c>
      <c r="D32" t="s">
        <v>141</v>
      </c>
      <c r="E32">
        <v>1173</v>
      </c>
      <c r="F32">
        <v>1536</v>
      </c>
    </row>
    <row r="33" spans="1:6">
      <c r="A33" t="s">
        <v>407</v>
      </c>
      <c r="B33" t="s">
        <v>163</v>
      </c>
      <c r="C33" t="s">
        <v>163</v>
      </c>
      <c r="D33" t="s">
        <v>165</v>
      </c>
      <c r="E33">
        <v>150</v>
      </c>
      <c r="F33">
        <v>622</v>
      </c>
    </row>
    <row r="34" spans="1:6">
      <c r="A34" t="s">
        <v>408</v>
      </c>
      <c r="B34" t="s">
        <v>178</v>
      </c>
      <c r="C34" t="s">
        <v>178</v>
      </c>
      <c r="D34" t="s">
        <v>165</v>
      </c>
      <c r="E34">
        <v>29</v>
      </c>
      <c r="F34">
        <v>67</v>
      </c>
    </row>
    <row r="35" spans="1:6">
      <c r="A35" t="s">
        <v>409</v>
      </c>
      <c r="B35" t="s">
        <v>173</v>
      </c>
      <c r="C35" t="s">
        <v>173</v>
      </c>
      <c r="D35" t="s">
        <v>165</v>
      </c>
      <c r="E35">
        <v>51</v>
      </c>
      <c r="F35">
        <v>49</v>
      </c>
    </row>
    <row r="36" spans="1:6">
      <c r="A36" t="s">
        <v>410</v>
      </c>
      <c r="B36" t="s">
        <v>180</v>
      </c>
      <c r="C36" t="s">
        <v>180</v>
      </c>
      <c r="D36" t="s">
        <v>165</v>
      </c>
    </row>
    <row r="37" spans="1:6">
      <c r="A37" t="s">
        <v>411</v>
      </c>
      <c r="B37" t="s">
        <v>181</v>
      </c>
      <c r="C37" t="s">
        <v>181</v>
      </c>
      <c r="D37" t="s">
        <v>165</v>
      </c>
    </row>
    <row r="38" spans="1:6">
      <c r="A38" t="s">
        <v>412</v>
      </c>
      <c r="D38" t="s">
        <v>165</v>
      </c>
    </row>
    <row r="39" spans="1:6">
      <c r="A39" t="s">
        <v>413</v>
      </c>
      <c r="D39" t="s">
        <v>165</v>
      </c>
    </row>
    <row r="40" spans="1:6">
      <c r="A40" t="s">
        <v>414</v>
      </c>
      <c r="D40" t="s">
        <v>165</v>
      </c>
    </row>
    <row r="41" spans="1:6">
      <c r="A41" t="s">
        <v>415</v>
      </c>
      <c r="D41" t="s">
        <v>165</v>
      </c>
    </row>
    <row r="42" spans="1:6">
      <c r="A42" t="s">
        <v>416</v>
      </c>
      <c r="D42" t="s">
        <v>165</v>
      </c>
    </row>
    <row r="43" spans="1:6">
      <c r="A43" t="s">
        <v>417</v>
      </c>
      <c r="D43" t="s">
        <v>165</v>
      </c>
      <c r="E43">
        <v>2</v>
      </c>
      <c r="F43">
        <v>2</v>
      </c>
    </row>
    <row r="44" spans="1:6">
      <c r="A44" t="s">
        <v>418</v>
      </c>
      <c r="B44" t="s">
        <v>182</v>
      </c>
      <c r="C44" t="s">
        <v>182</v>
      </c>
      <c r="D44" t="s">
        <v>181</v>
      </c>
      <c r="E44">
        <v>176216</v>
      </c>
      <c r="F44">
        <v>170139</v>
      </c>
    </row>
    <row r="45" spans="1:6">
      <c r="A45" t="s">
        <v>419</v>
      </c>
      <c r="B45" t="s">
        <v>189</v>
      </c>
      <c r="C45" t="s">
        <v>189</v>
      </c>
      <c r="D45" t="s">
        <v>181</v>
      </c>
      <c r="E45">
        <v>2</v>
      </c>
      <c r="F45">
        <v>-21</v>
      </c>
    </row>
    <row r="46" spans="1:6">
      <c r="A46" t="s">
        <v>420</v>
      </c>
      <c r="B46" t="s">
        <v>187</v>
      </c>
      <c r="C46" t="s">
        <v>187</v>
      </c>
      <c r="D46" t="s">
        <v>181</v>
      </c>
      <c r="E46">
        <v>286351</v>
      </c>
      <c r="F46">
        <v>238913</v>
      </c>
    </row>
    <row r="47" spans="1:6">
      <c r="A47" t="s">
        <v>421</v>
      </c>
      <c r="D47" t="s">
        <v>181</v>
      </c>
      <c r="E47">
        <v>462571</v>
      </c>
      <c r="F47">
        <v>409033</v>
      </c>
    </row>
    <row r="48" spans="1:6">
      <c r="A48" t="s">
        <v>422</v>
      </c>
      <c r="B48" t="s">
        <v>67</v>
      </c>
      <c r="C48" t="s">
        <v>67</v>
      </c>
      <c r="D48" t="s">
        <v>181</v>
      </c>
      <c r="E48">
        <v>4</v>
      </c>
      <c r="F48">
        <v>23</v>
      </c>
    </row>
    <row r="49" spans="1:6">
      <c r="A49" t="s">
        <v>423</v>
      </c>
      <c r="B49" t="s">
        <v>195</v>
      </c>
      <c r="C49" t="s">
        <v>195</v>
      </c>
      <c r="D49" t="s">
        <v>181</v>
      </c>
      <c r="E49">
        <v>462575</v>
      </c>
      <c r="F49">
        <v>409056</v>
      </c>
    </row>
    <row r="50" spans="1:6">
      <c r="A50" t="s">
        <v>424</v>
      </c>
      <c r="D50" t="s">
        <v>181</v>
      </c>
      <c r="E50">
        <v>508844</v>
      </c>
      <c r="F50">
        <v>473418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2"/>
  <sheetViews>
    <sheetView topLeftCell="A19" workbookViewId="0">
      <selection activeCell="A31" sqref="A31"/>
    </sheetView>
  </sheetViews>
  <sheetFormatPr defaultRowHeight="12.75"/>
  <cols>
    <col min="1" max="4" width="22.7109375" customWidth="1"/>
  </cols>
  <sheetData>
    <row r="3" spans="1:7">
      <c r="E3">
        <v>2019</v>
      </c>
      <c r="F3">
        <v>2018</v>
      </c>
      <c r="G3">
        <v>2017</v>
      </c>
    </row>
    <row r="4" spans="1:7">
      <c r="A4" t="s">
        <v>425</v>
      </c>
      <c r="B4" t="s">
        <v>426</v>
      </c>
      <c r="C4" t="s">
        <v>26</v>
      </c>
      <c r="D4" t="s">
        <v>426</v>
      </c>
    </row>
    <row r="5" spans="1:7">
      <c r="A5" t="s">
        <v>427</v>
      </c>
      <c r="B5" t="s">
        <v>426</v>
      </c>
      <c r="C5" t="s">
        <v>26</v>
      </c>
      <c r="D5" t="s">
        <v>426</v>
      </c>
      <c r="E5">
        <v>212089</v>
      </c>
      <c r="F5">
        <v>191712</v>
      </c>
      <c r="G5">
        <v>158924</v>
      </c>
    </row>
    <row r="6" spans="1:7">
      <c r="A6" t="s">
        <v>428</v>
      </c>
      <c r="D6" t="s">
        <v>426</v>
      </c>
      <c r="E6">
        <v>102185</v>
      </c>
      <c r="F6">
        <v>76712</v>
      </c>
      <c r="G6">
        <v>74181</v>
      </c>
    </row>
    <row r="7" spans="1:7">
      <c r="D7" t="s">
        <v>426</v>
      </c>
      <c r="E7">
        <v>314274</v>
      </c>
      <c r="F7">
        <v>268424</v>
      </c>
      <c r="G7">
        <v>233105</v>
      </c>
    </row>
    <row r="8" spans="1:7">
      <c r="A8" t="s">
        <v>429</v>
      </c>
      <c r="B8" t="s">
        <v>27</v>
      </c>
      <c r="C8" t="s">
        <v>27</v>
      </c>
      <c r="D8" t="s">
        <v>426</v>
      </c>
    </row>
    <row r="9" spans="1:7">
      <c r="A9" t="s">
        <v>427</v>
      </c>
      <c r="B9" t="s">
        <v>426</v>
      </c>
      <c r="C9" t="s">
        <v>26</v>
      </c>
      <c r="D9" t="s">
        <v>426</v>
      </c>
      <c r="E9">
        <v>113489</v>
      </c>
      <c r="F9">
        <v>109393</v>
      </c>
      <c r="G9">
        <v>89039</v>
      </c>
    </row>
    <row r="10" spans="1:7">
      <c r="A10" t="s">
        <v>430</v>
      </c>
      <c r="D10" t="s">
        <v>426</v>
      </c>
      <c r="E10">
        <v>72382</v>
      </c>
      <c r="F10">
        <v>51346</v>
      </c>
      <c r="G10">
        <v>47193</v>
      </c>
    </row>
    <row r="11" spans="1:7">
      <c r="D11" t="s">
        <v>426</v>
      </c>
      <c r="E11">
        <v>185871</v>
      </c>
      <c r="F11">
        <v>160739</v>
      </c>
      <c r="G11">
        <v>136232</v>
      </c>
    </row>
    <row r="12" spans="1:7">
      <c r="A12" t="s">
        <v>431</v>
      </c>
      <c r="D12" t="s">
        <v>426</v>
      </c>
    </row>
    <row r="13" spans="1:7">
      <c r="A13" t="s">
        <v>427</v>
      </c>
      <c r="B13" t="s">
        <v>426</v>
      </c>
      <c r="C13" t="s">
        <v>26</v>
      </c>
      <c r="D13" t="s">
        <v>426</v>
      </c>
      <c r="E13">
        <v>98600</v>
      </c>
      <c r="F13">
        <v>82319</v>
      </c>
      <c r="G13">
        <v>69885</v>
      </c>
    </row>
    <row r="14" spans="1:7">
      <c r="A14" t="s">
        <v>430</v>
      </c>
      <c r="D14" t="s">
        <v>426</v>
      </c>
      <c r="E14">
        <v>29803</v>
      </c>
      <c r="F14">
        <v>25366</v>
      </c>
      <c r="G14">
        <v>26988</v>
      </c>
    </row>
    <row r="15" spans="1:7">
      <c r="D15" t="s">
        <v>426</v>
      </c>
      <c r="E15">
        <v>128403</v>
      </c>
      <c r="F15">
        <v>107685</v>
      </c>
      <c r="G15">
        <v>96873</v>
      </c>
    </row>
    <row r="16" spans="1:7">
      <c r="A16" t="s">
        <v>432</v>
      </c>
      <c r="B16" t="s">
        <v>36</v>
      </c>
      <c r="C16" t="s">
        <v>36</v>
      </c>
      <c r="D16" t="s">
        <v>426</v>
      </c>
      <c r="E16">
        <v>60343</v>
      </c>
      <c r="F16">
        <v>50826</v>
      </c>
      <c r="G16">
        <v>47642</v>
      </c>
    </row>
    <row r="17" spans="1:7">
      <c r="A17" t="s">
        <v>433</v>
      </c>
      <c r="B17" t="s">
        <v>37</v>
      </c>
      <c r="C17" t="s">
        <v>37</v>
      </c>
      <c r="D17" t="s">
        <v>426</v>
      </c>
      <c r="E17">
        <v>34234</v>
      </c>
      <c r="F17">
        <v>26433</v>
      </c>
      <c r="G17">
        <v>28465</v>
      </c>
    </row>
    <row r="18" spans="1:7">
      <c r="A18" t="s">
        <v>434</v>
      </c>
      <c r="B18" t="s">
        <v>435</v>
      </c>
      <c r="C18" t="s">
        <v>33</v>
      </c>
      <c r="D18" t="s">
        <v>426</v>
      </c>
      <c r="E18">
        <v>33826</v>
      </c>
      <c r="F18">
        <v>30426</v>
      </c>
      <c r="G18">
        <v>20766</v>
      </c>
    </row>
    <row r="19" spans="1:7">
      <c r="A19" t="s">
        <v>436</v>
      </c>
      <c r="B19" t="s">
        <v>426</v>
      </c>
      <c r="C19" t="s">
        <v>26</v>
      </c>
      <c r="D19" t="s">
        <v>426</v>
      </c>
    </row>
    <row r="20" spans="1:7">
      <c r="A20" t="s">
        <v>437</v>
      </c>
      <c r="B20" t="s">
        <v>54</v>
      </c>
      <c r="C20" t="s">
        <v>54</v>
      </c>
      <c r="D20" t="s">
        <v>426</v>
      </c>
      <c r="E20">
        <v>4672</v>
      </c>
      <c r="F20">
        <v>2240</v>
      </c>
      <c r="G20">
        <v>1618</v>
      </c>
    </row>
    <row r="21" spans="1:7">
      <c r="A21" t="s">
        <v>438</v>
      </c>
      <c r="B21" t="s">
        <v>435</v>
      </c>
      <c r="C21" t="s">
        <v>33</v>
      </c>
      <c r="D21" t="s">
        <v>426</v>
      </c>
      <c r="E21">
        <v>11980</v>
      </c>
      <c r="F21">
        <v>-49</v>
      </c>
      <c r="G21">
        <v>172</v>
      </c>
    </row>
    <row r="22" spans="1:7">
      <c r="A22" t="s">
        <v>439</v>
      </c>
      <c r="B22" t="s">
        <v>440</v>
      </c>
      <c r="C22" t="s">
        <v>61</v>
      </c>
      <c r="D22" t="s">
        <v>426</v>
      </c>
      <c r="E22">
        <v>50478</v>
      </c>
      <c r="F22">
        <v>32617</v>
      </c>
      <c r="G22">
        <v>22556</v>
      </c>
    </row>
    <row r="23" spans="1:7">
      <c r="A23" t="s">
        <v>441</v>
      </c>
      <c r="B23" t="s">
        <v>62</v>
      </c>
      <c r="C23" t="s">
        <v>62</v>
      </c>
      <c r="D23" t="s">
        <v>426</v>
      </c>
      <c r="E23">
        <v>4641</v>
      </c>
      <c r="F23">
        <v>9800</v>
      </c>
      <c r="G23">
        <v>4758</v>
      </c>
    </row>
    <row r="24" spans="1:7">
      <c r="A24" t="s">
        <v>442</v>
      </c>
      <c r="D24" t="s">
        <v>426</v>
      </c>
      <c r="E24">
        <v>-3944</v>
      </c>
      <c r="F24">
        <v>-1283</v>
      </c>
      <c r="G24">
        <v>-119</v>
      </c>
    </row>
    <row r="25" spans="1:7">
      <c r="A25" t="s">
        <v>443</v>
      </c>
      <c r="B25" t="s">
        <v>435</v>
      </c>
      <c r="C25" t="s">
        <v>33</v>
      </c>
      <c r="D25" t="s">
        <v>426</v>
      </c>
      <c r="E25">
        <v>41893</v>
      </c>
      <c r="F25">
        <v>21534</v>
      </c>
      <c r="G25">
        <v>17679</v>
      </c>
    </row>
    <row r="26" spans="1:7">
      <c r="A26" t="s">
        <v>444</v>
      </c>
      <c r="D26" t="s">
        <v>426</v>
      </c>
    </row>
    <row r="27" spans="1:7">
      <c r="A27" t="s">
        <v>445</v>
      </c>
      <c r="D27" t="s">
        <v>426</v>
      </c>
      <c r="E27">
        <v>8490</v>
      </c>
    </row>
    <row r="28" spans="1:7">
      <c r="A28" t="s">
        <v>446</v>
      </c>
      <c r="D28" t="s">
        <v>426</v>
      </c>
      <c r="E28">
        <v>-2964</v>
      </c>
      <c r="F28">
        <v>-3887</v>
      </c>
      <c r="G28">
        <v>-4601</v>
      </c>
    </row>
    <row r="29" spans="1:7">
      <c r="A29" t="s">
        <v>447</v>
      </c>
      <c r="B29" t="s">
        <v>58</v>
      </c>
      <c r="C29" t="s">
        <v>58</v>
      </c>
      <c r="D29" t="s">
        <v>426</v>
      </c>
      <c r="E29">
        <v>5526</v>
      </c>
      <c r="F29">
        <v>-3887</v>
      </c>
      <c r="G29">
        <v>-4601</v>
      </c>
    </row>
    <row r="30" spans="1:7">
      <c r="A30" t="s">
        <v>448</v>
      </c>
      <c r="B30" t="s">
        <v>70</v>
      </c>
      <c r="C30" t="s">
        <v>70</v>
      </c>
      <c r="D30" t="s">
        <v>426</v>
      </c>
      <c r="E30">
        <v>47419</v>
      </c>
      <c r="F30">
        <v>17647</v>
      </c>
      <c r="G30">
        <v>13078</v>
      </c>
    </row>
    <row r="31" spans="1:7">
      <c r="A31" t="s">
        <v>449</v>
      </c>
      <c r="B31" t="s">
        <v>450</v>
      </c>
      <c r="C31" t="s">
        <v>67</v>
      </c>
      <c r="D31" t="s">
        <v>426</v>
      </c>
      <c r="E31">
        <v>19</v>
      </c>
      <c r="F31">
        <v>216</v>
      </c>
      <c r="G31">
        <v>22</v>
      </c>
    </row>
    <row r="32" spans="1:7">
      <c r="A32" t="s">
        <v>451</v>
      </c>
      <c r="D32" t="s">
        <v>426</v>
      </c>
      <c r="E32">
        <v>47438</v>
      </c>
      <c r="F32">
        <v>17863</v>
      </c>
      <c r="G32">
        <v>13100</v>
      </c>
    </row>
    <row r="33" spans="1:7">
      <c r="A33" t="s">
        <v>452</v>
      </c>
      <c r="D33" t="s">
        <v>426</v>
      </c>
    </row>
    <row r="34" spans="1:7">
      <c r="A34" t="s">
        <v>453</v>
      </c>
      <c r="D34" t="s">
        <v>426</v>
      </c>
      <c r="E34">
        <v>177</v>
      </c>
      <c r="F34">
        <v>93</v>
      </c>
      <c r="G34">
        <v>77</v>
      </c>
    </row>
    <row r="35" spans="1:7">
      <c r="A35" t="s">
        <v>454</v>
      </c>
      <c r="D35" t="s">
        <v>426</v>
      </c>
      <c r="E35">
        <v>23</v>
      </c>
      <c r="F35">
        <v>-17</v>
      </c>
      <c r="G35">
        <v>-20</v>
      </c>
    </row>
    <row r="36" spans="1:7">
      <c r="A36" t="s">
        <v>455</v>
      </c>
      <c r="D36" t="s">
        <v>426</v>
      </c>
      <c r="E36">
        <v>200</v>
      </c>
      <c r="F36">
        <v>76</v>
      </c>
      <c r="G36">
        <v>57</v>
      </c>
    </row>
    <row r="37" spans="1:7">
      <c r="A37" t="s">
        <v>456</v>
      </c>
      <c r="D37" t="s">
        <v>426</v>
      </c>
    </row>
    <row r="38" spans="1:7">
      <c r="A38" t="s">
        <v>453</v>
      </c>
      <c r="D38" t="s">
        <v>426</v>
      </c>
      <c r="E38">
        <v>174</v>
      </c>
      <c r="F38">
        <v>91</v>
      </c>
      <c r="G38">
        <v>76</v>
      </c>
    </row>
    <row r="39" spans="1:7">
      <c r="A39" t="s">
        <v>454</v>
      </c>
      <c r="B39" t="s">
        <v>58</v>
      </c>
      <c r="C39" t="s">
        <v>58</v>
      </c>
      <c r="D39" t="s">
        <v>426</v>
      </c>
      <c r="E39">
        <v>-23</v>
      </c>
      <c r="F39">
        <v>-16</v>
      </c>
      <c r="G39">
        <v>-20</v>
      </c>
    </row>
    <row r="40" spans="1:7">
      <c r="A40" t="s">
        <v>457</v>
      </c>
      <c r="B40" t="s">
        <v>67</v>
      </c>
      <c r="C40" t="s">
        <v>67</v>
      </c>
      <c r="D40" t="s">
        <v>426</v>
      </c>
      <c r="E40">
        <v>197</v>
      </c>
      <c r="F40">
        <v>75</v>
      </c>
      <c r="G40">
        <v>56</v>
      </c>
    </row>
    <row r="41" spans="1:7">
      <c r="A41" t="s">
        <v>458</v>
      </c>
      <c r="D41" t="s">
        <v>426</v>
      </c>
    </row>
    <row r="42" spans="1:7">
      <c r="A42" t="s">
        <v>459</v>
      </c>
      <c r="D42" t="s">
        <v>426</v>
      </c>
      <c r="E42">
        <v>23663410</v>
      </c>
      <c r="F42">
        <v>23471241</v>
      </c>
      <c r="G42">
        <v>23059045</v>
      </c>
    </row>
    <row r="43" spans="1:7">
      <c r="A43" t="s">
        <v>460</v>
      </c>
      <c r="D43" t="s">
        <v>426</v>
      </c>
      <c r="E43">
        <v>24071713</v>
      </c>
      <c r="F43">
        <v>23813772</v>
      </c>
      <c r="G43">
        <v>23307738</v>
      </c>
    </row>
    <row r="44" spans="1:7">
      <c r="A44" t="s">
        <v>461</v>
      </c>
      <c r="D44" t="s">
        <v>426</v>
      </c>
    </row>
    <row r="45" spans="1:7">
      <c r="D45" t="s">
        <v>426</v>
      </c>
    </row>
    <row r="46" spans="1:7">
      <c r="D46" t="s">
        <v>426</v>
      </c>
      <c r="E46">
        <v>2019</v>
      </c>
      <c r="F46">
        <v>2018</v>
      </c>
      <c r="G46">
        <v>2017</v>
      </c>
    </row>
    <row r="47" spans="1:7">
      <c r="A47" t="s">
        <v>448</v>
      </c>
      <c r="B47" t="s">
        <v>70</v>
      </c>
      <c r="C47" t="s">
        <v>70</v>
      </c>
      <c r="D47" t="s">
        <v>426</v>
      </c>
      <c r="E47">
        <v>47419</v>
      </c>
      <c r="F47">
        <v>17647</v>
      </c>
      <c r="G47">
        <v>13078</v>
      </c>
    </row>
    <row r="48" spans="1:7">
      <c r="A48" t="s">
        <v>462</v>
      </c>
      <c r="B48" t="s">
        <v>463</v>
      </c>
      <c r="C48" t="s">
        <v>463</v>
      </c>
      <c r="D48" t="s">
        <v>426</v>
      </c>
    </row>
    <row r="49" spans="1:7">
      <c r="A49" t="s">
        <v>464</v>
      </c>
      <c r="B49" t="s">
        <v>59</v>
      </c>
      <c r="C49" t="s">
        <v>59</v>
      </c>
      <c r="D49" t="s">
        <v>426</v>
      </c>
      <c r="E49">
        <v>-34</v>
      </c>
      <c r="F49">
        <v>36</v>
      </c>
    </row>
    <row r="50" spans="1:7">
      <c r="A50" t="s">
        <v>465</v>
      </c>
      <c r="B50" t="s">
        <v>466</v>
      </c>
      <c r="C50" t="s">
        <v>47</v>
      </c>
      <c r="D50" t="s">
        <v>426</v>
      </c>
      <c r="E50">
        <v>57</v>
      </c>
      <c r="F50">
        <v>70</v>
      </c>
      <c r="G50">
        <v>74</v>
      </c>
    </row>
    <row r="51" spans="1:7">
      <c r="A51" t="s">
        <v>467</v>
      </c>
      <c r="B51" t="s">
        <v>463</v>
      </c>
      <c r="C51" t="s">
        <v>463</v>
      </c>
      <c r="D51" t="s">
        <v>426</v>
      </c>
      <c r="E51">
        <v>47442</v>
      </c>
      <c r="F51">
        <v>17753</v>
      </c>
      <c r="G51">
        <v>13152</v>
      </c>
    </row>
    <row r="52" spans="1:7">
      <c r="A52" t="s">
        <v>449</v>
      </c>
      <c r="B52" t="s">
        <v>450</v>
      </c>
      <c r="C52" t="s">
        <v>67</v>
      </c>
      <c r="D52" t="s">
        <v>426</v>
      </c>
      <c r="E52">
        <v>19</v>
      </c>
      <c r="F52">
        <v>216</v>
      </c>
      <c r="G52">
        <v>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workbookViewId="0">
      <selection sqref="A1:D1048576"/>
    </sheetView>
  </sheetViews>
  <sheetFormatPr defaultRowHeight="12.75"/>
  <cols>
    <col min="1" max="4" width="22.7109375" customWidth="1"/>
  </cols>
  <sheetData>
    <row r="2" spans="1:7">
      <c r="E2">
        <v>2019</v>
      </c>
      <c r="F2">
        <v>2018</v>
      </c>
      <c r="G2">
        <v>2017</v>
      </c>
    </row>
    <row r="3" spans="1:7">
      <c r="A3" t="s">
        <v>468</v>
      </c>
      <c r="B3" t="s">
        <v>231</v>
      </c>
      <c r="C3" t="s">
        <v>231</v>
      </c>
      <c r="D3" t="s">
        <v>469</v>
      </c>
    </row>
    <row r="4" spans="1:7">
      <c r="A4" t="s">
        <v>448</v>
      </c>
      <c r="B4" t="s">
        <v>232</v>
      </c>
      <c r="C4" t="s">
        <v>232</v>
      </c>
      <c r="D4" t="s">
        <v>469</v>
      </c>
      <c r="E4">
        <v>47419</v>
      </c>
      <c r="F4">
        <v>17647</v>
      </c>
      <c r="G4">
        <v>13078</v>
      </c>
    </row>
    <row r="5" spans="1:7">
      <c r="A5" t="s">
        <v>470</v>
      </c>
      <c r="E5">
        <v>-8490</v>
      </c>
    </row>
    <row r="6" spans="1:7">
      <c r="A6" t="s">
        <v>446</v>
      </c>
      <c r="B6" t="s">
        <v>233</v>
      </c>
      <c r="C6" t="s">
        <v>233</v>
      </c>
      <c r="D6" t="s">
        <v>469</v>
      </c>
      <c r="E6">
        <v>2964</v>
      </c>
      <c r="F6">
        <v>3887</v>
      </c>
      <c r="G6">
        <v>4601</v>
      </c>
    </row>
    <row r="7" spans="1:7">
      <c r="A7" t="s">
        <v>443</v>
      </c>
      <c r="E7">
        <v>41893</v>
      </c>
      <c r="F7">
        <v>21534</v>
      </c>
      <c r="G7">
        <v>17679</v>
      </c>
    </row>
    <row r="8" spans="1:7">
      <c r="A8" t="s">
        <v>471</v>
      </c>
    </row>
    <row r="9" spans="1:7">
      <c r="A9" t="s">
        <v>472</v>
      </c>
      <c r="B9" t="s">
        <v>236</v>
      </c>
      <c r="C9" t="s">
        <v>236</v>
      </c>
      <c r="D9" t="s">
        <v>469</v>
      </c>
      <c r="E9">
        <v>7669</v>
      </c>
      <c r="F9">
        <v>5982</v>
      </c>
      <c r="G9">
        <v>5054</v>
      </c>
    </row>
    <row r="10" spans="1:7">
      <c r="A10" t="s">
        <v>473</v>
      </c>
      <c r="B10" t="s">
        <v>241</v>
      </c>
      <c r="C10" t="s">
        <v>241</v>
      </c>
      <c r="D10" t="s">
        <v>469</v>
      </c>
      <c r="E10">
        <v>3944</v>
      </c>
      <c r="F10">
        <v>1283</v>
      </c>
      <c r="G10">
        <v>119</v>
      </c>
    </row>
    <row r="11" spans="1:7">
      <c r="A11" t="s">
        <v>474</v>
      </c>
      <c r="B11" t="s">
        <v>240</v>
      </c>
      <c r="C11" t="s">
        <v>240</v>
      </c>
      <c r="E11">
        <v>4398</v>
      </c>
      <c r="F11">
        <v>255</v>
      </c>
      <c r="G11">
        <v>46</v>
      </c>
    </row>
    <row r="12" spans="1:7">
      <c r="A12" t="s">
        <v>475</v>
      </c>
      <c r="B12" t="s">
        <v>250</v>
      </c>
      <c r="C12" t="s">
        <v>250</v>
      </c>
      <c r="E12">
        <v>-39</v>
      </c>
      <c r="F12">
        <v>977</v>
      </c>
      <c r="G12">
        <v>48</v>
      </c>
    </row>
    <row r="13" spans="1:7">
      <c r="A13" t="s">
        <v>476</v>
      </c>
      <c r="B13" t="s">
        <v>240</v>
      </c>
      <c r="C13" t="s">
        <v>240</v>
      </c>
      <c r="D13" t="s">
        <v>469</v>
      </c>
      <c r="F13">
        <v>1021</v>
      </c>
    </row>
    <row r="14" spans="1:7">
      <c r="A14" t="s">
        <v>477</v>
      </c>
      <c r="B14" t="s">
        <v>241</v>
      </c>
      <c r="C14" t="s">
        <v>241</v>
      </c>
      <c r="D14" t="s">
        <v>469</v>
      </c>
      <c r="E14">
        <v>38</v>
      </c>
      <c r="F14">
        <v>-87</v>
      </c>
      <c r="G14">
        <v>284</v>
      </c>
    </row>
    <row r="15" spans="1:7">
      <c r="A15" t="s">
        <v>392</v>
      </c>
      <c r="B15" t="s">
        <v>269</v>
      </c>
      <c r="C15" t="s">
        <v>269</v>
      </c>
      <c r="E15">
        <v>4792</v>
      </c>
      <c r="F15">
        <v>2853</v>
      </c>
      <c r="G15">
        <v>309</v>
      </c>
    </row>
    <row r="16" spans="1:7">
      <c r="A16" t="s">
        <v>478</v>
      </c>
      <c r="G16">
        <v>-584</v>
      </c>
    </row>
    <row r="17" spans="1:7">
      <c r="A17" t="s">
        <v>479</v>
      </c>
      <c r="B17" t="s">
        <v>248</v>
      </c>
      <c r="C17" t="s">
        <v>248</v>
      </c>
      <c r="D17" t="s">
        <v>469</v>
      </c>
      <c r="E17">
        <v>6985</v>
      </c>
      <c r="F17">
        <v>4956</v>
      </c>
      <c r="G17">
        <v>3392</v>
      </c>
    </row>
    <row r="18" spans="1:7">
      <c r="A18" t="s">
        <v>480</v>
      </c>
      <c r="B18" t="s">
        <v>245</v>
      </c>
      <c r="C18" t="s">
        <v>245</v>
      </c>
      <c r="D18" t="s">
        <v>469</v>
      </c>
      <c r="E18">
        <v>76</v>
      </c>
      <c r="F18">
        <v>20</v>
      </c>
      <c r="G18">
        <v>44</v>
      </c>
    </row>
    <row r="19" spans="1:7">
      <c r="A19" t="s">
        <v>481</v>
      </c>
      <c r="B19" t="s">
        <v>290</v>
      </c>
      <c r="C19" t="s">
        <v>290</v>
      </c>
      <c r="D19" t="s">
        <v>482</v>
      </c>
      <c r="E19">
        <v>-1506</v>
      </c>
      <c r="F19">
        <v>1424</v>
      </c>
      <c r="G19">
        <v>2382</v>
      </c>
    </row>
    <row r="20" spans="1:7">
      <c r="A20" t="s">
        <v>483</v>
      </c>
      <c r="B20" t="s">
        <v>251</v>
      </c>
      <c r="C20" t="s">
        <v>251</v>
      </c>
      <c r="D20" t="s">
        <v>469</v>
      </c>
    </row>
    <row r="21" spans="1:7">
      <c r="A21" t="s">
        <v>484</v>
      </c>
      <c r="B21" t="s">
        <v>265</v>
      </c>
      <c r="C21" t="s">
        <v>265</v>
      </c>
      <c r="D21" t="s">
        <v>469</v>
      </c>
      <c r="E21">
        <v>25821</v>
      </c>
      <c r="F21">
        <v>11070</v>
      </c>
      <c r="G21">
        <v>-19720</v>
      </c>
    </row>
    <row r="22" spans="1:7">
      <c r="A22" t="s">
        <v>485</v>
      </c>
      <c r="D22" t="s">
        <v>469</v>
      </c>
      <c r="E22">
        <v>-36175</v>
      </c>
      <c r="F22">
        <v>2253</v>
      </c>
      <c r="G22">
        <v>615</v>
      </c>
    </row>
    <row r="23" spans="1:7">
      <c r="A23" t="s">
        <v>384</v>
      </c>
      <c r="B23" t="s">
        <v>261</v>
      </c>
      <c r="C23" t="s">
        <v>261</v>
      </c>
      <c r="D23" t="s">
        <v>469</v>
      </c>
      <c r="E23">
        <v>-16631</v>
      </c>
      <c r="F23">
        <v>1192</v>
      </c>
      <c r="G23">
        <v>-16816</v>
      </c>
    </row>
    <row r="24" spans="1:7">
      <c r="A24" t="s">
        <v>486</v>
      </c>
      <c r="B24" t="s">
        <v>292</v>
      </c>
      <c r="C24" t="s">
        <v>292</v>
      </c>
      <c r="D24" t="s">
        <v>469</v>
      </c>
      <c r="E24">
        <v>-821</v>
      </c>
    </row>
    <row r="25" spans="1:7">
      <c r="A25" t="s">
        <v>487</v>
      </c>
      <c r="B25" t="s">
        <v>264</v>
      </c>
      <c r="C25" t="s">
        <v>264</v>
      </c>
      <c r="D25" t="s">
        <v>469</v>
      </c>
      <c r="E25">
        <v>-2401</v>
      </c>
      <c r="F25">
        <v>139</v>
      </c>
      <c r="G25">
        <v>-1484</v>
      </c>
    </row>
    <row r="26" spans="1:7">
      <c r="A26" t="s">
        <v>397</v>
      </c>
      <c r="B26" t="s">
        <v>275</v>
      </c>
      <c r="C26" t="s">
        <v>275</v>
      </c>
      <c r="D26" t="s">
        <v>469</v>
      </c>
      <c r="E26">
        <v>-7054</v>
      </c>
      <c r="F26">
        <v>5736</v>
      </c>
      <c r="G26">
        <v>545</v>
      </c>
    </row>
    <row r="27" spans="1:7">
      <c r="A27" t="s">
        <v>488</v>
      </c>
      <c r="B27" t="s">
        <v>277</v>
      </c>
      <c r="C27" t="s">
        <v>277</v>
      </c>
      <c r="D27" t="s">
        <v>469</v>
      </c>
      <c r="E27">
        <v>-4043</v>
      </c>
      <c r="F27">
        <v>9224</v>
      </c>
      <c r="G27">
        <v>-166</v>
      </c>
    </row>
    <row r="28" spans="1:7">
      <c r="A28" t="s">
        <v>489</v>
      </c>
      <c r="B28" t="s">
        <v>285</v>
      </c>
      <c r="C28" t="s">
        <v>285</v>
      </c>
      <c r="D28" t="s">
        <v>469</v>
      </c>
      <c r="E28">
        <v>26946</v>
      </c>
      <c r="F28">
        <v>69832</v>
      </c>
      <c r="G28">
        <v>-8253</v>
      </c>
    </row>
    <row r="29" spans="1:7">
      <c r="A29" t="s">
        <v>490</v>
      </c>
      <c r="B29" t="s">
        <v>286</v>
      </c>
      <c r="C29" t="s">
        <v>286</v>
      </c>
      <c r="D29" t="s">
        <v>482</v>
      </c>
    </row>
    <row r="30" spans="1:7">
      <c r="A30" t="s">
        <v>491</v>
      </c>
      <c r="B30" t="s">
        <v>287</v>
      </c>
      <c r="C30" t="s">
        <v>287</v>
      </c>
      <c r="D30" t="s">
        <v>482</v>
      </c>
      <c r="E30">
        <v>-8896</v>
      </c>
      <c r="F30">
        <v>-9563</v>
      </c>
      <c r="G30">
        <v>-9017</v>
      </c>
    </row>
    <row r="31" spans="1:7">
      <c r="A31" t="s">
        <v>492</v>
      </c>
      <c r="B31" t="s">
        <v>241</v>
      </c>
      <c r="C31" t="s">
        <v>241</v>
      </c>
      <c r="D31" t="s">
        <v>482</v>
      </c>
      <c r="E31">
        <v>-7598</v>
      </c>
      <c r="F31">
        <v>-3267</v>
      </c>
    </row>
    <row r="32" spans="1:7">
      <c r="A32" t="s">
        <v>493</v>
      </c>
      <c r="B32" t="s">
        <v>287</v>
      </c>
      <c r="C32" t="s">
        <v>287</v>
      </c>
      <c r="D32" t="s">
        <v>482</v>
      </c>
      <c r="G32">
        <v>-430</v>
      </c>
    </row>
    <row r="33" spans="1:7">
      <c r="A33" t="s">
        <v>494</v>
      </c>
      <c r="B33" t="s">
        <v>288</v>
      </c>
      <c r="C33" t="s">
        <v>288</v>
      </c>
      <c r="D33" t="s">
        <v>482</v>
      </c>
      <c r="E33">
        <v>31994</v>
      </c>
    </row>
    <row r="34" spans="1:7">
      <c r="A34" t="s">
        <v>495</v>
      </c>
      <c r="B34" t="s">
        <v>290</v>
      </c>
      <c r="C34" t="s">
        <v>290</v>
      </c>
      <c r="D34" t="s">
        <v>482</v>
      </c>
      <c r="E34">
        <v>260918</v>
      </c>
      <c r="F34">
        <v>227663</v>
      </c>
      <c r="G34">
        <v>121522</v>
      </c>
    </row>
    <row r="35" spans="1:7">
      <c r="A35" t="s">
        <v>496</v>
      </c>
      <c r="B35" t="s">
        <v>290</v>
      </c>
      <c r="C35" t="s">
        <v>290</v>
      </c>
      <c r="D35" t="s">
        <v>482</v>
      </c>
      <c r="E35">
        <v>-267122</v>
      </c>
      <c r="F35">
        <v>-221680</v>
      </c>
      <c r="G35">
        <v>-148991</v>
      </c>
    </row>
    <row r="36" spans="1:7">
      <c r="A36" t="s">
        <v>497</v>
      </c>
      <c r="B36" t="s">
        <v>291</v>
      </c>
      <c r="C36" t="s">
        <v>291</v>
      </c>
      <c r="D36" t="s">
        <v>482</v>
      </c>
      <c r="E36">
        <v>2250</v>
      </c>
      <c r="F36">
        <v>450</v>
      </c>
      <c r="G36">
        <v>400</v>
      </c>
    </row>
    <row r="37" spans="1:7">
      <c r="A37" t="s">
        <v>498</v>
      </c>
      <c r="B37" t="s">
        <v>296</v>
      </c>
      <c r="C37" t="s">
        <v>296</v>
      </c>
      <c r="D37" t="s">
        <v>482</v>
      </c>
      <c r="E37">
        <v>11546</v>
      </c>
      <c r="F37">
        <v>-6397</v>
      </c>
      <c r="G37">
        <v>-36516</v>
      </c>
    </row>
    <row r="38" spans="1:7">
      <c r="A38" t="s">
        <v>499</v>
      </c>
      <c r="B38" t="s">
        <v>297</v>
      </c>
      <c r="C38" t="s">
        <v>297</v>
      </c>
      <c r="D38" t="s">
        <v>500</v>
      </c>
    </row>
    <row r="39" spans="1:7">
      <c r="A39" t="s">
        <v>501</v>
      </c>
      <c r="B39" t="s">
        <v>302</v>
      </c>
      <c r="C39" t="s">
        <v>302</v>
      </c>
      <c r="D39" t="s">
        <v>500</v>
      </c>
      <c r="E39">
        <v>-161</v>
      </c>
      <c r="F39">
        <v>-288</v>
      </c>
      <c r="G39">
        <v>-390</v>
      </c>
    </row>
    <row r="40" spans="1:7">
      <c r="A40" t="s">
        <v>502</v>
      </c>
      <c r="B40" t="s">
        <v>503</v>
      </c>
      <c r="C40" t="s">
        <v>503</v>
      </c>
      <c r="D40" t="s">
        <v>500</v>
      </c>
      <c r="E40">
        <v>-1094</v>
      </c>
      <c r="F40">
        <v>-397</v>
      </c>
      <c r="G40">
        <v>-5</v>
      </c>
    </row>
    <row r="41" spans="1:7">
      <c r="A41" t="s">
        <v>504</v>
      </c>
      <c r="B41" t="s">
        <v>298</v>
      </c>
      <c r="C41" t="s">
        <v>298</v>
      </c>
      <c r="D41" t="s">
        <v>500</v>
      </c>
      <c r="E41">
        <v>71</v>
      </c>
      <c r="F41">
        <v>2705</v>
      </c>
      <c r="G41">
        <v>3865</v>
      </c>
    </row>
    <row r="42" spans="1:7">
      <c r="A42" t="s">
        <v>505</v>
      </c>
      <c r="B42" t="s">
        <v>311</v>
      </c>
      <c r="C42" t="s">
        <v>311</v>
      </c>
      <c r="D42" t="s">
        <v>500</v>
      </c>
      <c r="E42">
        <v>-1184</v>
      </c>
      <c r="F42">
        <v>2020</v>
      </c>
      <c r="G42">
        <v>3470</v>
      </c>
    </row>
    <row r="43" spans="1:7">
      <c r="A43" t="s">
        <v>454</v>
      </c>
      <c r="B43" t="s">
        <v>233</v>
      </c>
      <c r="C43" t="s">
        <v>233</v>
      </c>
      <c r="D43" t="s">
        <v>469</v>
      </c>
    </row>
    <row r="44" spans="1:7">
      <c r="A44" t="s">
        <v>506</v>
      </c>
      <c r="D44" t="s">
        <v>500</v>
      </c>
      <c r="E44">
        <v>-7686</v>
      </c>
      <c r="F44">
        <v>-623</v>
      </c>
      <c r="G44">
        <v>-2246</v>
      </c>
    </row>
    <row r="45" spans="1:7">
      <c r="A45" t="s">
        <v>507</v>
      </c>
      <c r="D45" t="s">
        <v>500</v>
      </c>
      <c r="E45">
        <v>-431</v>
      </c>
      <c r="F45">
        <v>-1219</v>
      </c>
      <c r="G45">
        <v>-838</v>
      </c>
    </row>
    <row r="46" spans="1:7">
      <c r="A46" t="s">
        <v>508</v>
      </c>
      <c r="D46" t="s">
        <v>500</v>
      </c>
    </row>
    <row r="47" spans="1:7">
      <c r="A47" t="s">
        <v>509</v>
      </c>
      <c r="B47" t="s">
        <v>279</v>
      </c>
      <c r="C47" t="s">
        <v>279</v>
      </c>
      <c r="D47" t="s">
        <v>469</v>
      </c>
      <c r="E47">
        <v>-8117</v>
      </c>
      <c r="F47">
        <v>-1842</v>
      </c>
      <c r="G47">
        <v>-3084</v>
      </c>
    </row>
    <row r="48" spans="1:7">
      <c r="A48" t="s">
        <v>510</v>
      </c>
      <c r="B48" t="s">
        <v>510</v>
      </c>
      <c r="C48" t="s">
        <v>312</v>
      </c>
      <c r="D48" t="s">
        <v>500</v>
      </c>
      <c r="E48">
        <v>29191</v>
      </c>
      <c r="F48">
        <v>63613</v>
      </c>
      <c r="G48">
        <v>-44383</v>
      </c>
    </row>
    <row r="49" spans="1:7">
      <c r="A49" t="s">
        <v>511</v>
      </c>
      <c r="B49" t="s">
        <v>511</v>
      </c>
      <c r="C49" t="s">
        <v>315</v>
      </c>
      <c r="D49" t="s">
        <v>500</v>
      </c>
      <c r="E49">
        <v>143517</v>
      </c>
      <c r="F49">
        <v>79904</v>
      </c>
      <c r="G49">
        <v>124287</v>
      </c>
    </row>
    <row r="50" spans="1:7">
      <c r="A50" t="s">
        <v>512</v>
      </c>
      <c r="B50" t="s">
        <v>316</v>
      </c>
      <c r="C50" t="s">
        <v>316</v>
      </c>
      <c r="D50" t="s">
        <v>500</v>
      </c>
      <c r="E50">
        <v>172708</v>
      </c>
      <c r="F50">
        <v>143517</v>
      </c>
      <c r="G50">
        <v>79904</v>
      </c>
    </row>
    <row r="51" spans="1:7">
      <c r="A51" t="s">
        <v>513</v>
      </c>
      <c r="D51" t="s">
        <v>500</v>
      </c>
    </row>
    <row r="52" spans="1:7">
      <c r="A52" t="s">
        <v>514</v>
      </c>
      <c r="D52" t="s">
        <v>500</v>
      </c>
    </row>
    <row r="53" spans="1:7">
      <c r="A53" t="s">
        <v>515</v>
      </c>
      <c r="D53" t="s">
        <v>500</v>
      </c>
      <c r="E53">
        <v>6780</v>
      </c>
      <c r="F53">
        <v>1813</v>
      </c>
      <c r="G53">
        <v>1804</v>
      </c>
    </row>
    <row r="54" spans="1:7">
      <c r="A54" t="s">
        <v>516</v>
      </c>
      <c r="D54" t="s">
        <v>500</v>
      </c>
    </row>
    <row r="55" spans="1:7">
      <c r="A55" t="s">
        <v>517</v>
      </c>
      <c r="B55" t="s">
        <v>244</v>
      </c>
      <c r="C55" t="s">
        <v>244</v>
      </c>
      <c r="D55" t="s">
        <v>469</v>
      </c>
      <c r="E55">
        <v>57</v>
      </c>
      <c r="F55">
        <v>70</v>
      </c>
      <c r="G55">
        <v>74</v>
      </c>
    </row>
    <row r="56" spans="1:7">
      <c r="A56" t="s">
        <v>518</v>
      </c>
      <c r="D56" t="s">
        <v>500</v>
      </c>
      <c r="F56">
        <v>384</v>
      </c>
      <c r="G56">
        <v>307</v>
      </c>
    </row>
    <row r="57" spans="1:7">
      <c r="A57" t="s">
        <v>464</v>
      </c>
      <c r="D57" t="s">
        <v>500</v>
      </c>
      <c r="E57">
        <v>-34</v>
      </c>
      <c r="F57">
        <v>36</v>
      </c>
    </row>
    <row r="58" spans="1:7">
      <c r="A58" t="s">
        <v>519</v>
      </c>
      <c r="B58" t="s">
        <v>287</v>
      </c>
      <c r="C58" t="s">
        <v>287</v>
      </c>
      <c r="D58" t="s">
        <v>482</v>
      </c>
      <c r="E58">
        <v>810</v>
      </c>
      <c r="F58">
        <v>379</v>
      </c>
      <c r="G58">
        <v>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C8EA91-E841-4539-87A4-9F59685E0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23DEE-11DD-41C4-8D1D-A95CC8650A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3A0011-5659-4219-8586-071C293EE3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2021-10-08T08:52:04Z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