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Financial Statements - PDF &amp; Excel\"/>
    </mc:Choice>
  </mc:AlternateContent>
  <bookViews>
    <workbookView xWindow="0" yWindow="0" windowWidth="11880" windowHeight="457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157" i="1"/>
  <c r="G92" i="1"/>
  <c r="F92" i="1"/>
  <c r="G24" i="1"/>
  <c r="F24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L382" i="1"/>
  <c r="O381" i="1"/>
  <c r="N381" i="1"/>
  <c r="M381" i="1"/>
  <c r="L381" i="1"/>
  <c r="K381" i="1"/>
  <c r="J381" i="1"/>
  <c r="J377" i="1"/>
  <c r="L376" i="1"/>
  <c r="O375" i="1"/>
  <c r="N375" i="1"/>
  <c r="M375" i="1"/>
  <c r="L375" i="1"/>
  <c r="K375" i="1"/>
  <c r="J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12" i="1" s="1"/>
  <c r="F376" i="1" s="1"/>
  <c r="G161" i="1"/>
  <c r="G8" i="1" s="1"/>
  <c r="G383" i="1" s="1"/>
  <c r="G128" i="1"/>
  <c r="G7" i="1" s="1"/>
  <c r="G382" i="1"/>
  <c r="G353" i="1"/>
  <c r="G355" i="1" s="1"/>
  <c r="G357" i="1" s="1"/>
  <c r="G385" i="1"/>
  <c r="F384" i="1"/>
  <c r="F13" i="1"/>
  <c r="F377" i="1"/>
  <c r="F353" i="1"/>
  <c r="F355" i="1" s="1"/>
  <c r="F357" i="1" s="1"/>
  <c r="F385" i="1"/>
  <c r="F383" i="1"/>
  <c r="F38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F381" i="1"/>
  <c r="I365" i="1"/>
  <c r="M368" i="1"/>
  <c r="M372" i="1"/>
  <c r="I375" i="1"/>
  <c r="O376" i="1"/>
  <c r="M377" i="1"/>
  <c r="K378" i="1"/>
  <c r="I381" i="1"/>
  <c r="O382" i="1"/>
  <c r="K384" i="1"/>
  <c r="F375" i="1"/>
  <c r="J383" i="1"/>
  <c r="F363" i="1"/>
  <c r="N368" i="1"/>
  <c r="N372" i="1"/>
  <c r="H376" i="1"/>
  <c r="N377" i="1"/>
  <c r="L378" i="1"/>
  <c r="H382" i="1"/>
  <c r="H384" i="1"/>
  <c r="G363" i="1"/>
  <c r="O368" i="1"/>
  <c r="O372" i="1"/>
  <c r="I376" i="1"/>
  <c r="G377" i="1"/>
  <c r="O377" i="1"/>
  <c r="M378" i="1"/>
  <c r="I382" i="1"/>
  <c r="F44" i="1"/>
  <c r="H363" i="1"/>
  <c r="G13" i="1"/>
  <c r="G44" i="1"/>
  <c r="I363" i="1"/>
  <c r="F14" i="1" l="1"/>
  <c r="G12" i="1"/>
  <c r="F366" i="1" s="1"/>
  <c r="G376" i="1"/>
  <c r="F378" i="1"/>
  <c r="F59" i="1"/>
  <c r="F67" i="1" s="1"/>
  <c r="F71" i="1" s="1"/>
  <c r="F370" i="1"/>
  <c r="G378" i="1"/>
  <c r="G370" i="1"/>
  <c r="G59" i="1"/>
  <c r="G67" i="1" s="1"/>
  <c r="G71" i="1" s="1"/>
  <c r="G366" i="1" l="1"/>
  <c r="G14" i="1"/>
  <c r="G373" i="1"/>
  <c r="G83" i="1"/>
  <c r="G372" i="1"/>
  <c r="G6" i="1"/>
  <c r="F373" i="1"/>
  <c r="F83" i="1"/>
  <c r="F6" i="1"/>
  <c r="F372" i="1"/>
  <c r="F365" i="1" l="1"/>
  <c r="F371" i="1"/>
  <c r="G371" i="1"/>
  <c r="G365" i="1"/>
</calcChain>
</file>

<file path=xl/sharedStrings.xml><?xml version="1.0" encoding="utf-8"?>
<sst xmlns="http://schemas.openxmlformats.org/spreadsheetml/2006/main" count="822" uniqueCount="506">
  <si>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</si>
  <si>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</si>
  <si>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</si>
  <si>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</si>
  <si>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</si>
  <si>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</si>
  <si>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</si>
  <si>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</si>
  <si>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</si>
  <si>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</si>
  <si>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</si>
  <si>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</si>
  <si>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</si>
  <si>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</si>
  <si>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</si>
  <si>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</si>
  <si>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</si>
  <si>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</si>
  <si>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</si>
  <si>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</si>
  <si>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</si>
  <si>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</si>
  <si>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</si>
  <si>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</si>
  <si>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</si>
  <si>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</si>
  <si>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</si>
  <si>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</si>
  <si>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</si>
  <si>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</si>
  <si>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</si>
  <si>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</si>
  <si>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</si>
  <si>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</si>
  <si>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</si>
  <si>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</si>
  <si>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</si>
  <si>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</si>
  <si>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</si>
  <si>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</si>
  <si>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</si>
  <si>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</si>
  <si>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</si>
  <si>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</si>
  <si>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</si>
  <si>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</si>
  <si>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</si>
  <si>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</si>
  <si>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</si>
  <si>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</si>
  <si>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</si>
  <si>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</si>
  <si>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</si>
  <si>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</si>
  <si>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</si>
  <si>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</si>
  <si>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</si>
  <si>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</si>
  <si>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</si>
  <si>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</si>
  <si>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</si>
  <si>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</si>
  <si>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</si>
  <si>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</si>
  <si>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</si>
  <si>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</si>
  <si>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</si>
  <si>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</si>
  <si>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</si>
  <si>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</si>
  <si>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</si>
  <si>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</si>
  <si>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</si>
  <si>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</si>
  <si>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</si>
  <si>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</si>
  <si>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</si>
  <si>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</si>
  <si>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</si>
  <si>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</si>
  <si>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</si>
  <si>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</si>
  <si>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</si>
  <si>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</si>
  <si>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</si>
  <si>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</si>
  <si>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</si>
  <si>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</si>
  <si>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</si>
  <si>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</si>
  <si>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</si>
  <si>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</si>
  <si>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</si>
  <si>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</si>
  <si>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</si>
  <si>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</si>
  <si>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</si>
  <si>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</si>
  <si>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</si>
  <si>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</si>
  <si>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</si>
  <si>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</si>
  <si>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</si>
  <si>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</si>
  <si>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</si>
  <si>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</si>
  <si>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</si>
  <si>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</si>
  <si>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</si>
  <si>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</si>
  <si>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</si>
  <si>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</si>
  <si>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</si>
  <si>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</si>
  <si>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</si>
  <si>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</si>
  <si>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</si>
  <si>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</si>
  <si>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</si>
  <si>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</si>
  <si>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</si>
  <si>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</si>
  <si>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</si>
  <si>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</si>
  <si>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</si>
  <si>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</si>
  <si>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</si>
  <si>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</si>
  <si>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</si>
  <si>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</si>
  <si>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</si>
  <si>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</si>
  <si>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</si>
  <si>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</si>
  <si>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</si>
  <si>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</si>
  <si>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</si>
  <si>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</si>
  <si>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</si>
  <si>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</si>
  <si>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</si>
  <si>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</si>
  <si>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</si>
  <si>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</si>
  <si>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</si>
  <si>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</si>
  <si>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</si>
  <si>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</si>
  <si>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</si>
  <si>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</si>
  <si>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</si>
  <si>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</si>
  <si>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</si>
  <si>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</si>
  <si>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</si>
  <si>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</si>
  <si>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</si>
  <si>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</si>
  <si>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</si>
  <si>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</si>
  <si>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</si>
  <si>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</si>
  <si>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</si>
  <si>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</si>
  <si>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</si>
  <si>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</si>
  <si>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</si>
  <si>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</si>
  <si>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</si>
  <si>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</si>
  <si>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</si>
  <si>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</si>
  <si>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</si>
  <si>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</si>
  <si>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</si>
  <si>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</si>
  <si>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</si>
  <si>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</si>
  <si>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</si>
  <si>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</si>
  <si>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</si>
  <si>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</si>
  <si>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</si>
  <si>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</si>
  <si>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</si>
  <si>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</si>
  <si>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</si>
  <si>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</si>
  <si>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</si>
  <si>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</si>
  <si>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</si>
  <si>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</si>
  <si>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</si>
  <si>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</si>
  <si>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</si>
  <si>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</si>
  <si>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</si>
  <si>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</si>
  <si>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</si>
  <si>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</si>
  <si>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</si>
  <si>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</si>
  <si>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</si>
  <si>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</si>
  <si>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</si>
  <si>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</si>
  <si>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</si>
  <si>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</si>
  <si>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</si>
  <si>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</si>
  <si>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</si>
  <si>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</si>
  <si>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</si>
  <si>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</si>
  <si>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</si>
  <si>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</si>
  <si>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</si>
  <si>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</si>
  <si>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</si>
  <si>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</si>
  <si>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</si>
  <si>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</si>
  <si>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</si>
  <si>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</si>
  <si>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</si>
  <si>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</si>
  <si>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</si>
  <si>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</si>
  <si>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</si>
  <si>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</si>
  <si>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</si>
  <si>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</si>
  <si>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</si>
  <si>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</si>
  <si>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</si>
  <si>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</si>
  <si>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</si>
  <si>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</si>
  <si>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</si>
  <si>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</si>
  <si>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</si>
  <si>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</si>
  <si>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</si>
  <si>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</si>
  <si>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</si>
  <si>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</si>
  <si>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</si>
  <si>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</si>
  <si>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</si>
  <si>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</si>
  <si>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</si>
  <si>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</si>
  <si>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</si>
  <si>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</si>
  <si>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</si>
  <si>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</si>
  <si>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</si>
  <si>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</si>
  <si>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</si>
  <si>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</si>
  <si>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</si>
  <si>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</si>
  <si>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</si>
  <si>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</si>
  <si>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</si>
  <si>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</si>
  <si>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</si>
  <si>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</si>
  <si>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</si>
  <si>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</si>
  <si>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</si>
  <si>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</si>
  <si>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</si>
  <si>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</si>
  <si>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</si>
  <si>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</si>
  <si>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</si>
  <si>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</si>
  <si>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</si>
  <si>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</si>
  <si>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</si>
  <si>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</si>
  <si>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</si>
  <si>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</si>
  <si>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</si>
  <si>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</si>
  <si>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</si>
  <si>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</si>
  <si>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</si>
  <si>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</si>
  <si>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</si>
  <si>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</si>
  <si>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</si>
  <si>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</si>
  <si>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</si>
  <si>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</si>
  <si>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</si>
  <si>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</si>
  <si>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</si>
  <si>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</si>
  <si>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</si>
  <si>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</si>
  <si>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</si>
  <si>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</si>
  <si>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</si>
  <si>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</si>
  <si>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</si>
  <si>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</si>
  <si>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</si>
  <si>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</si>
  <si>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</si>
  <si>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</si>
  <si>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</si>
  <si>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</si>
  <si>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</si>
  <si>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</si>
  <si>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</si>
  <si>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</si>
  <si>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</si>
  <si>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</si>
  <si>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</si>
  <si>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</si>
  <si>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</si>
  <si>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</si>
  <si>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</si>
  <si>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</si>
  <si>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</si>
  <si>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</si>
  <si>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</si>
  <si>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</si>
  <si>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</si>
  <si>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</si>
  <si>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</si>
  <si>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</si>
  <si>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</si>
  <si>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</si>
  <si>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</si>
  <si>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</si>
  <si>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</si>
  <si>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</si>
  <si>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</si>
  <si>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</si>
  <si>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</si>
  <si>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</si>
  <si>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</si>
  <si>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</si>
  <si>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</si>
  <si>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</si>
  <si>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</si>
  <si>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</si>
  <si>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</si>
  <si>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</si>
  <si>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</si>
  <si>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</si>
  <si>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</si>
  <si>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</si>
  <si>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</si>
  <si>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</si>
  <si>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</si>
  <si>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</si>
  <si>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</si>
  <si>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</si>
  <si>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</si>
  <si>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</si>
  <si>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</si>
  <si>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</si>
  <si>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</si>
  <si>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</si>
  <si>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</si>
  <si>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</si>
  <si>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</si>
  <si>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</si>
  <si>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</si>
  <si>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</si>
  <si>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</si>
  <si>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</si>
  <si>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</si>
  <si>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Marketable securities</t>
  </si>
  <si>
    <t>Accounts receivable, net</t>
  </si>
  <si>
    <t>Collaboration receivable  related party</t>
  </si>
  <si>
    <t>Collaboration receivable  other</t>
  </si>
  <si>
    <t>Royalty receivable  related party</t>
  </si>
  <si>
    <t>Inventory</t>
  </si>
  <si>
    <t>Prepaid expenses and other current assets</t>
  </si>
  <si>
    <t>Total current assets</t>
  </si>
  <si>
    <t>Property and equipment, net</t>
  </si>
  <si>
    <t>Property and Equipment</t>
  </si>
  <si>
    <t>Other non-current assets</t>
  </si>
  <si>
    <t>Total assets</t>
  </si>
  <si>
    <t>Liabilities and stockholders equity</t>
  </si>
  <si>
    <t>Current liabilities:</t>
  </si>
  <si>
    <t>Accounts payable</t>
  </si>
  <si>
    <t>Accruals</t>
  </si>
  <si>
    <t>Deferred revenue  related party</t>
  </si>
  <si>
    <t>Accrued Revenue</t>
  </si>
  <si>
    <t>Deferred rent</t>
  </si>
  <si>
    <t>Total current liabilities</t>
  </si>
  <si>
    <t>Deferred revenue, net of current portion  related party</t>
  </si>
  <si>
    <t>Deferred rent, net of current portion</t>
  </si>
  <si>
    <t>Total liabilities</t>
  </si>
  <si>
    <t>Commitments and contingent liabilities (Note 8)</t>
  </si>
  <si>
    <t>Stockholders equity:</t>
  </si>
  <si>
    <t>Preferred stock, $0.001 par value; 25,000,000 shares authorized, no shares issued and</t>
  </si>
  <si>
    <t>outstanding at December 31, 2018 and 2017</t>
  </si>
  <si>
    <t>Common stock, $0.001 par value; 125,000,000 shares authorized and 58,218,653 and 48,826,153 shares issued and outstanding at December 31, 2018 and 2017, respectively</t>
  </si>
  <si>
    <t>Additional paid-in capital</t>
  </si>
  <si>
    <t>Accumulated other comprehensive loss</t>
  </si>
  <si>
    <t>Accumulated deficit</t>
  </si>
  <si>
    <t>Total stockholders equity</t>
  </si>
  <si>
    <t>Revenues:</t>
  </si>
  <si>
    <t>Revenue</t>
  </si>
  <si>
    <t>Product revenue, net</t>
  </si>
  <si>
    <t>Collaboration revenue  related party</t>
  </si>
  <si>
    <t>Collaboration revenue  other</t>
  </si>
  <si>
    <t>Royalty revenue  related party</t>
  </si>
  <si>
    <t>Total revenue</t>
  </si>
  <si>
    <t>Total Cost of Revenue</t>
  </si>
  <si>
    <t>Total Cost of Revenue TODO REMOVE</t>
  </si>
  <si>
    <t>Cost and expenses:</t>
  </si>
  <si>
    <t>Cost of sales</t>
  </si>
  <si>
    <t>Research and development (net of $7,811 and $19,714 of cost</t>
  </si>
  <si>
    <t>reimbursement from related party for the years ended December 31, 2017 and 2016, respectively)</t>
  </si>
  <si>
    <t>Selling, general and administrative</t>
  </si>
  <si>
    <t>Total cost and expenses</t>
  </si>
  <si>
    <t>Loss from operations</t>
  </si>
  <si>
    <t>Operating Profit</t>
  </si>
  <si>
    <t>Interest income</t>
  </si>
  <si>
    <t>Net loss</t>
  </si>
  <si>
    <t>Net loss per share  basic and diluted</t>
  </si>
  <si>
    <t>Weighted-average number of common shares used in computing net loss per share  basic and diluted</t>
  </si>
  <si>
    <t>Agios Pharmaceuticals, Inc</t>
  </si>
  <si>
    <t>(in thousands)</t>
  </si>
  <si>
    <t>Other comprehensive (loss) income:</t>
  </si>
  <si>
    <t>Total Other Comprehensive Income</t>
  </si>
  <si>
    <t>Unrealized (loss) gain on available-for-sale securities</t>
  </si>
  <si>
    <t>Comprehensive loss</t>
  </si>
  <si>
    <t>Total Other Comprehensive Loss</t>
  </si>
  <si>
    <t>See accompanying Notes to Consolidated Financial Statements</t>
  </si>
  <si>
    <t>Operating activities</t>
  </si>
  <si>
    <t>Operating Activities</t>
  </si>
  <si>
    <t>Adjustments to reconcile net loss to net cash (used in) provided by operating activities:</t>
  </si>
  <si>
    <t>Stock-based compensation expense</t>
  </si>
  <si>
    <t>Net (accretion of discount) amortization of premium on marketable securities</t>
  </si>
  <si>
    <t>Loss on disposal of property and equipment</t>
  </si>
  <si>
    <t>Changes in operating assets and liabilities:</t>
  </si>
  <si>
    <t>Prepaid expenses and other current and non-current assets</t>
  </si>
  <si>
    <t>Net cash (used in) provided by operating activities</t>
  </si>
  <si>
    <t>Investing activities</t>
  </si>
  <si>
    <t>Investing Activities</t>
  </si>
  <si>
    <t>Purchases of marketable securities</t>
  </si>
  <si>
    <t>Proceeds from maturities and sales of marketable securities</t>
  </si>
  <si>
    <t>Purchases of property and equipment</t>
  </si>
  <si>
    <t>Net cash used in investing activities</t>
  </si>
  <si>
    <t>Financing activities</t>
  </si>
  <si>
    <t>Financing Activities</t>
  </si>
  <si>
    <t>Proceeds from public offering of common stock, net of reimbursements</t>
  </si>
  <si>
    <t>(Payment) reimbursement of public offering costs</t>
  </si>
  <si>
    <t>Finance Costs</t>
  </si>
  <si>
    <t>Net proceeds from stock option exercises and employee stock purchase plan</t>
  </si>
  <si>
    <t>Net cash provided by financing activities</t>
  </si>
  <si>
    <t>Net change in cash and cash equivalents</t>
  </si>
  <si>
    <t>Cash and cash equivalents at beginning of the period</t>
  </si>
  <si>
    <t>Cash and cash equivalents at beginning of period</t>
  </si>
  <si>
    <t>Cash and cash equivalents at end of the period</t>
  </si>
  <si>
    <t>Supplemental disclosure of non-cash investing and financing transactions:</t>
  </si>
  <si>
    <t>Additions to property and equipment in accounts payable and accrued expenses</t>
  </si>
  <si>
    <t>Proceeds from stock option exercises in other current assets</t>
  </si>
  <si>
    <t>Public offering costs in other receivables, net of amounts in accounts payable and accrued expenses</t>
  </si>
  <si>
    <t>Original Line Item in the pdf</t>
  </si>
  <si>
    <t>Line item in the accounts Template into which Original line item is mapped</t>
  </si>
  <si>
    <t xml:space="preserve">Person mapping </t>
  </si>
  <si>
    <t>Niyoshi Aithal</t>
  </si>
  <si>
    <t>office equipment</t>
  </si>
  <si>
    <t>property, plant and equipment</t>
  </si>
  <si>
    <t>less: accumulated depreciation</t>
  </si>
  <si>
    <t>accumulated depreciation and amortisation</t>
  </si>
  <si>
    <t>ordinary shares</t>
  </si>
  <si>
    <t>additional paid-in capital</t>
  </si>
  <si>
    <t>deleted this value</t>
  </si>
  <si>
    <t>changed value</t>
  </si>
  <si>
    <t>turnover</t>
  </si>
  <si>
    <t>product revenue, net</t>
  </si>
  <si>
    <t>collaboration revenue - related party</t>
  </si>
  <si>
    <t>collaboration revenue - other</t>
  </si>
  <si>
    <t>royalty revenue - related party</t>
  </si>
  <si>
    <t>added from pdf</t>
  </si>
  <si>
    <t>cost of sales</t>
  </si>
  <si>
    <t>cost of goods sold</t>
  </si>
  <si>
    <t>research and development</t>
  </si>
  <si>
    <t>research and development (net of</t>
  </si>
  <si>
    <t>operating profit and (loss)</t>
  </si>
  <si>
    <t>loss from operations</t>
  </si>
  <si>
    <t>construction in progress</t>
  </si>
  <si>
    <t>laboratory equipment</t>
  </si>
  <si>
    <t>computer equipment and software</t>
  </si>
  <si>
    <t>furniture and fixtures</t>
  </si>
  <si>
    <t>leased assets</t>
  </si>
  <si>
    <t>leasehold improvements</t>
  </si>
  <si>
    <t>marketable investments</t>
  </si>
  <si>
    <t>marketable securities</t>
  </si>
  <si>
    <t>accounts receivable and prepayments</t>
  </si>
  <si>
    <t>accounts receivable, net</t>
  </si>
  <si>
    <t>royalty receivable  - related party</t>
  </si>
  <si>
    <t>other non-current liabilities</t>
  </si>
  <si>
    <t>deferred rent, net of current portion</t>
  </si>
  <si>
    <t>common stock,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</si>
</sst>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 applyFont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4F-4E71-ADF5-2C67DADDF7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AA-4BC1-BE1F-41CF8B08B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B3-4AB6-8901-07940CDEC8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73-44D0-B2DC-F14144579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783-4A4C-884D-E54065F916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E5-4433-9370-88ADE6E36F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23-45CC-80EF-8D379DF62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C41-4432-A2FE-C2B2D6084D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CA-4874-8A7D-6B3268F0A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75A-4CDD-AFEE-1FDF182A7E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D9-4949-ABEC-C478DFE934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ED-4E36-8B23-120EF77F49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AF-4D11-8B68-64C31763DB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93-4145-9B37-BBA957A9A4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F8-4B38-94D4-407B0CC8AA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-346028</v>
      </c>
      <c r="G6" s="7">
        <f t="shared" ref="G6:O6" si="1">IF(G4=$BF$1,"",G71)</f>
        <v>-314670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244677</v>
      </c>
      <c r="G7" s="7">
        <f t="shared" ref="G7:O7" si="2">IF(G4=$BF$1,"",G128)</f>
        <v>169136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613780</v>
      </c>
      <c r="G8" s="7">
        <f t="shared" ref="G8:O8" si="3">IF(G4=$BF$1,"",G161)</f>
        <v>445261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93503</v>
      </c>
      <c r="G9" s="7">
        <f t="shared" ref="G9:O9" si="4">IF(G4=$BF$1,"",G189)</f>
        <v>94941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77417</v>
      </c>
      <c r="G10" s="7">
        <f t="shared" ref="G10:O10" si="5">IF(G4=$BF$1,"",G210)</f>
        <v>143953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687537</v>
      </c>
      <c r="G11" s="7">
        <f t="shared" ref="G11:O11" si="6">IF(G4=$BF$1,"",G227)</f>
        <v>375503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858457</v>
      </c>
      <c r="G12" s="35">
        <f t="shared" ref="G12:O12" si="7">IF(G4=$BF$1,"",SUM(G7:G8))</f>
        <v>614397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858457</v>
      </c>
      <c r="G13" s="35">
        <f t="shared" ref="G13:O13" si="8">IF(G4=$BF$1,"",SUM(G9:G11))</f>
        <v>614397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13841+60661+12670+7215</f>
        <v>94387</v>
      </c>
      <c r="G24">
        <f>41074+1937</f>
        <v>43011</v>
      </c>
      <c r="H24">
        <v>69892</v>
      </c>
      <c r="P24" s="45" t="s">
        <v>479</v>
      </c>
    </row>
    <row r="25" spans="5:16">
      <c r="E25" s="1" t="s">
        <v>27</v>
      </c>
      <c r="F25">
        <v>1397</v>
      </c>
      <c r="G25"/>
      <c r="H25">
        <v>0</v>
      </c>
      <c r="P25" s="45" t="s">
        <v>485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92990</v>
      </c>
      <c r="G30" s="7">
        <f>IF(G4=$BF$1,"",G24-G25+ABS(G26)-G27-G28-G29)</f>
        <v>43011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6"/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114145</v>
      </c>
      <c r="G34">
        <v>71124</v>
      </c>
      <c r="H34">
        <v>50714</v>
      </c>
    </row>
    <row r="35" spans="5:16">
      <c r="E35" s="1" t="s">
        <v>37</v>
      </c>
      <c r="F35">
        <v>341324</v>
      </c>
      <c r="G35">
        <v>292681</v>
      </c>
      <c r="H35">
        <v>0</v>
      </c>
      <c r="P35" s="45" t="s">
        <v>485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  <c r="F38">
        <v>0</v>
      </c>
      <c r="G38">
        <v>0</v>
      </c>
      <c r="H38">
        <v>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455469</v>
      </c>
      <c r="G43" s="7">
        <f>G32+G33+G34+G35+G36+G37+G38+G39+G40+G41+G42</f>
        <v>363805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-362479</v>
      </c>
      <c r="G44" s="7">
        <f>IF(G4=$BF$1,"",G30+G31-G43)</f>
        <v>-320794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4"/>
    </row>
    <row r="45" spans="5:16">
      <c r="E45" s="1" t="s">
        <v>47</v>
      </c>
    </row>
    <row r="46" spans="5:16">
      <c r="E46" s="1" t="s">
        <v>48</v>
      </c>
      <c r="F46"/>
      <c r="G46"/>
      <c r="H46">
        <v>5</v>
      </c>
      <c r="P46" s="45" t="s">
        <v>478</v>
      </c>
    </row>
    <row r="47" spans="5:16">
      <c r="E47" s="1" t="s">
        <v>49</v>
      </c>
    </row>
    <row r="48" spans="5:16">
      <c r="E48" s="1" t="s">
        <v>50</v>
      </c>
    </row>
    <row r="49" spans="5:15">
      <c r="E49" s="1" t="s">
        <v>51</v>
      </c>
    </row>
    <row r="50" spans="5:15">
      <c r="E50" s="1" t="s">
        <v>52</v>
      </c>
    </row>
    <row r="51" spans="5:15">
      <c r="E51" s="1" t="s">
        <v>53</v>
      </c>
    </row>
    <row r="52" spans="5:15">
      <c r="E52" s="1" t="s">
        <v>54</v>
      </c>
      <c r="F52">
        <v>16451</v>
      </c>
      <c r="G52">
        <v>6124</v>
      </c>
      <c r="H52">
        <v>2514</v>
      </c>
    </row>
    <row r="53" spans="5:15">
      <c r="E53" s="1" t="s">
        <v>55</v>
      </c>
    </row>
    <row r="54" spans="5:15">
      <c r="E54" s="1" t="s">
        <v>56</v>
      </c>
    </row>
    <row r="55" spans="5:15">
      <c r="E55" s="1" t="s">
        <v>57</v>
      </c>
    </row>
    <row r="56" spans="5:15">
      <c r="E56" s="1" t="s">
        <v>58</v>
      </c>
    </row>
    <row r="57" spans="5:15">
      <c r="E57" s="1" t="s">
        <v>59</v>
      </c>
    </row>
    <row r="58" spans="5:15">
      <c r="E58" s="12" t="s">
        <v>60</v>
      </c>
    </row>
    <row r="59" spans="5:15">
      <c r="E59" s="6" t="s">
        <v>61</v>
      </c>
      <c r="F59" s="7">
        <f>F44+F45+F46+F47+F48-F49-F50-F51+F52-F53+F54+F55-F56+F57+F58</f>
        <v>-346028</v>
      </c>
      <c r="G59" s="7">
        <f>IF(G4=$BF$1,"",G44+G45+G46+G47+G48-G49-G50-G51+G52-G53+G54+G55-G56+G57+G58)</f>
        <v>-314670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62</v>
      </c>
    </row>
    <row r="61" spans="5:15">
      <c r="E61" s="1" t="s">
        <v>63</v>
      </c>
    </row>
    <row r="62" spans="5:15">
      <c r="E62" s="1" t="s">
        <v>64</v>
      </c>
    </row>
    <row r="63" spans="5:15">
      <c r="E63" s="12"/>
    </row>
    <row r="64" spans="5:15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-346028</v>
      </c>
      <c r="G67" s="7">
        <f>IF(G4=$BF$1,"",SUM(G59,-G60,-ABS(G61),-G62,-G66))</f>
        <v>-314670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-346028</v>
      </c>
      <c r="G71" s="7">
        <f t="shared" ref="G71:O71" si="14">IF(G4=$BF$1,"",SUM(G67:G70))</f>
        <v>-314670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4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-346028</v>
      </c>
      <c r="G83" s="7">
        <f t="shared" ref="G83:O83" si="15">IF(G4=$BF$1,"",SUM(G71:G82))</f>
        <v>-314670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1302</v>
      </c>
      <c r="G90" s="38">
        <v>618</v>
      </c>
      <c r="P90" s="45" t="s">
        <v>485</v>
      </c>
    </row>
    <row r="91" spans="5:16">
      <c r="E91" s="1" t="s">
        <v>83</v>
      </c>
    </row>
    <row r="92" spans="5:16">
      <c r="E92" s="12" t="s">
        <v>84</v>
      </c>
      <c r="F92">
        <f>20165+5449+1065+407</f>
        <v>27086</v>
      </c>
      <c r="G92">
        <f>17524+4293+752+319</f>
        <v>22888</v>
      </c>
      <c r="P92" s="45" t="s">
        <v>485</v>
      </c>
    </row>
    <row r="93" spans="5:16">
      <c r="E93" s="1" t="s">
        <v>85</v>
      </c>
    </row>
    <row r="94" spans="5:16">
      <c r="E94" s="1" t="s">
        <v>86</v>
      </c>
      <c r="F94" s="38">
        <v>22084</v>
      </c>
      <c r="G94" s="38">
        <v>20322</v>
      </c>
      <c r="P94" s="45" t="s">
        <v>485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50472</v>
      </c>
      <c r="G98" s="7">
        <f>IF(G4=$BF$1,"",G89+G90+G91+G92+G93+G94+G95+G96)</f>
        <v>43828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4"/>
    </row>
    <row r="99" spans="5:16">
      <c r="E99" s="1" t="s">
        <v>89</v>
      </c>
      <c r="F99" s="38">
        <v>-26152</v>
      </c>
      <c r="G99" s="38">
        <v>-19397</v>
      </c>
      <c r="P99" s="45" t="s">
        <v>485</v>
      </c>
    </row>
    <row r="100" spans="5:16">
      <c r="E100" s="6" t="s">
        <v>90</v>
      </c>
      <c r="F100" s="7">
        <f>F98+F99</f>
        <v>24320</v>
      </c>
      <c r="G100" s="7">
        <f t="shared" ref="G100:O100" si="17">IF(G4=$BF$1,"",G98+G99)</f>
        <v>24431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4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220119</v>
      </c>
      <c r="G113">
        <v>143814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>
        <v>238</v>
      </c>
      <c r="G125">
        <v>891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244677</v>
      </c>
      <c r="G128" s="7">
        <f t="shared" ref="G128:O128" si="19">IF(G4=$BF$1,"",G100+SUM(G104:G126))</f>
        <v>169136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4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70502</v>
      </c>
      <c r="G130">
        <v>102724</v>
      </c>
    </row>
    <row r="131" spans="5:16">
      <c r="E131" s="1" t="s">
        <v>118</v>
      </c>
      <c r="F131" s="38">
        <v>514800</v>
      </c>
      <c r="G131" s="38">
        <v>321212</v>
      </c>
      <c r="P131" s="45" t="s">
        <v>485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585302</v>
      </c>
      <c r="G140" s="7">
        <f t="shared" ref="G140:O140" si="20">IF(G4=$BF$1,"",G130+G131+G132+G133+G134+G135+G136+G139)</f>
        <v>423936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869</v>
      </c>
      <c r="G144">
        <v>0</v>
      </c>
    </row>
    <row r="145" spans="5:16">
      <c r="E145" s="6" t="s">
        <v>127</v>
      </c>
      <c r="F145" s="7">
        <f>F141+F142+F143+F144</f>
        <v>869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  <c r="F146">
        <v>2462</v>
      </c>
      <c r="G146">
        <v>2448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  <c r="F150">
        <v>670</v>
      </c>
      <c r="G150">
        <v>0</v>
      </c>
    </row>
    <row r="151" spans="5:16">
      <c r="E151" s="1" t="s">
        <v>133</v>
      </c>
    </row>
    <row r="154" spans="5:16">
      <c r="E154" s="12" t="s">
        <v>134</v>
      </c>
      <c r="F154">
        <v>17167</v>
      </c>
      <c r="G154">
        <v>17655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f>5076+2234</f>
        <v>7310</v>
      </c>
      <c r="G157">
        <v>1222</v>
      </c>
      <c r="P157" s="45"/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27609</v>
      </c>
      <c r="G160" s="7">
        <f>IF(G4=$BF$1,"",G146+G147+G148+G149+G150+G151+G152+G153+G154+G155+G156+G157+G158+G159)</f>
        <v>21325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613780</v>
      </c>
      <c r="G161" s="7">
        <f t="shared" ref="G161:O161" si="22">IF(G4=$BF$1,"",G140+G145+G160)</f>
        <v>445261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4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>
      <c r="E173" s="1" t="s">
        <v>152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42913</v>
      </c>
      <c r="G184">
        <v>34332</v>
      </c>
    </row>
    <row r="185" spans="5:16">
      <c r="E185" s="12" t="s">
        <v>162</v>
      </c>
      <c r="F185">
        <v>32710</v>
      </c>
      <c r="G185">
        <v>37842</v>
      </c>
    </row>
    <row r="187" spans="5:16">
      <c r="E187" s="1" t="s">
        <v>163</v>
      </c>
      <c r="F187">
        <v>17880</v>
      </c>
      <c r="G187">
        <v>22767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93503</v>
      </c>
      <c r="G189" s="7">
        <f t="shared" ref="G189:O189" si="23">IF(G4=$BF$1,"",SUM(G163:G188))</f>
        <v>94941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4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7">
      <c r="E193" s="1" t="s">
        <v>168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  <c r="F197">
        <v>59809</v>
      </c>
      <c r="G197">
        <v>125798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17608</v>
      </c>
      <c r="G209">
        <v>18155</v>
      </c>
      <c r="P209" s="45" t="s">
        <v>485</v>
      </c>
    </row>
    <row r="210" spans="5:16">
      <c r="E210" s="6" t="s">
        <v>14</v>
      </c>
      <c r="F210" s="7">
        <f>SUM(F191:F209)</f>
        <v>77417</v>
      </c>
      <c r="G210" s="7">
        <f t="shared" ref="G210:O210" si="24">IF(G4=$BF$1,"",SUM(G191:G209))</f>
        <v>143953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4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1794283+58</f>
        <v>1794341</v>
      </c>
      <c r="G212">
        <f>1174904+49</f>
        <v>1174953</v>
      </c>
      <c r="P212" s="45" t="s">
        <v>485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-1104633</v>
      </c>
      <c r="G217">
        <v>-798061</v>
      </c>
    </row>
    <row r="218" spans="5:16">
      <c r="E218" s="1" t="s">
        <v>188</v>
      </c>
    </row>
    <row r="219" spans="5:16">
      <c r="E219" s="1" t="s">
        <v>189</v>
      </c>
      <c r="F219">
        <v>-2171</v>
      </c>
      <c r="G219">
        <v>-1389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687537</v>
      </c>
      <c r="G227" s="7">
        <f t="shared" ref="G227:O227" si="25">IF(G4=$BF$1,"",SUM(G212:G226))</f>
        <v>375503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4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-346028</v>
      </c>
      <c r="G267">
        <v>-314670</v>
      </c>
      <c r="H267">
        <v>-198471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7172</v>
      </c>
      <c r="G271">
        <v>6432</v>
      </c>
      <c r="H271">
        <v>5708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-3837</v>
      </c>
      <c r="G275">
        <v>-11</v>
      </c>
      <c r="H275">
        <v>773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  <c r="F280">
        <v>20</v>
      </c>
      <c r="G280">
        <v>40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73357</v>
      </c>
      <c r="G285">
        <v>47809</v>
      </c>
      <c r="H285">
        <v>42086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76712</v>
      </c>
      <c r="G296" s="7">
        <f>IF(G4=$BF$1,"",G271+G272+G273+G274+G275+G276+G277+G278+G279+G280+G281+G282+G283+G284+G285+G286+G287+G288+G289+G290+G291+G292+G293+G294+G295)</f>
        <v>54270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-269316</v>
      </c>
      <c r="G297" s="7">
        <f t="shared" ref="G297:O297" si="27">IF(G4=$BF$1,"",MIN(F267,F268,F269)+F296)</f>
        <v>-269316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-869</v>
      </c>
      <c r="G299">
        <v>0</v>
      </c>
      <c r="H299">
        <v>0</v>
      </c>
    </row>
    <row r="300" spans="5:15">
      <c r="E300" s="1" t="s">
        <v>262</v>
      </c>
    </row>
    <row r="301" spans="5:15">
      <c r="E301" s="1" t="s">
        <v>263</v>
      </c>
      <c r="F301">
        <v>-1696</v>
      </c>
      <c r="G301">
        <v>1216</v>
      </c>
      <c r="H301">
        <v>3339</v>
      </c>
    </row>
    <row r="302" spans="5:15" ht="25.5" customHeight="1">
      <c r="E302" s="1" t="s">
        <v>264</v>
      </c>
    </row>
    <row r="303" spans="5:15">
      <c r="E303" s="1" t="s">
        <v>265</v>
      </c>
      <c r="F303">
        <v>-5076</v>
      </c>
      <c r="G303">
        <v>0</v>
      </c>
      <c r="H303">
        <v>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-31747</v>
      </c>
      <c r="G309">
        <v>-29299</v>
      </c>
      <c r="H309">
        <v>167192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-5488</v>
      </c>
      <c r="G315">
        <v>5329</v>
      </c>
      <c r="H315">
        <v>3501</v>
      </c>
    </row>
    <row r="316" spans="5:15">
      <c r="E316" s="1" t="s">
        <v>276</v>
      </c>
      <c r="F316">
        <v>1148</v>
      </c>
      <c r="G316">
        <v>-3600</v>
      </c>
      <c r="H316">
        <v>-2420</v>
      </c>
    </row>
    <row r="317" spans="5:15">
      <c r="E317" s="1" t="s">
        <v>277</v>
      </c>
      <c r="F317">
        <v>8623</v>
      </c>
      <c r="G317">
        <v>1522</v>
      </c>
      <c r="H317">
        <v>16854</v>
      </c>
    </row>
    <row r="318" spans="5:15">
      <c r="E318" s="6" t="s">
        <v>278</v>
      </c>
      <c r="F318" s="7">
        <f>F299+F300+F301+F302+F303+F304+F305+F306+F307+F308+F309+F310+F311+F312+F313+F314+F315+F316+F317</f>
        <v>-35105</v>
      </c>
      <c r="G318" s="7">
        <f>IF(G4=$BF$1,"",G299+G300+G301+G302+G303+G304+G305+G306+G307+G308+G309+G310+G311+G312+G313+G314+G315+G316+G317)</f>
        <v>-24832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-304421</v>
      </c>
      <c r="G319" s="7">
        <f t="shared" ref="G319:O319" si="28">IF(G4=$BF$1,"",G297+G318)</f>
        <v>-294148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-304421</v>
      </c>
      <c r="G326" s="7">
        <f t="shared" ref="G326:O326" si="30">IF(G4=$BF$1,"",G325+G319)</f>
        <v>-294148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-5880</v>
      </c>
      <c r="G328">
        <v>-3616</v>
      </c>
      <c r="H328">
        <v>-9842</v>
      </c>
    </row>
    <row r="329" spans="5:15">
      <c r="E329" s="1" t="s">
        <v>288</v>
      </c>
    </row>
    <row r="330" spans="5:15">
      <c r="E330" s="1" t="s">
        <v>289</v>
      </c>
    </row>
    <row r="331" spans="5:15">
      <c r="E331" s="1" t="s">
        <v>290</v>
      </c>
      <c r="F331">
        <v>-933320</v>
      </c>
      <c r="G331">
        <v>-688702</v>
      </c>
      <c r="H331">
        <v>-506067</v>
      </c>
    </row>
    <row r="332" spans="5:15">
      <c r="E332" s="12" t="s">
        <v>291</v>
      </c>
      <c r="F332">
        <v>666481</v>
      </c>
      <c r="G332">
        <v>635421</v>
      </c>
      <c r="H332">
        <v>396632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-272719</v>
      </c>
      <c r="G337" s="7">
        <f>IF(G4=$BF$1,"",SUM(G328:G336))</f>
        <v>-56897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546422</v>
      </c>
      <c r="G339">
        <v>284472</v>
      </c>
      <c r="H339">
        <v>170040</v>
      </c>
    </row>
    <row r="340" spans="5:15">
      <c r="E340" s="1" t="s">
        <v>299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-391</v>
      </c>
      <c r="G349">
        <v>638</v>
      </c>
      <c r="H349">
        <v>-230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546031</v>
      </c>
      <c r="G352" s="7">
        <f>IF(G4=$BF$1,"",SUM(G339:G351))</f>
        <v>285110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-31109</v>
      </c>
      <c r="G353" s="7">
        <f t="shared" ref="G353:O353" si="33">IF(G4=$BF$1,"",G326+G337+G352)</f>
        <v>-65935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-31109</v>
      </c>
      <c r="G355" s="7">
        <f t="shared" ref="G355:O355" si="34">IF(G4=$BF$1,"",G353+G354)</f>
        <v>-65935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102724</v>
      </c>
      <c r="G356">
        <v>160754</v>
      </c>
      <c r="H356">
        <v>71764</v>
      </c>
    </row>
    <row r="357" spans="5:15">
      <c r="E357" s="6" t="s">
        <v>316</v>
      </c>
      <c r="F357" s="7">
        <f>F355+F356</f>
        <v>71615</v>
      </c>
      <c r="G357" s="7">
        <f t="shared" ref="G357:O357" si="35">IF(G4=$BF$1,"",G355+G356)</f>
        <v>94819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1.1944851317104928</v>
      </c>
      <c r="G364" s="24">
        <f t="shared" si="37"/>
        <v>-0.38460768042122129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9.9653605364349959E-2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0.39723501254075133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0.98519923294521494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-3.840348776844269</v>
      </c>
      <c r="G370" s="27">
        <f t="shared" si="42"/>
        <v>-7.4584176140987193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-3.6660557068240331</v>
      </c>
      <c r="G371" s="28">
        <f t="shared" si="43"/>
        <v>-7.3160354327962613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-0.40308134245512589</v>
      </c>
      <c r="G372" s="27">
        <f t="shared" si="44"/>
        <v>-0.51216070390968704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-0.50328636858816322</v>
      </c>
      <c r="G373" s="27">
        <f t="shared" si="45"/>
        <v>-0.83799596807482235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0.1991014110200045</v>
      </c>
      <c r="G376" s="30">
        <f t="shared" si="47"/>
        <v>0.38882676835987157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0.24859753002383872</v>
      </c>
      <c r="G377" s="30">
        <f t="shared" si="48"/>
        <v>0.63619731400281754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 t="str">
        <f t="shared" ref="F378:O378" si="49">IFERROR(F44/F49,"")</f>
        <v/>
      </c>
      <c r="G378" s="30" t="str">
        <f t="shared" si="49"/>
        <v/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6.5642813599563654</v>
      </c>
      <c r="G382" s="32">
        <f t="shared" si="51"/>
        <v>4.6898705511844199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6.5549875405067217</v>
      </c>
      <c r="G383" s="32">
        <f t="shared" si="52"/>
        <v>4.6898705511844199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6.2597135920772597</v>
      </c>
      <c r="G384" s="32">
        <f t="shared" si="53"/>
        <v>4.4652573703668592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-3.2557351101034193</v>
      </c>
      <c r="G385" s="32">
        <f t="shared" si="54"/>
        <v>-3.0982188938393316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70502</v>
      </c>
      <c r="G418" s="17">
        <f>G130-G417</f>
        <v>102724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2.75"/>
  <cols>
    <col min="1" max="2" width="44.7109375" style="40" customWidth="1"/>
    <col min="3" max="3" width="15.28515625" style="40" bestFit="1" customWidth="1"/>
    <col min="4" max="4" width="14.7109375" style="40" customWidth="1"/>
    <col min="5" max="16384" width="9.140625" style="40"/>
  </cols>
  <sheetData>
    <row r="1" spans="1:4" ht="25.5">
      <c r="A1" s="39" t="s">
        <v>468</v>
      </c>
      <c r="B1" s="39" t="s">
        <v>469</v>
      </c>
      <c r="C1" s="39" t="s">
        <v>470</v>
      </c>
      <c r="D1" s="39"/>
    </row>
    <row r="2" spans="1:4">
      <c r="A2" s="41" t="s">
        <v>481</v>
      </c>
      <c r="B2" s="41" t="s">
        <v>480</v>
      </c>
      <c r="C2" s="39" t="s">
        <v>471</v>
      </c>
      <c r="D2" s="39"/>
    </row>
    <row r="3" spans="1:4">
      <c r="A3" s="41" t="s">
        <v>482</v>
      </c>
      <c r="B3" s="41" t="s">
        <v>480</v>
      </c>
      <c r="C3" s="39" t="s">
        <v>471</v>
      </c>
    </row>
    <row r="4" spans="1:4">
      <c r="A4" s="41" t="s">
        <v>483</v>
      </c>
      <c r="B4" s="41" t="s">
        <v>480</v>
      </c>
      <c r="C4" s="39" t="s">
        <v>471</v>
      </c>
    </row>
    <row r="5" spans="1:4">
      <c r="A5" s="41" t="s">
        <v>484</v>
      </c>
      <c r="B5" s="41" t="s">
        <v>480</v>
      </c>
      <c r="C5" s="39" t="s">
        <v>471</v>
      </c>
    </row>
    <row r="6" spans="1:4">
      <c r="A6" s="41" t="s">
        <v>486</v>
      </c>
      <c r="B6" s="41" t="s">
        <v>487</v>
      </c>
      <c r="C6" s="39" t="s">
        <v>471</v>
      </c>
    </row>
    <row r="7" spans="1:4">
      <c r="A7" s="41" t="s">
        <v>489</v>
      </c>
      <c r="B7" s="41" t="s">
        <v>488</v>
      </c>
      <c r="C7" s="39" t="s">
        <v>471</v>
      </c>
    </row>
    <row r="8" spans="1:4">
      <c r="A8" s="41" t="s">
        <v>491</v>
      </c>
      <c r="B8" s="41" t="s">
        <v>490</v>
      </c>
      <c r="C8" s="39" t="s">
        <v>471</v>
      </c>
    </row>
    <row r="9" spans="1:4">
      <c r="A9" s="41" t="s">
        <v>492</v>
      </c>
      <c r="B9" s="41" t="s">
        <v>492</v>
      </c>
      <c r="C9" s="39" t="s">
        <v>471</v>
      </c>
    </row>
    <row r="10" spans="1:4">
      <c r="A10" s="41" t="s">
        <v>493</v>
      </c>
      <c r="B10" s="41" t="s">
        <v>473</v>
      </c>
      <c r="C10" s="39" t="s">
        <v>471</v>
      </c>
    </row>
    <row r="11" spans="1:4">
      <c r="A11" s="41" t="s">
        <v>494</v>
      </c>
      <c r="B11" s="41" t="s">
        <v>473</v>
      </c>
      <c r="C11" s="39" t="s">
        <v>471</v>
      </c>
    </row>
    <row r="12" spans="1:4">
      <c r="A12" s="41" t="s">
        <v>495</v>
      </c>
      <c r="B12" s="41" t="s">
        <v>473</v>
      </c>
      <c r="C12" s="39" t="s">
        <v>471</v>
      </c>
    </row>
    <row r="13" spans="1:4">
      <c r="A13" s="42" t="s">
        <v>472</v>
      </c>
      <c r="B13" s="41" t="s">
        <v>473</v>
      </c>
      <c r="C13" s="39" t="s">
        <v>471</v>
      </c>
    </row>
    <row r="14" spans="1:4">
      <c r="A14" s="41" t="s">
        <v>497</v>
      </c>
      <c r="B14" s="41" t="s">
        <v>496</v>
      </c>
      <c r="C14" s="39" t="s">
        <v>471</v>
      </c>
    </row>
    <row r="15" spans="1:4">
      <c r="A15" s="41" t="s">
        <v>474</v>
      </c>
      <c r="B15" s="41" t="s">
        <v>475</v>
      </c>
      <c r="C15" s="39" t="s">
        <v>471</v>
      </c>
    </row>
    <row r="16" spans="1:4">
      <c r="A16" s="41" t="s">
        <v>499</v>
      </c>
      <c r="B16" s="41" t="s">
        <v>498</v>
      </c>
      <c r="C16" s="39" t="s">
        <v>471</v>
      </c>
    </row>
    <row r="17" spans="1:3">
      <c r="A17" s="41" t="s">
        <v>501</v>
      </c>
      <c r="B17" s="41" t="s">
        <v>500</v>
      </c>
      <c r="C17" s="39" t="s">
        <v>471</v>
      </c>
    </row>
    <row r="18" spans="1:3">
      <c r="A18" s="41" t="s">
        <v>502</v>
      </c>
      <c r="B18" s="41" t="s">
        <v>500</v>
      </c>
      <c r="C18" s="39" t="s">
        <v>471</v>
      </c>
    </row>
    <row r="19" spans="1:3">
      <c r="A19" s="43" t="s">
        <v>504</v>
      </c>
      <c r="B19" s="43" t="s">
        <v>503</v>
      </c>
      <c r="C19" s="39" t="s">
        <v>471</v>
      </c>
    </row>
    <row r="20" spans="1:3">
      <c r="A20" s="43" t="s">
        <v>505</v>
      </c>
      <c r="B20" s="43" t="s">
        <v>476</v>
      </c>
      <c r="C20" s="39" t="s">
        <v>471</v>
      </c>
    </row>
    <row r="21" spans="1:3">
      <c r="A21" s="43" t="s">
        <v>477</v>
      </c>
      <c r="B21" s="43" t="s">
        <v>476</v>
      </c>
      <c r="C21" s="39" t="s">
        <v>471</v>
      </c>
    </row>
    <row r="22" spans="1:3">
      <c r="A22" s="43"/>
      <c r="B22" s="43"/>
      <c r="C22" s="39"/>
    </row>
    <row r="23" spans="1:3">
      <c r="A23" s="43"/>
      <c r="B23" s="43"/>
      <c r="C23" s="39"/>
    </row>
    <row r="24" spans="1:3">
      <c r="A24" s="43"/>
      <c r="B24" s="43"/>
      <c r="C24" s="39"/>
    </row>
    <row r="25" spans="1:3">
      <c r="A25" s="43"/>
      <c r="B25" s="43"/>
      <c r="C25" s="39"/>
    </row>
    <row r="26" spans="1:3">
      <c r="A26" s="43"/>
      <c r="B26" s="43"/>
      <c r="C26" s="39"/>
    </row>
    <row r="27" spans="1:3">
      <c r="A27" s="43"/>
      <c r="B27" s="43"/>
      <c r="C27" s="39"/>
    </row>
    <row r="28" spans="1:3">
      <c r="A28" s="43"/>
      <c r="B28" s="43"/>
      <c r="C28" s="39"/>
    </row>
    <row r="29" spans="1:3">
      <c r="A29" s="43"/>
      <c r="B29" s="43"/>
      <c r="C29" s="39"/>
    </row>
    <row r="30" spans="1:3">
      <c r="A30" s="43"/>
      <c r="B30" s="43"/>
      <c r="C30" s="39"/>
    </row>
    <row r="31" spans="1:3">
      <c r="A31" s="43"/>
      <c r="B31" s="43"/>
      <c r="C31" s="39"/>
    </row>
    <row r="32" spans="1:3">
      <c r="A32" s="43"/>
      <c r="B32" s="43"/>
      <c r="C32" s="39"/>
    </row>
    <row r="33" spans="1:3">
      <c r="A33" s="42"/>
      <c r="B33" s="43"/>
      <c r="C33" s="39"/>
    </row>
    <row r="34" spans="1:3">
      <c r="A34" s="42"/>
      <c r="B34" s="43"/>
      <c r="C34" s="39"/>
    </row>
    <row r="35" spans="1:3">
      <c r="A35" s="43"/>
      <c r="B35" s="43"/>
      <c r="C35" s="39"/>
    </row>
    <row r="36" spans="1:3">
      <c r="A36" s="43"/>
      <c r="B36" s="43"/>
      <c r="C36" s="39"/>
    </row>
    <row r="37" spans="1:3">
      <c r="A37" s="43"/>
      <c r="B37" s="43"/>
      <c r="C37" s="39"/>
    </row>
    <row r="38" spans="1:3">
      <c r="A38" s="43"/>
      <c r="B38" s="43"/>
    </row>
    <row r="39" spans="1:3">
      <c r="A39" s="43"/>
      <c r="B39" s="43"/>
    </row>
    <row r="40" spans="1:3">
      <c r="A40" s="43"/>
      <c r="B40" s="43"/>
    </row>
    <row r="41" spans="1:3">
      <c r="A41" s="43"/>
      <c r="B41" s="43"/>
    </row>
    <row r="42" spans="1:3">
      <c r="A42" s="43"/>
      <c r="B42" s="43"/>
    </row>
    <row r="43" spans="1:3">
      <c r="A43" s="43"/>
      <c r="B43" s="43"/>
    </row>
    <row r="44" spans="1:3">
      <c r="A44" s="43"/>
      <c r="B44" s="43"/>
    </row>
    <row r="45" spans="1:3">
      <c r="A45" s="43"/>
      <c r="B45" s="43"/>
    </row>
    <row r="46" spans="1:3">
      <c r="A46" s="43"/>
      <c r="B46" s="43"/>
    </row>
    <row r="47" spans="1:3">
      <c r="A47" s="43"/>
      <c r="B47" s="43"/>
    </row>
    <row r="48" spans="1:3">
      <c r="A48" s="43"/>
      <c r="B48" s="43"/>
    </row>
    <row r="49" spans="1:2">
      <c r="A49" s="43"/>
      <c r="B49" s="43"/>
    </row>
    <row r="50" spans="1:2">
      <c r="A50" s="43"/>
      <c r="B50" s="43"/>
    </row>
    <row r="51" spans="1:2">
      <c r="A51" s="43"/>
      <c r="B51" s="43"/>
    </row>
    <row r="52" spans="1:2">
      <c r="A52" s="43"/>
      <c r="B52" s="43"/>
    </row>
    <row r="53" spans="1:2">
      <c r="A53" s="43"/>
      <c r="B53" s="43"/>
    </row>
    <row r="54" spans="1:2">
      <c r="A54" s="43"/>
      <c r="B54" s="43"/>
    </row>
    <row r="55" spans="1:2">
      <c r="A55" s="43"/>
      <c r="B55" s="43"/>
    </row>
    <row r="56" spans="1:2">
      <c r="A56" s="43"/>
      <c r="B56" s="43"/>
    </row>
    <row r="57" spans="1:2">
      <c r="A57" s="43"/>
      <c r="B57" s="43"/>
    </row>
    <row r="58" spans="1:2">
      <c r="A58" s="43"/>
      <c r="B58" s="43"/>
    </row>
    <row r="59" spans="1:2">
      <c r="A59" s="43"/>
      <c r="B59" s="43"/>
    </row>
    <row r="60" spans="1:2">
      <c r="A60" s="43"/>
      <c r="B60" s="43"/>
    </row>
    <row r="61" spans="1:2">
      <c r="A61" s="43"/>
      <c r="B61" s="43"/>
    </row>
    <row r="62" spans="1:2">
      <c r="A62" s="43"/>
      <c r="B62" s="43"/>
    </row>
    <row r="63" spans="1:2">
      <c r="A63" s="43"/>
      <c r="B63" s="43"/>
    </row>
    <row r="64" spans="1:2">
      <c r="A64" s="43"/>
      <c r="B64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A26" sqref="A26"/>
    </sheetView>
  </sheetViews>
  <sheetFormatPr defaultRowHeight="12.75"/>
  <cols>
    <col min="1" max="4" width="23.7109375" customWidth="1"/>
  </cols>
  <sheetData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70502</v>
      </c>
      <c r="F5">
        <v>102724</v>
      </c>
    </row>
    <row r="6" spans="1:6">
      <c r="A6" t="s">
        <v>377</v>
      </c>
      <c r="B6" t="s">
        <v>118</v>
      </c>
      <c r="C6" t="s">
        <v>118</v>
      </c>
      <c r="D6" t="s">
        <v>80</v>
      </c>
      <c r="E6">
        <v>514800</v>
      </c>
      <c r="F6">
        <v>321212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5076</v>
      </c>
    </row>
    <row r="8" spans="1:6">
      <c r="A8" t="s">
        <v>379</v>
      </c>
      <c r="B8" t="s">
        <v>128</v>
      </c>
      <c r="C8" t="s">
        <v>128</v>
      </c>
      <c r="D8" t="s">
        <v>116</v>
      </c>
      <c r="E8">
        <v>2462</v>
      </c>
      <c r="F8">
        <v>2448</v>
      </c>
    </row>
    <row r="9" spans="1:6">
      <c r="A9" t="s">
        <v>380</v>
      </c>
      <c r="B9" t="s">
        <v>132</v>
      </c>
      <c r="C9" t="s">
        <v>132</v>
      </c>
      <c r="D9" t="s">
        <v>116</v>
      </c>
      <c r="E9">
        <v>670</v>
      </c>
    </row>
    <row r="10" spans="1:6">
      <c r="A10" t="s">
        <v>381</v>
      </c>
      <c r="B10" t="s">
        <v>352</v>
      </c>
      <c r="C10" t="s">
        <v>137</v>
      </c>
      <c r="D10" t="s">
        <v>116</v>
      </c>
      <c r="E10">
        <v>2234</v>
      </c>
      <c r="F10">
        <v>1222</v>
      </c>
    </row>
    <row r="11" spans="1:6">
      <c r="A11" t="s">
        <v>382</v>
      </c>
      <c r="B11" t="s">
        <v>126</v>
      </c>
      <c r="C11" t="s">
        <v>126</v>
      </c>
      <c r="D11" t="s">
        <v>116</v>
      </c>
      <c r="E11">
        <v>869</v>
      </c>
    </row>
    <row r="12" spans="1:6">
      <c r="A12" t="s">
        <v>383</v>
      </c>
      <c r="B12" t="s">
        <v>134</v>
      </c>
      <c r="C12" t="s">
        <v>134</v>
      </c>
      <c r="D12" t="s">
        <v>116</v>
      </c>
      <c r="E12">
        <v>17167</v>
      </c>
      <c r="F12">
        <v>17655</v>
      </c>
    </row>
    <row r="13" spans="1:6">
      <c r="A13" t="s">
        <v>384</v>
      </c>
      <c r="B13" t="s">
        <v>12</v>
      </c>
      <c r="C13" t="s">
        <v>12</v>
      </c>
      <c r="D13" t="s">
        <v>116</v>
      </c>
      <c r="E13">
        <v>613780</v>
      </c>
      <c r="F13">
        <v>445261</v>
      </c>
    </row>
    <row r="14" spans="1:6">
      <c r="A14" t="s">
        <v>377</v>
      </c>
      <c r="B14" t="s">
        <v>103</v>
      </c>
      <c r="C14" t="s">
        <v>103</v>
      </c>
      <c r="D14" t="s">
        <v>80</v>
      </c>
      <c r="E14">
        <v>220119</v>
      </c>
      <c r="F14">
        <v>143814</v>
      </c>
    </row>
    <row r="15" spans="1:6">
      <c r="A15" t="s">
        <v>385</v>
      </c>
      <c r="B15" t="s">
        <v>386</v>
      </c>
      <c r="C15" t="s">
        <v>84</v>
      </c>
      <c r="D15" t="s">
        <v>80</v>
      </c>
      <c r="E15">
        <v>24320</v>
      </c>
      <c r="F15">
        <v>24431</v>
      </c>
    </row>
    <row r="16" spans="1:6">
      <c r="A16" t="s">
        <v>387</v>
      </c>
      <c r="B16" t="s">
        <v>112</v>
      </c>
      <c r="C16" t="s">
        <v>112</v>
      </c>
      <c r="D16" t="s">
        <v>80</v>
      </c>
      <c r="E16">
        <v>238</v>
      </c>
      <c r="F16">
        <v>891</v>
      </c>
    </row>
    <row r="17" spans="1:6">
      <c r="A17" t="s">
        <v>388</v>
      </c>
      <c r="D17" t="s">
        <v>80</v>
      </c>
      <c r="E17">
        <v>858457</v>
      </c>
      <c r="F17">
        <v>614397</v>
      </c>
    </row>
    <row r="18" spans="1:6">
      <c r="A18" t="s">
        <v>389</v>
      </c>
      <c r="D18" t="s">
        <v>80</v>
      </c>
    </row>
    <row r="19" spans="1:6">
      <c r="A19" t="s">
        <v>390</v>
      </c>
      <c r="B19" t="s">
        <v>141</v>
      </c>
      <c r="C19" t="s">
        <v>141</v>
      </c>
      <c r="D19" t="s">
        <v>141</v>
      </c>
    </row>
    <row r="20" spans="1:6">
      <c r="A20" t="s">
        <v>391</v>
      </c>
      <c r="B20" t="s">
        <v>391</v>
      </c>
      <c r="C20" t="s">
        <v>163</v>
      </c>
      <c r="D20" t="s">
        <v>141</v>
      </c>
      <c r="E20">
        <v>17880</v>
      </c>
      <c r="F20">
        <v>22767</v>
      </c>
    </row>
    <row r="21" spans="1:6">
      <c r="A21" t="s">
        <v>364</v>
      </c>
      <c r="B21" t="s">
        <v>392</v>
      </c>
      <c r="C21" t="s">
        <v>161</v>
      </c>
      <c r="D21" t="s">
        <v>141</v>
      </c>
      <c r="E21">
        <v>42147</v>
      </c>
      <c r="F21">
        <v>34031</v>
      </c>
    </row>
    <row r="22" spans="1:6">
      <c r="A22" t="s">
        <v>393</v>
      </c>
      <c r="B22" t="s">
        <v>394</v>
      </c>
      <c r="C22" t="s">
        <v>162</v>
      </c>
      <c r="D22" t="s">
        <v>141</v>
      </c>
      <c r="E22">
        <v>32710</v>
      </c>
      <c r="F22">
        <v>37842</v>
      </c>
    </row>
    <row r="23" spans="1:6">
      <c r="A23" t="s">
        <v>395</v>
      </c>
      <c r="B23" t="s">
        <v>392</v>
      </c>
      <c r="C23" t="s">
        <v>161</v>
      </c>
      <c r="D23" t="s">
        <v>141</v>
      </c>
      <c r="E23">
        <v>766</v>
      </c>
      <c r="F23">
        <v>301</v>
      </c>
    </row>
    <row r="24" spans="1:6">
      <c r="A24" t="s">
        <v>396</v>
      </c>
      <c r="B24" t="s">
        <v>13</v>
      </c>
      <c r="C24" t="s">
        <v>13</v>
      </c>
      <c r="D24" t="s">
        <v>141</v>
      </c>
      <c r="E24">
        <v>93503</v>
      </c>
      <c r="F24">
        <v>94941</v>
      </c>
    </row>
    <row r="25" spans="1:6">
      <c r="A25" t="s">
        <v>397</v>
      </c>
      <c r="B25" t="s">
        <v>172</v>
      </c>
      <c r="C25" t="s">
        <v>172</v>
      </c>
      <c r="D25" t="s">
        <v>165</v>
      </c>
      <c r="E25">
        <v>59809</v>
      </c>
      <c r="F25">
        <v>125798</v>
      </c>
    </row>
    <row r="26" spans="1:6">
      <c r="A26" t="s">
        <v>398</v>
      </c>
      <c r="B26" t="s">
        <v>394</v>
      </c>
      <c r="C26" t="s">
        <v>162</v>
      </c>
      <c r="D26" t="s">
        <v>165</v>
      </c>
      <c r="E26">
        <v>17608</v>
      </c>
      <c r="F26">
        <v>18155</v>
      </c>
    </row>
    <row r="27" spans="1:6">
      <c r="A27" t="s">
        <v>399</v>
      </c>
      <c r="B27" t="s">
        <v>164</v>
      </c>
      <c r="C27" t="s">
        <v>164</v>
      </c>
      <c r="D27" t="s">
        <v>165</v>
      </c>
      <c r="E27">
        <v>170920</v>
      </c>
      <c r="F27">
        <v>238894</v>
      </c>
    </row>
    <row r="28" spans="1:6">
      <c r="A28" t="s">
        <v>400</v>
      </c>
      <c r="B28" t="s">
        <v>180</v>
      </c>
      <c r="C28" t="s">
        <v>180</v>
      </c>
      <c r="D28" t="s">
        <v>165</v>
      </c>
    </row>
    <row r="29" spans="1:6">
      <c r="A29" t="s">
        <v>401</v>
      </c>
      <c r="B29" t="s">
        <v>181</v>
      </c>
      <c r="C29" t="s">
        <v>181</v>
      </c>
      <c r="D29" t="s">
        <v>165</v>
      </c>
    </row>
    <row r="30" spans="1:6">
      <c r="A30" t="s">
        <v>402</v>
      </c>
      <c r="B30" t="s">
        <v>182</v>
      </c>
      <c r="C30" t="s">
        <v>182</v>
      </c>
      <c r="D30" t="s">
        <v>165</v>
      </c>
    </row>
    <row r="31" spans="1:6">
      <c r="A31" t="s">
        <v>403</v>
      </c>
      <c r="D31" t="s">
        <v>165</v>
      </c>
    </row>
    <row r="32" spans="1:6">
      <c r="A32" t="s">
        <v>404</v>
      </c>
      <c r="B32" t="s">
        <v>182</v>
      </c>
      <c r="C32" t="s">
        <v>182</v>
      </c>
      <c r="D32" t="s">
        <v>181</v>
      </c>
      <c r="E32">
        <v>58</v>
      </c>
      <c r="F32">
        <v>49</v>
      </c>
    </row>
    <row r="33" spans="1:6">
      <c r="A33" t="s">
        <v>405</v>
      </c>
      <c r="B33" t="s">
        <v>182</v>
      </c>
      <c r="C33" t="s">
        <v>182</v>
      </c>
      <c r="D33" t="s">
        <v>181</v>
      </c>
      <c r="E33">
        <v>1794283</v>
      </c>
      <c r="F33">
        <v>1174904</v>
      </c>
    </row>
    <row r="34" spans="1:6">
      <c r="A34" t="s">
        <v>406</v>
      </c>
      <c r="B34" t="s">
        <v>189</v>
      </c>
      <c r="C34" t="s">
        <v>189</v>
      </c>
      <c r="D34" t="s">
        <v>181</v>
      </c>
      <c r="E34">
        <v>-2171</v>
      </c>
      <c r="F34">
        <v>-1389</v>
      </c>
    </row>
    <row r="35" spans="1:6">
      <c r="A35" t="s">
        <v>407</v>
      </c>
      <c r="B35" t="s">
        <v>187</v>
      </c>
      <c r="C35" t="s">
        <v>187</v>
      </c>
      <c r="D35" t="s">
        <v>181</v>
      </c>
      <c r="E35">
        <v>-1104633</v>
      </c>
      <c r="F35">
        <v>-798061</v>
      </c>
    </row>
    <row r="36" spans="1:6">
      <c r="A36" t="s">
        <v>408</v>
      </c>
      <c r="B36" t="s">
        <v>195</v>
      </c>
      <c r="C36" t="s">
        <v>195</v>
      </c>
      <c r="D36" t="s">
        <v>181</v>
      </c>
      <c r="E36">
        <v>687537</v>
      </c>
      <c r="F36">
        <v>375503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workbookViewId="0">
      <selection activeCell="A7" sqref="A7"/>
    </sheetView>
  </sheetViews>
  <sheetFormatPr defaultRowHeight="12.75"/>
  <cols>
    <col min="1" max="4" width="23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409</v>
      </c>
      <c r="B3" t="s">
        <v>410</v>
      </c>
      <c r="C3" t="s">
        <v>26</v>
      </c>
      <c r="D3" t="s">
        <v>410</v>
      </c>
    </row>
    <row r="4" spans="1:7">
      <c r="A4" t="s">
        <v>411</v>
      </c>
      <c r="B4" t="s">
        <v>410</v>
      </c>
      <c r="C4" t="s">
        <v>26</v>
      </c>
      <c r="D4" t="s">
        <v>410</v>
      </c>
      <c r="E4">
        <v>13841</v>
      </c>
    </row>
    <row r="5" spans="1:7">
      <c r="A5" t="s">
        <v>412</v>
      </c>
      <c r="B5" t="s">
        <v>410</v>
      </c>
      <c r="C5" t="s">
        <v>26</v>
      </c>
      <c r="D5" t="s">
        <v>410</v>
      </c>
      <c r="E5">
        <v>60661</v>
      </c>
      <c r="F5">
        <v>41074</v>
      </c>
      <c r="G5">
        <v>69892</v>
      </c>
    </row>
    <row r="6" spans="1:7">
      <c r="A6" t="s">
        <v>413</v>
      </c>
      <c r="B6" t="s">
        <v>410</v>
      </c>
      <c r="C6" t="s">
        <v>26</v>
      </c>
      <c r="D6" t="s">
        <v>410</v>
      </c>
      <c r="E6">
        <v>12670</v>
      </c>
    </row>
    <row r="7" spans="1:7">
      <c r="A7" t="s">
        <v>414</v>
      </c>
      <c r="D7" t="s">
        <v>410</v>
      </c>
      <c r="E7">
        <v>7215</v>
      </c>
      <c r="F7">
        <v>1937</v>
      </c>
    </row>
    <row r="8" spans="1:7">
      <c r="A8" t="s">
        <v>415</v>
      </c>
      <c r="B8" t="s">
        <v>416</v>
      </c>
      <c r="C8" t="s">
        <v>417</v>
      </c>
      <c r="D8" t="s">
        <v>410</v>
      </c>
      <c r="E8">
        <v>-94387</v>
      </c>
      <c r="F8">
        <v>-43011</v>
      </c>
      <c r="G8">
        <v>69892</v>
      </c>
    </row>
    <row r="9" spans="1:7">
      <c r="A9" t="s">
        <v>418</v>
      </c>
      <c r="B9" t="s">
        <v>40</v>
      </c>
      <c r="C9" t="s">
        <v>40</v>
      </c>
      <c r="D9" t="s">
        <v>410</v>
      </c>
    </row>
    <row r="10" spans="1:7">
      <c r="A10" t="s">
        <v>419</v>
      </c>
      <c r="B10" t="s">
        <v>27</v>
      </c>
      <c r="C10" t="s">
        <v>27</v>
      </c>
      <c r="D10" t="s">
        <v>410</v>
      </c>
      <c r="E10">
        <v>1397</v>
      </c>
    </row>
    <row r="11" spans="1:7">
      <c r="A11" t="s">
        <v>420</v>
      </c>
      <c r="B11" t="s">
        <v>37</v>
      </c>
      <c r="C11" t="s">
        <v>37</v>
      </c>
      <c r="D11" t="s">
        <v>410</v>
      </c>
    </row>
    <row r="12" spans="1:7">
      <c r="A12" t="s">
        <v>421</v>
      </c>
      <c r="D12" t="s">
        <v>410</v>
      </c>
      <c r="E12">
        <v>341324</v>
      </c>
      <c r="F12">
        <v>292681</v>
      </c>
      <c r="G12">
        <v>220163</v>
      </c>
    </row>
    <row r="13" spans="1:7">
      <c r="A13" t="s">
        <v>422</v>
      </c>
      <c r="B13" t="s">
        <v>36</v>
      </c>
      <c r="C13" t="s">
        <v>36</v>
      </c>
      <c r="D13" t="s">
        <v>410</v>
      </c>
      <c r="E13">
        <v>114145</v>
      </c>
      <c r="F13">
        <v>71124</v>
      </c>
      <c r="G13">
        <v>50714</v>
      </c>
    </row>
    <row r="14" spans="1:7">
      <c r="A14" t="s">
        <v>423</v>
      </c>
      <c r="B14" t="s">
        <v>45</v>
      </c>
      <c r="C14" t="s">
        <v>45</v>
      </c>
      <c r="D14" t="s">
        <v>410</v>
      </c>
      <c r="E14">
        <v>-456866</v>
      </c>
      <c r="F14">
        <v>-363805</v>
      </c>
      <c r="G14">
        <v>270877</v>
      </c>
    </row>
    <row r="15" spans="1:7">
      <c r="A15" t="s">
        <v>424</v>
      </c>
      <c r="B15" t="s">
        <v>425</v>
      </c>
      <c r="C15" t="s">
        <v>46</v>
      </c>
      <c r="D15" t="s">
        <v>410</v>
      </c>
      <c r="E15">
        <v>-362479</v>
      </c>
      <c r="F15">
        <v>-320794</v>
      </c>
      <c r="G15">
        <v>-200985</v>
      </c>
    </row>
    <row r="16" spans="1:7">
      <c r="A16" t="s">
        <v>426</v>
      </c>
      <c r="B16" t="s">
        <v>54</v>
      </c>
      <c r="C16" t="s">
        <v>54</v>
      </c>
      <c r="D16" t="s">
        <v>410</v>
      </c>
      <c r="E16">
        <v>16451</v>
      </c>
      <c r="F16">
        <v>6124</v>
      </c>
      <c r="G16">
        <v>2514</v>
      </c>
    </row>
    <row r="17" spans="1:7">
      <c r="A17" t="s">
        <v>427</v>
      </c>
      <c r="B17" t="s">
        <v>66</v>
      </c>
      <c r="C17" t="s">
        <v>66</v>
      </c>
      <c r="D17" t="s">
        <v>410</v>
      </c>
      <c r="E17">
        <v>-346028</v>
      </c>
      <c r="F17">
        <v>-314670</v>
      </c>
      <c r="G17">
        <v>-198471</v>
      </c>
    </row>
    <row r="18" spans="1:7">
      <c r="A18" t="s">
        <v>428</v>
      </c>
      <c r="D18" t="s">
        <v>410</v>
      </c>
      <c r="E18">
        <v>-603</v>
      </c>
      <c r="F18">
        <v>-675</v>
      </c>
      <c r="G18">
        <v>-507</v>
      </c>
    </row>
    <row r="19" spans="1:7">
      <c r="A19" t="s">
        <v>429</v>
      </c>
      <c r="D19" t="s">
        <v>410</v>
      </c>
      <c r="E19">
        <v>57418300</v>
      </c>
      <c r="F19">
        <v>46587631</v>
      </c>
      <c r="G19">
        <v>39126400</v>
      </c>
    </row>
    <row r="20" spans="1:7">
      <c r="A20" t="s">
        <v>430</v>
      </c>
      <c r="D20" t="s">
        <v>410</v>
      </c>
    </row>
    <row r="21" spans="1:7">
      <c r="D21" t="s">
        <v>410</v>
      </c>
    </row>
    <row r="22" spans="1:7">
      <c r="A22" t="s">
        <v>431</v>
      </c>
      <c r="D22" t="s">
        <v>410</v>
      </c>
    </row>
    <row r="23" spans="1:7">
      <c r="D23" t="s">
        <v>410</v>
      </c>
    </row>
    <row r="24" spans="1:7">
      <c r="D24" t="s">
        <v>410</v>
      </c>
      <c r="E24">
        <v>2018</v>
      </c>
      <c r="F24">
        <v>2017</v>
      </c>
      <c r="G24">
        <v>2016</v>
      </c>
    </row>
    <row r="25" spans="1:7">
      <c r="A25" t="s">
        <v>427</v>
      </c>
      <c r="B25" t="s">
        <v>66</v>
      </c>
      <c r="C25" t="s">
        <v>66</v>
      </c>
      <c r="D25" t="s">
        <v>410</v>
      </c>
      <c r="E25">
        <v>-346028</v>
      </c>
      <c r="F25">
        <v>-314670</v>
      </c>
      <c r="G25">
        <v>-198471</v>
      </c>
    </row>
    <row r="26" spans="1:7">
      <c r="A26" t="s">
        <v>432</v>
      </c>
      <c r="B26" t="s">
        <v>433</v>
      </c>
      <c r="C26" t="s">
        <v>433</v>
      </c>
      <c r="D26" t="s">
        <v>410</v>
      </c>
    </row>
    <row r="27" spans="1:7">
      <c r="A27" t="s">
        <v>434</v>
      </c>
      <c r="B27" t="s">
        <v>48</v>
      </c>
      <c r="C27" t="s">
        <v>48</v>
      </c>
      <c r="D27" t="s">
        <v>410</v>
      </c>
      <c r="E27">
        <v>-782</v>
      </c>
      <c r="F27">
        <v>-1076</v>
      </c>
      <c r="G27">
        <v>5</v>
      </c>
    </row>
    <row r="28" spans="1:7">
      <c r="A28" t="s">
        <v>435</v>
      </c>
      <c r="B28" t="s">
        <v>436</v>
      </c>
      <c r="C28" t="s">
        <v>433</v>
      </c>
      <c r="D28" t="s">
        <v>410</v>
      </c>
      <c r="E28">
        <v>-346810</v>
      </c>
      <c r="F28">
        <v>-315746</v>
      </c>
      <c r="G28">
        <v>-198466</v>
      </c>
    </row>
    <row r="29" spans="1:7">
      <c r="A29" t="s">
        <v>437</v>
      </c>
      <c r="D29" t="s">
        <v>410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workbookViewId="0"/>
  </sheetViews>
  <sheetFormatPr defaultRowHeight="12.75"/>
  <cols>
    <col min="1" max="4" width="23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438</v>
      </c>
      <c r="B3" t="s">
        <v>231</v>
      </c>
      <c r="C3" t="s">
        <v>231</v>
      </c>
      <c r="D3" t="s">
        <v>439</v>
      </c>
    </row>
    <row r="4" spans="1:7">
      <c r="A4" t="s">
        <v>427</v>
      </c>
      <c r="B4" t="s">
        <v>232</v>
      </c>
      <c r="C4" t="s">
        <v>232</v>
      </c>
      <c r="D4" t="s">
        <v>439</v>
      </c>
      <c r="E4">
        <v>-346028</v>
      </c>
      <c r="F4">
        <v>-314670</v>
      </c>
      <c r="G4">
        <v>-198471</v>
      </c>
    </row>
    <row r="5" spans="1:7">
      <c r="A5" t="s">
        <v>440</v>
      </c>
      <c r="D5" t="s">
        <v>439</v>
      </c>
    </row>
    <row r="6" spans="1:7">
      <c r="A6" t="s">
        <v>42</v>
      </c>
      <c r="B6" t="s">
        <v>236</v>
      </c>
      <c r="C6" t="s">
        <v>236</v>
      </c>
      <c r="D6" t="s">
        <v>439</v>
      </c>
      <c r="E6">
        <v>7172</v>
      </c>
      <c r="F6">
        <v>6432</v>
      </c>
      <c r="G6">
        <v>5708</v>
      </c>
    </row>
    <row r="7" spans="1:7">
      <c r="A7" t="s">
        <v>441</v>
      </c>
      <c r="B7" t="s">
        <v>248</v>
      </c>
      <c r="C7" t="s">
        <v>248</v>
      </c>
      <c r="D7" t="s">
        <v>439</v>
      </c>
      <c r="E7">
        <v>73357</v>
      </c>
      <c r="F7">
        <v>47809</v>
      </c>
      <c r="G7">
        <v>42086</v>
      </c>
    </row>
    <row r="8" spans="1:7">
      <c r="A8" t="s">
        <v>442</v>
      </c>
      <c r="B8" t="s">
        <v>240</v>
      </c>
      <c r="C8" t="s">
        <v>240</v>
      </c>
      <c r="D8" t="s">
        <v>439</v>
      </c>
      <c r="E8">
        <v>-3837</v>
      </c>
      <c r="F8">
        <v>-11</v>
      </c>
      <c r="G8">
        <v>773</v>
      </c>
    </row>
    <row r="9" spans="1:7">
      <c r="A9" t="s">
        <v>443</v>
      </c>
      <c r="B9" t="s">
        <v>245</v>
      </c>
      <c r="C9" t="s">
        <v>245</v>
      </c>
      <c r="D9" t="s">
        <v>439</v>
      </c>
      <c r="E9">
        <v>20</v>
      </c>
      <c r="F9">
        <v>40</v>
      </c>
    </row>
    <row r="10" spans="1:7">
      <c r="A10" t="s">
        <v>444</v>
      </c>
      <c r="B10" t="s">
        <v>251</v>
      </c>
      <c r="C10" t="s">
        <v>251</v>
      </c>
      <c r="D10" t="s">
        <v>439</v>
      </c>
    </row>
    <row r="11" spans="1:7">
      <c r="A11" t="s">
        <v>378</v>
      </c>
      <c r="B11" t="s">
        <v>265</v>
      </c>
      <c r="C11" t="s">
        <v>265</v>
      </c>
      <c r="D11" t="s">
        <v>439</v>
      </c>
      <c r="E11">
        <v>-5076</v>
      </c>
    </row>
    <row r="12" spans="1:7">
      <c r="A12" t="s">
        <v>379</v>
      </c>
      <c r="B12" t="s">
        <v>263</v>
      </c>
      <c r="C12" t="s">
        <v>263</v>
      </c>
      <c r="D12" t="s">
        <v>439</v>
      </c>
      <c r="E12">
        <v>-14</v>
      </c>
      <c r="F12">
        <v>2438</v>
      </c>
      <c r="G12">
        <v>3339</v>
      </c>
    </row>
    <row r="13" spans="1:7">
      <c r="A13" t="s">
        <v>380</v>
      </c>
      <c r="B13" t="s">
        <v>263</v>
      </c>
      <c r="C13" t="s">
        <v>263</v>
      </c>
      <c r="D13" t="s">
        <v>439</v>
      </c>
      <c r="E13">
        <v>-670</v>
      </c>
    </row>
    <row r="14" spans="1:7">
      <c r="A14" t="s">
        <v>381</v>
      </c>
      <c r="B14" t="s">
        <v>263</v>
      </c>
      <c r="C14" t="s">
        <v>263</v>
      </c>
      <c r="D14" t="s">
        <v>439</v>
      </c>
      <c r="E14">
        <v>-1012</v>
      </c>
      <c r="F14">
        <v>-1222</v>
      </c>
    </row>
    <row r="15" spans="1:7">
      <c r="A15" t="s">
        <v>382</v>
      </c>
      <c r="B15" t="s">
        <v>261</v>
      </c>
      <c r="C15" t="s">
        <v>261</v>
      </c>
      <c r="D15" t="s">
        <v>439</v>
      </c>
      <c r="E15">
        <v>-869</v>
      </c>
    </row>
    <row r="16" spans="1:7">
      <c r="A16" t="s">
        <v>445</v>
      </c>
      <c r="B16" t="s">
        <v>276</v>
      </c>
      <c r="C16" t="s">
        <v>276</v>
      </c>
      <c r="D16" t="s">
        <v>439</v>
      </c>
      <c r="E16">
        <v>1148</v>
      </c>
      <c r="F16">
        <v>-3600</v>
      </c>
      <c r="G16">
        <v>-2420</v>
      </c>
    </row>
    <row r="17" spans="1:7">
      <c r="A17" t="s">
        <v>391</v>
      </c>
      <c r="B17" t="s">
        <v>275</v>
      </c>
      <c r="C17" t="s">
        <v>275</v>
      </c>
      <c r="D17" t="s">
        <v>439</v>
      </c>
      <c r="E17">
        <v>-5488</v>
      </c>
      <c r="F17">
        <v>5329</v>
      </c>
      <c r="G17">
        <v>3501</v>
      </c>
    </row>
    <row r="18" spans="1:7">
      <c r="A18" t="s">
        <v>364</v>
      </c>
      <c r="B18" t="s">
        <v>277</v>
      </c>
      <c r="C18" t="s">
        <v>277</v>
      </c>
      <c r="D18" t="s">
        <v>439</v>
      </c>
      <c r="E18">
        <v>8623</v>
      </c>
      <c r="F18">
        <v>1522</v>
      </c>
      <c r="G18">
        <v>16854</v>
      </c>
    </row>
    <row r="19" spans="1:7">
      <c r="A19" t="s">
        <v>393</v>
      </c>
      <c r="B19" t="s">
        <v>269</v>
      </c>
      <c r="C19" t="s">
        <v>269</v>
      </c>
      <c r="D19" t="s">
        <v>439</v>
      </c>
      <c r="E19">
        <v>-31665</v>
      </c>
      <c r="F19">
        <v>-26570</v>
      </c>
      <c r="G19">
        <v>165846</v>
      </c>
    </row>
    <row r="20" spans="1:7">
      <c r="A20" t="s">
        <v>395</v>
      </c>
      <c r="B20" t="s">
        <v>269</v>
      </c>
      <c r="C20" t="s">
        <v>269</v>
      </c>
      <c r="D20" t="s">
        <v>439</v>
      </c>
      <c r="E20">
        <v>-82</v>
      </c>
      <c r="F20">
        <v>-2729</v>
      </c>
      <c r="G20">
        <v>1346</v>
      </c>
    </row>
    <row r="21" spans="1:7">
      <c r="A21" t="s">
        <v>446</v>
      </c>
      <c r="B21" t="s">
        <v>285</v>
      </c>
      <c r="C21" t="s">
        <v>285</v>
      </c>
      <c r="D21" t="s">
        <v>439</v>
      </c>
      <c r="E21">
        <v>-304421</v>
      </c>
      <c r="F21">
        <v>-285232</v>
      </c>
      <c r="G21">
        <v>38562</v>
      </c>
    </row>
    <row r="22" spans="1:7">
      <c r="A22" t="s">
        <v>447</v>
      </c>
      <c r="B22" t="s">
        <v>286</v>
      </c>
      <c r="C22" t="s">
        <v>286</v>
      </c>
      <c r="D22" t="s">
        <v>448</v>
      </c>
    </row>
    <row r="23" spans="1:7">
      <c r="A23" t="s">
        <v>449</v>
      </c>
      <c r="B23" t="s">
        <v>290</v>
      </c>
      <c r="C23" t="s">
        <v>290</v>
      </c>
      <c r="D23" t="s">
        <v>448</v>
      </c>
      <c r="E23">
        <v>-933320</v>
      </c>
      <c r="F23">
        <v>-688702</v>
      </c>
      <c r="G23">
        <v>-506067</v>
      </c>
    </row>
    <row r="24" spans="1:7">
      <c r="A24" t="s">
        <v>450</v>
      </c>
      <c r="B24" t="s">
        <v>291</v>
      </c>
      <c r="C24" t="s">
        <v>291</v>
      </c>
      <c r="D24" t="s">
        <v>448</v>
      </c>
      <c r="E24">
        <v>666481</v>
      </c>
      <c r="F24">
        <v>635421</v>
      </c>
      <c r="G24">
        <v>396632</v>
      </c>
    </row>
    <row r="25" spans="1:7">
      <c r="A25" t="s">
        <v>451</v>
      </c>
      <c r="B25" t="s">
        <v>287</v>
      </c>
      <c r="C25" t="s">
        <v>287</v>
      </c>
      <c r="D25" t="s">
        <v>448</v>
      </c>
      <c r="E25">
        <v>-6986</v>
      </c>
      <c r="F25">
        <v>-4627</v>
      </c>
      <c r="G25">
        <v>-9915</v>
      </c>
    </row>
    <row r="26" spans="1:7">
      <c r="A26" t="s">
        <v>452</v>
      </c>
      <c r="B26" t="s">
        <v>296</v>
      </c>
      <c r="C26" t="s">
        <v>296</v>
      </c>
      <c r="D26" t="s">
        <v>448</v>
      </c>
      <c r="E26">
        <v>-273825</v>
      </c>
      <c r="F26">
        <v>-57908</v>
      </c>
      <c r="G26">
        <v>-119350</v>
      </c>
    </row>
    <row r="27" spans="1:7">
      <c r="A27" t="s">
        <v>453</v>
      </c>
      <c r="B27" t="s">
        <v>297</v>
      </c>
      <c r="C27" t="s">
        <v>297</v>
      </c>
      <c r="D27" t="s">
        <v>454</v>
      </c>
    </row>
    <row r="28" spans="1:7">
      <c r="A28" t="s">
        <v>455</v>
      </c>
      <c r="B28" t="s">
        <v>298</v>
      </c>
      <c r="C28" t="s">
        <v>298</v>
      </c>
      <c r="D28" t="s">
        <v>454</v>
      </c>
      <c r="E28">
        <v>516206</v>
      </c>
      <c r="F28">
        <v>270250</v>
      </c>
      <c r="G28">
        <v>162150</v>
      </c>
    </row>
    <row r="29" spans="1:7">
      <c r="A29" t="s">
        <v>456</v>
      </c>
      <c r="B29" t="s">
        <v>457</v>
      </c>
      <c r="C29" t="s">
        <v>457</v>
      </c>
      <c r="D29" t="s">
        <v>454</v>
      </c>
      <c r="E29">
        <v>-391</v>
      </c>
      <c r="F29">
        <v>638</v>
      </c>
      <c r="G29">
        <v>-230</v>
      </c>
    </row>
    <row r="30" spans="1:7">
      <c r="A30" t="s">
        <v>458</v>
      </c>
      <c r="B30" t="s">
        <v>298</v>
      </c>
      <c r="C30" t="s">
        <v>298</v>
      </c>
      <c r="D30" t="s">
        <v>454</v>
      </c>
      <c r="E30">
        <v>30209</v>
      </c>
      <c r="F30">
        <v>14222</v>
      </c>
      <c r="G30">
        <v>7858</v>
      </c>
    </row>
    <row r="31" spans="1:7">
      <c r="A31" t="s">
        <v>459</v>
      </c>
      <c r="B31" t="s">
        <v>311</v>
      </c>
      <c r="C31" t="s">
        <v>311</v>
      </c>
      <c r="D31" t="s">
        <v>454</v>
      </c>
      <c r="E31">
        <v>546024</v>
      </c>
      <c r="F31">
        <v>285110</v>
      </c>
      <c r="G31">
        <v>169778</v>
      </c>
    </row>
    <row r="32" spans="1:7">
      <c r="A32" t="s">
        <v>460</v>
      </c>
      <c r="B32" t="s">
        <v>314</v>
      </c>
      <c r="C32" t="s">
        <v>314</v>
      </c>
      <c r="D32" t="s">
        <v>454</v>
      </c>
      <c r="E32">
        <v>-32222</v>
      </c>
      <c r="F32">
        <v>-58030</v>
      </c>
      <c r="G32">
        <v>88990</v>
      </c>
    </row>
    <row r="33" spans="1:7">
      <c r="A33" t="s">
        <v>461</v>
      </c>
      <c r="B33" t="s">
        <v>462</v>
      </c>
      <c r="C33" t="s">
        <v>315</v>
      </c>
      <c r="D33" t="s">
        <v>454</v>
      </c>
      <c r="E33">
        <v>102724</v>
      </c>
      <c r="F33">
        <v>160754</v>
      </c>
      <c r="G33">
        <v>71764</v>
      </c>
    </row>
    <row r="34" spans="1:7">
      <c r="A34" t="s">
        <v>463</v>
      </c>
      <c r="B34" t="s">
        <v>316</v>
      </c>
      <c r="C34" t="s">
        <v>316</v>
      </c>
      <c r="D34" t="s">
        <v>454</v>
      </c>
      <c r="E34">
        <v>70502</v>
      </c>
      <c r="F34">
        <v>102724</v>
      </c>
      <c r="G34">
        <v>160754</v>
      </c>
    </row>
    <row r="35" spans="1:7">
      <c r="A35" t="s">
        <v>464</v>
      </c>
      <c r="D35" t="s">
        <v>454</v>
      </c>
    </row>
    <row r="36" spans="1:7">
      <c r="A36" t="s">
        <v>465</v>
      </c>
      <c r="B36" t="s">
        <v>287</v>
      </c>
      <c r="C36" t="s">
        <v>287</v>
      </c>
      <c r="D36" t="s">
        <v>448</v>
      </c>
      <c r="E36">
        <v>1106</v>
      </c>
      <c r="F36">
        <v>1011</v>
      </c>
      <c r="G36">
        <v>73</v>
      </c>
    </row>
    <row r="37" spans="1:7">
      <c r="A37" t="s">
        <v>466</v>
      </c>
      <c r="B37" t="s">
        <v>298</v>
      </c>
      <c r="C37" t="s">
        <v>298</v>
      </c>
      <c r="D37" t="s">
        <v>454</v>
      </c>
      <c r="E37">
        <v>7</v>
      </c>
      <c r="G37">
        <v>32</v>
      </c>
    </row>
    <row r="38" spans="1:7">
      <c r="A38" t="s">
        <v>467</v>
      </c>
      <c r="D38" t="s">
        <v>454</v>
      </c>
      <c r="G38">
        <v>230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86BB7E-8C5E-47B3-884E-1F1CD5C1E3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8D45A8-CFBF-4ED9-9E7A-039127C4F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8B35B6-C041-412E-AD37-3607B4AFD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2021-10-11T08:06:54Z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