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880" windowHeight="397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21" i="1" l="1"/>
  <c r="F221" i="1"/>
  <c r="G213" i="1"/>
  <c r="G212" i="1"/>
  <c r="F212" i="1"/>
  <c r="G209" i="1"/>
  <c r="F209" i="1"/>
  <c r="G184" i="1"/>
  <c r="F184" i="1"/>
  <c r="G157" i="1"/>
  <c r="F157" i="1"/>
  <c r="G188" i="1"/>
  <c r="F188" i="1"/>
  <c r="G158" i="1"/>
  <c r="F158" i="1"/>
  <c r="G113" i="1"/>
  <c r="F113" i="1"/>
  <c r="G131" i="1"/>
  <c r="G36" i="1"/>
  <c r="G24" i="1"/>
  <c r="F36" i="1"/>
  <c r="F24" i="1"/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O382" i="1"/>
  <c r="N382" i="1"/>
  <c r="O381" i="1"/>
  <c r="N381" i="1"/>
  <c r="M381" i="1"/>
  <c r="L381" i="1"/>
  <c r="K381" i="1"/>
  <c r="J381" i="1"/>
  <c r="G381" i="1"/>
  <c r="F381" i="1"/>
  <c r="K378" i="1"/>
  <c r="J378" i="1"/>
  <c r="O376" i="1"/>
  <c r="N376" i="1"/>
  <c r="O375" i="1"/>
  <c r="N375" i="1"/>
  <c r="M375" i="1"/>
  <c r="L375" i="1"/>
  <c r="K375" i="1"/>
  <c r="J375" i="1"/>
  <c r="G375" i="1"/>
  <c r="F375" i="1"/>
  <c r="L373" i="1"/>
  <c r="K373" i="1"/>
  <c r="I373" i="1"/>
  <c r="O371" i="1"/>
  <c r="M371" i="1"/>
  <c r="L371" i="1"/>
  <c r="O370" i="1"/>
  <c r="N370" i="1"/>
  <c r="L369" i="1"/>
  <c r="K369" i="1"/>
  <c r="J369" i="1"/>
  <c r="I369" i="1"/>
  <c r="O368" i="1"/>
  <c r="N368" i="1"/>
  <c r="M368" i="1"/>
  <c r="G368" i="1"/>
  <c r="F368" i="1"/>
  <c r="O366" i="1"/>
  <c r="H366" i="1"/>
  <c r="O365" i="1"/>
  <c r="N365" i="1"/>
  <c r="M365" i="1"/>
  <c r="L365" i="1"/>
  <c r="K365" i="1"/>
  <c r="J365" i="1"/>
  <c r="I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G363" i="1"/>
  <c r="F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G355" i="1"/>
  <c r="G357" i="1" s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K326" i="1"/>
  <c r="J326" i="1"/>
  <c r="I326" i="1"/>
  <c r="I385" i="1" s="1"/>
  <c r="H326" i="1"/>
  <c r="H385" i="1" s="1"/>
  <c r="G326" i="1"/>
  <c r="G353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G100" i="1"/>
  <c r="G128" i="1" s="1"/>
  <c r="G7" i="1" s="1"/>
  <c r="F100" i="1"/>
  <c r="F128" i="1" s="1"/>
  <c r="F7" i="1" s="1"/>
  <c r="O98" i="1"/>
  <c r="N98" i="1"/>
  <c r="M98" i="1"/>
  <c r="L98" i="1"/>
  <c r="K98" i="1"/>
  <c r="J98" i="1"/>
  <c r="I98" i="1"/>
  <c r="H98" i="1"/>
  <c r="G98" i="1"/>
  <c r="F98" i="1"/>
  <c r="O83" i="1"/>
  <c r="N83" i="1"/>
  <c r="M83" i="1"/>
  <c r="L83" i="1"/>
  <c r="K83" i="1"/>
  <c r="J83" i="1"/>
  <c r="I83" i="1"/>
  <c r="H83" i="1"/>
  <c r="O71" i="1"/>
  <c r="N71" i="1"/>
  <c r="M71" i="1"/>
  <c r="M373" i="1" s="1"/>
  <c r="L71" i="1"/>
  <c r="L372" i="1" s="1"/>
  <c r="K71" i="1"/>
  <c r="K372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K44" i="1"/>
  <c r="K370" i="1" s="1"/>
  <c r="J44" i="1"/>
  <c r="J370" i="1" s="1"/>
  <c r="I44" i="1"/>
  <c r="I378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K30" i="1"/>
  <c r="J30" i="1"/>
  <c r="I30" i="1"/>
  <c r="H30" i="1"/>
  <c r="H369" i="1" s="1"/>
  <c r="G30" i="1"/>
  <c r="F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N366" i="1" s="1"/>
  <c r="M12" i="1"/>
  <c r="M376" i="1" s="1"/>
  <c r="L12" i="1"/>
  <c r="K12" i="1"/>
  <c r="K366" i="1" s="1"/>
  <c r="J12" i="1"/>
  <c r="I12" i="1"/>
  <c r="H12" i="1"/>
  <c r="O11" i="1"/>
  <c r="N11" i="1"/>
  <c r="M11" i="1"/>
  <c r="M377" i="1" s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H9" i="1"/>
  <c r="H384" i="1" s="1"/>
  <c r="O8" i="1"/>
  <c r="O383" i="1" s="1"/>
  <c r="N8" i="1"/>
  <c r="N383" i="1" s="1"/>
  <c r="M8" i="1"/>
  <c r="M382" i="1" s="1"/>
  <c r="L8" i="1"/>
  <c r="L382" i="1" s="1"/>
  <c r="K8" i="1"/>
  <c r="K382" i="1" s="1"/>
  <c r="J8" i="1"/>
  <c r="J382" i="1" s="1"/>
  <c r="I8" i="1"/>
  <c r="I383" i="1" s="1"/>
  <c r="H8" i="1"/>
  <c r="O7" i="1"/>
  <c r="N7" i="1"/>
  <c r="M7" i="1"/>
  <c r="L7" i="1"/>
  <c r="K7" i="1"/>
  <c r="J7" i="1"/>
  <c r="I7" i="1"/>
  <c r="H7" i="1"/>
  <c r="O6" i="1"/>
  <c r="N6" i="1"/>
  <c r="N371" i="1" s="1"/>
  <c r="M6" i="1"/>
  <c r="L6" i="1"/>
  <c r="K6" i="1"/>
  <c r="K371" i="1" s="1"/>
  <c r="J6" i="1"/>
  <c r="J371" i="1" s="1"/>
  <c r="I6" i="1"/>
  <c r="I371" i="1" s="1"/>
  <c r="H6" i="1"/>
  <c r="H365" i="1" s="1"/>
  <c r="O5" i="1"/>
  <c r="N5" i="1"/>
  <c r="M5" i="1"/>
  <c r="L5" i="1"/>
  <c r="K5" i="1"/>
  <c r="J5" i="1"/>
  <c r="I5" i="1"/>
  <c r="H5" i="1"/>
  <c r="G5" i="1"/>
  <c r="F5" i="1"/>
  <c r="G161" i="1" l="1"/>
  <c r="G8" i="1" s="1"/>
  <c r="G382" i="1" s="1"/>
  <c r="H373" i="1"/>
  <c r="F353" i="1"/>
  <c r="F355" i="1" s="1"/>
  <c r="F357" i="1" s="1"/>
  <c r="F385" i="1"/>
  <c r="J368" i="1"/>
  <c r="J384" i="1"/>
  <c r="H368" i="1"/>
  <c r="H363" i="1"/>
  <c r="K384" i="1"/>
  <c r="I368" i="1"/>
  <c r="I363" i="1"/>
  <c r="J377" i="1"/>
  <c r="J383" i="1"/>
  <c r="K383" i="1"/>
  <c r="L383" i="1"/>
  <c r="J366" i="1"/>
  <c r="I366" i="1"/>
  <c r="F369" i="1"/>
  <c r="F44" i="1"/>
  <c r="L370" i="1"/>
  <c r="L378" i="1"/>
  <c r="O373" i="1"/>
  <c r="J385" i="1"/>
  <c r="H370" i="1"/>
  <c r="I375" i="1"/>
  <c r="I381" i="1"/>
  <c r="M383" i="1"/>
  <c r="K377" i="1"/>
  <c r="N373" i="1"/>
  <c r="N372" i="1"/>
  <c r="H371" i="1"/>
  <c r="H375" i="1"/>
  <c r="L377" i="1"/>
  <c r="G369" i="1"/>
  <c r="G44" i="1"/>
  <c r="K385" i="1"/>
  <c r="I370" i="1"/>
  <c r="L376" i="1"/>
  <c r="K368" i="1"/>
  <c r="J372" i="1"/>
  <c r="F384" i="1"/>
  <c r="F13" i="1"/>
  <c r="F377" i="1"/>
  <c r="L366" i="1"/>
  <c r="L368" i="1"/>
  <c r="G384" i="1"/>
  <c r="G13" i="1"/>
  <c r="G377" i="1"/>
  <c r="M366" i="1"/>
  <c r="G385" i="1"/>
  <c r="F161" i="1"/>
  <c r="F8" i="1" s="1"/>
  <c r="M372" i="1"/>
  <c r="H381" i="1"/>
  <c r="H383" i="1"/>
  <c r="H377" i="1"/>
  <c r="H382" i="1"/>
  <c r="H376" i="1"/>
  <c r="N377" i="1"/>
  <c r="I377" i="1"/>
  <c r="I382" i="1"/>
  <c r="I376" i="1"/>
  <c r="O377" i="1"/>
  <c r="L385" i="1"/>
  <c r="I384" i="1"/>
  <c r="O372" i="1"/>
  <c r="M378" i="1"/>
  <c r="G12" i="1" l="1"/>
  <c r="G376" i="1" s="1"/>
  <c r="G383" i="1"/>
  <c r="F383" i="1"/>
  <c r="F382" i="1"/>
  <c r="G378" i="1"/>
  <c r="G370" i="1"/>
  <c r="G59" i="1"/>
  <c r="G67" i="1" s="1"/>
  <c r="G71" i="1" s="1"/>
  <c r="F378" i="1"/>
  <c r="F59" i="1"/>
  <c r="F67" i="1" s="1"/>
  <c r="F71" i="1" s="1"/>
  <c r="F370" i="1"/>
  <c r="F12" i="1"/>
  <c r="G366" i="1" l="1"/>
  <c r="G14" i="1"/>
  <c r="F373" i="1"/>
  <c r="F83" i="1"/>
  <c r="F372" i="1"/>
  <c r="F6" i="1"/>
  <c r="G373" i="1"/>
  <c r="G83" i="1"/>
  <c r="G372" i="1"/>
  <c r="G6" i="1"/>
  <c r="F366" i="1"/>
  <c r="F14" i="1"/>
  <c r="F376" i="1"/>
  <c r="G365" i="1" l="1"/>
  <c r="G371" i="1"/>
  <c r="F365" i="1"/>
  <c r="F371" i="1"/>
</calcChain>
</file>

<file path=xl/sharedStrings.xml><?xml version="1.0" encoding="utf-8"?>
<sst xmlns="http://schemas.openxmlformats.org/spreadsheetml/2006/main" count="1026" uniqueCount="574">
  <si>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</si>
  <si>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</si>
  <si>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</si>
  <si>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</si>
  <si>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</si>
  <si>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</si>
  <si>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</si>
  <si>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</si>
  <si>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</si>
  <si>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</si>
  <si>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</si>
  <si>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</si>
  <si>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</si>
  <si>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</si>
  <si>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</si>
  <si>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</si>
  <si>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</si>
  <si>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</si>
  <si>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</si>
  <si>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</si>
  <si>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</si>
  <si>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</si>
  <si>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</si>
  <si>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</si>
  <si>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</si>
  <si>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</si>
  <si>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</si>
  <si>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</si>
  <si>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</si>
  <si>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</si>
  <si>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</si>
  <si>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</si>
  <si>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</si>
  <si>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</si>
  <si>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</si>
  <si>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</si>
  <si>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</si>
  <si>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</si>
  <si>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</si>
  <si>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</si>
  <si>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</si>
  <si>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</si>
  <si>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</si>
  <si>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</si>
  <si>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</si>
  <si>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</si>
  <si>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</si>
  <si>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</si>
  <si>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</si>
  <si>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</si>
  <si>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</si>
  <si>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</si>
  <si>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</si>
  <si>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</si>
  <si>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</si>
  <si>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</si>
  <si>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</si>
  <si>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</si>
  <si>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</si>
  <si>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</si>
  <si>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</si>
  <si>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</si>
  <si>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</si>
  <si>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</si>
  <si>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</si>
  <si>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</si>
  <si>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</si>
  <si>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</si>
  <si>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</si>
  <si>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</si>
  <si>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</si>
  <si>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</si>
  <si>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</si>
  <si>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</si>
  <si>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</si>
  <si>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</si>
  <si>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</si>
  <si>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</si>
  <si>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</si>
  <si>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</si>
  <si>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</si>
  <si>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</si>
  <si>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</si>
  <si>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</si>
  <si>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</si>
  <si>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</si>
  <si>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</si>
  <si>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</si>
  <si>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</si>
  <si>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</si>
  <si>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</si>
  <si>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</si>
  <si>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</si>
  <si>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</si>
  <si>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</si>
  <si>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</si>
  <si>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</si>
  <si>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</si>
  <si>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</si>
  <si>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</si>
  <si>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</si>
  <si>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</si>
  <si>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</si>
  <si>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</si>
  <si>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</si>
  <si>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</si>
  <si>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</si>
  <si>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</si>
  <si>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</si>
  <si>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</si>
  <si>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</si>
  <si>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</si>
  <si>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</si>
  <si>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</si>
  <si>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</si>
  <si>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</si>
  <si>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</si>
  <si>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</si>
  <si>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</si>
  <si>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</si>
  <si>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</si>
  <si>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</si>
  <si>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</si>
  <si>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</si>
  <si>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</si>
  <si>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</si>
  <si>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</si>
  <si>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</si>
  <si>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</si>
  <si>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</si>
  <si>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</si>
  <si>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</si>
  <si>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</si>
  <si>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</si>
  <si>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</si>
  <si>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</si>
  <si>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</si>
  <si>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</si>
  <si>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</si>
  <si>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</si>
  <si>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</si>
  <si>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</si>
  <si>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</si>
  <si>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</si>
  <si>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</si>
  <si>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</si>
  <si>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</si>
  <si>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</si>
  <si>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</si>
  <si>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</si>
  <si>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</si>
  <si>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</si>
  <si>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</si>
  <si>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</si>
  <si>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</si>
  <si>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</si>
  <si>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</si>
  <si>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</si>
  <si>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</si>
  <si>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</si>
  <si>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</si>
  <si>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</si>
  <si>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</si>
  <si>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</si>
  <si>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</si>
  <si>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</si>
  <si>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</si>
  <si>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</si>
  <si>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</si>
  <si>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</si>
  <si>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</si>
  <si>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</si>
  <si>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</si>
  <si>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</si>
  <si>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</si>
  <si>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</si>
  <si>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</si>
  <si>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</si>
  <si>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</si>
  <si>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</si>
  <si>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</si>
  <si>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</si>
  <si>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</si>
  <si>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</si>
  <si>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</si>
  <si>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</si>
  <si>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</si>
  <si>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</si>
  <si>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</si>
  <si>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</si>
  <si>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</si>
  <si>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</si>
  <si>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</si>
  <si>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</si>
  <si>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</si>
  <si>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</si>
  <si>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</si>
  <si>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</si>
  <si>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</si>
  <si>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</si>
  <si>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</si>
  <si>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</si>
  <si>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</si>
  <si>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</si>
  <si>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</si>
  <si>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</si>
  <si>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</si>
  <si>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</si>
  <si>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</si>
  <si>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</si>
  <si>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</si>
  <si>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</si>
  <si>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</si>
  <si>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</si>
  <si>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</si>
  <si>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</si>
  <si>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</si>
  <si>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</si>
  <si>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</si>
  <si>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</si>
  <si>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</si>
  <si>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</si>
  <si>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</si>
  <si>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</si>
  <si>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</si>
  <si>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</si>
  <si>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</si>
  <si>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</si>
  <si>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</si>
  <si>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</si>
  <si>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</si>
  <si>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</si>
  <si>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</si>
  <si>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</si>
  <si>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</si>
  <si>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</si>
  <si>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</si>
  <si>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</si>
  <si>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</si>
  <si>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</si>
  <si>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</si>
  <si>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</si>
  <si>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</si>
  <si>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</si>
  <si>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</si>
  <si>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</si>
  <si>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</si>
  <si>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</si>
  <si>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</si>
  <si>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</si>
  <si>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</si>
  <si>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</si>
  <si>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</si>
  <si>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</si>
  <si>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</si>
  <si>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</si>
  <si>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</si>
  <si>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</si>
  <si>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</si>
  <si>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</si>
  <si>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</si>
  <si>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</si>
  <si>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</si>
  <si>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</si>
  <si>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</si>
  <si>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</si>
  <si>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</si>
  <si>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</si>
  <si>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</si>
  <si>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</si>
  <si>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</si>
  <si>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</si>
  <si>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</si>
  <si>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</si>
  <si>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</si>
  <si>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</si>
  <si>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</si>
  <si>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</si>
  <si>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</si>
  <si>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</si>
  <si>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</si>
  <si>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</si>
  <si>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</si>
  <si>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</si>
  <si>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</si>
  <si>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</si>
  <si>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</si>
  <si>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</si>
  <si>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</si>
  <si>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</si>
  <si>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</si>
  <si>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</si>
  <si>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</si>
  <si>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</si>
  <si>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</si>
  <si>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</si>
  <si>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</si>
  <si>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</si>
  <si>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</si>
  <si>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</si>
  <si>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</si>
  <si>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</si>
  <si>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</si>
  <si>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</si>
  <si>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</si>
  <si>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</si>
  <si>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</si>
  <si>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</si>
  <si>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</si>
  <si>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</si>
  <si>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</si>
  <si>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</si>
  <si>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</si>
  <si>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</si>
  <si>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</si>
  <si>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</si>
  <si>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</si>
  <si>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</si>
  <si>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</si>
  <si>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</si>
  <si>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</si>
  <si>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</si>
  <si>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</si>
  <si>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</si>
  <si>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</si>
  <si>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</si>
  <si>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</si>
  <si>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</si>
  <si>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</si>
  <si>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</si>
  <si>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</si>
  <si>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</si>
  <si>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</si>
  <si>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</si>
  <si>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</si>
  <si>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</si>
  <si>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</si>
  <si>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</si>
  <si>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</si>
  <si>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</si>
  <si>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</si>
  <si>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</si>
  <si>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</si>
  <si>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</si>
  <si>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</si>
  <si>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</si>
  <si>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</si>
  <si>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</si>
  <si>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</si>
  <si>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</si>
  <si>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</si>
  <si>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</si>
  <si>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</si>
  <si>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</si>
  <si>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</si>
  <si>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</si>
  <si>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</si>
  <si>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</si>
  <si>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</si>
  <si>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</si>
  <si>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</si>
  <si>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</si>
  <si>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</si>
  <si>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</si>
  <si>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</si>
  <si>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</si>
  <si>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</si>
  <si>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</si>
  <si>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</si>
  <si>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</si>
  <si>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</si>
  <si>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</si>
  <si>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</si>
  <si>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</si>
  <si>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ARCH CAPITAL GROUP LTD. AND SUBSIDIARIES</t>
  </si>
  <si>
    <t>CONSOLIDATED BALANCE SHEETS</t>
  </si>
  <si>
    <t>(U.S. dollars in thousands, except share data)</t>
  </si>
  <si>
    <t>Assets</t>
  </si>
  <si>
    <t>Investments:</t>
  </si>
  <si>
    <t>Fixed maturities available for sale, at fair value (amortized cost: $14,829,902 and $13,869,460)</t>
  </si>
  <si>
    <t>Short-term investments available for sale, at fair value (amortized cost: $956,238 and $1,468,955)</t>
  </si>
  <si>
    <t>Collateral received under securities lending, at fair value (amortized cost: $274,125 and $476,605)</t>
  </si>
  <si>
    <t>Equity securities, at fair value</t>
  </si>
  <si>
    <t>Other investments available for sale, at fair value (cost: $0 and $198,163)</t>
  </si>
  <si>
    <t>Investments accounted for using the fair value option</t>
  </si>
  <si>
    <t>Investments accounted for using the equity method</t>
  </si>
  <si>
    <t>Total investments</t>
  </si>
  <si>
    <t>Cash</t>
  </si>
  <si>
    <t>Accrued investment income</t>
  </si>
  <si>
    <t>Securities pledged under securities lending, at fair value (amortized cost: $266,786 and $463,181)</t>
  </si>
  <si>
    <t>Premiums receivable</t>
  </si>
  <si>
    <t>Reinsurance recoverable on unpaid and paid losses and loss adjustment expenses</t>
  </si>
  <si>
    <t>Contractholder receivables</t>
  </si>
  <si>
    <t>Ceded unearned premiums</t>
  </si>
  <si>
    <t>Deferred acquisition costs</t>
  </si>
  <si>
    <t>Receivable for securities sold</t>
  </si>
  <si>
    <t>Goodwill and intangible assets</t>
  </si>
  <si>
    <t>Other Intangibles</t>
  </si>
  <si>
    <t>Other assets</t>
  </si>
  <si>
    <t>Total assets</t>
  </si>
  <si>
    <t>Liabilities</t>
  </si>
  <si>
    <t>Reserve for losses and loss adjustment expenses</t>
  </si>
  <si>
    <t>Unearned premiums</t>
  </si>
  <si>
    <t>Reinsurance balances payable</t>
  </si>
  <si>
    <t>Contractholder payables</t>
  </si>
  <si>
    <t>Collateral held for insured obligations</t>
  </si>
  <si>
    <t>Senior notes</t>
  </si>
  <si>
    <t>Revolving credit agreement borrowings</t>
  </si>
  <si>
    <t>Securities lending payable</t>
  </si>
  <si>
    <t>Payable for securities purchased</t>
  </si>
  <si>
    <t>Other liabilities</t>
  </si>
  <si>
    <t>Total liabilities</t>
  </si>
  <si>
    <t>Commitments and Contingencies</t>
  </si>
  <si>
    <t>Redeemable noncontrolling interests</t>
  </si>
  <si>
    <t>Shareholders Equity</t>
  </si>
  <si>
    <t>Non-cumulative preferred shares</t>
  </si>
  <si>
    <t>Convertible non-voting common equivalent preferred shares</t>
  </si>
  <si>
    <t>Common shares ($0.0011 par, shares issued: 570,737,283 and 549,872,226)</t>
  </si>
  <si>
    <t>Additional paid-in capital</t>
  </si>
  <si>
    <t>Retained earnings</t>
  </si>
  <si>
    <t>Accumulated other comprehensive income (loss), net of deferred income tax</t>
  </si>
  <si>
    <t>Common shares held in treasury, at cost (shares: 168,282,449 and 156,938,409)</t>
  </si>
  <si>
    <t>Total shareholders' equity available to Arch</t>
  </si>
  <si>
    <t>Non-redeemable noncontrolling interests</t>
  </si>
  <si>
    <t>Total shareholders' equity</t>
  </si>
  <si>
    <t>Revenues</t>
  </si>
  <si>
    <t>Revenue</t>
  </si>
  <si>
    <t>Net premiums written</t>
  </si>
  <si>
    <t>Change in unearned premiums</t>
  </si>
  <si>
    <t>Net premiums earned</t>
  </si>
  <si>
    <t>Net investment income</t>
  </si>
  <si>
    <t>Net realized gains (losses)</t>
  </si>
  <si>
    <t>Other-than-temporary impairment losses</t>
  </si>
  <si>
    <t>Less investment impairments recognized in other comprehensive income, before taxes</t>
  </si>
  <si>
    <t>Net impairment losses recognized in earnings</t>
  </si>
  <si>
    <t>Other underwriting income</t>
  </si>
  <si>
    <t>Equity in net income of investments accounted for using the equity method</t>
  </si>
  <si>
    <t>Other income (loss)</t>
  </si>
  <si>
    <t>Total revenues</t>
  </si>
  <si>
    <t>Expenses</t>
  </si>
  <si>
    <t>Losses and loss adjustment expenses</t>
  </si>
  <si>
    <t>Acquisition expenses</t>
  </si>
  <si>
    <t>Other operating expenses</t>
  </si>
  <si>
    <t>Corporate expenses</t>
  </si>
  <si>
    <t>Amortization of intangible assets</t>
  </si>
  <si>
    <t>Amortisation of assets</t>
  </si>
  <si>
    <t>Interest expense</t>
  </si>
  <si>
    <t>Net foreign exchange losses (gains)</t>
  </si>
  <si>
    <t>Total expenses</t>
  </si>
  <si>
    <t>Income before income taxes</t>
  </si>
  <si>
    <t>Profit before Zakat</t>
  </si>
  <si>
    <t>Income taxes:</t>
  </si>
  <si>
    <t>Current tax (benefit) expense</t>
  </si>
  <si>
    <t>Deferred tax expense (benefit)</t>
  </si>
  <si>
    <t>Income tax expense</t>
  </si>
  <si>
    <t>Net income</t>
  </si>
  <si>
    <t>Net (income) loss attributable to noncontrolling interests</t>
  </si>
  <si>
    <t>Share of profit or loss from associates, JVs</t>
  </si>
  <si>
    <t>Net income available to Arch</t>
  </si>
  <si>
    <t>Preferred dividends</t>
  </si>
  <si>
    <t>Loss on redemption of preferred shares</t>
  </si>
  <si>
    <t>Net income available to Arch common shareholders</t>
  </si>
  <si>
    <t>Net income per common share and common share equivalent</t>
  </si>
  <si>
    <t>Basic</t>
  </si>
  <si>
    <t>Diluted</t>
  </si>
  <si>
    <t>Weighted average common shares and common share equivalents outstanding</t>
  </si>
  <si>
    <t>Comprehensive Income</t>
  </si>
  <si>
    <t>Total Other Comprehensive Income</t>
  </si>
  <si>
    <t>Other comprehensive income (loss), net of deferred income tax</t>
  </si>
  <si>
    <t>Unrealized appreciation (decline) in value of available-for-sale investments:</t>
  </si>
  <si>
    <t>Unrealized holding gains (losses) arising during year</t>
  </si>
  <si>
    <t>Portion of other-than-temporary impairment losses recognized in other comprehensive income, net of deferred income tax</t>
  </si>
  <si>
    <t>Reclassification of net realized gains, net of income taxes, included in net income</t>
  </si>
  <si>
    <t>Foreign currency translation adjustments</t>
  </si>
  <si>
    <t>Comprehensive income</t>
  </si>
  <si>
    <t>Other comprehensive (income) loss attributable to noncontrolling interests</t>
  </si>
  <si>
    <t>Total Other Comprehensive Income (Loss)</t>
  </si>
  <si>
    <t>Comprehensive income available to Arch</t>
  </si>
  <si>
    <t>Operating Activities</t>
  </si>
  <si>
    <t>Adjustments to reconcile net income to net cash provided by operating activities:</t>
  </si>
  <si>
    <t>Net realized (gains) losses</t>
  </si>
  <si>
    <t>Equity in net income or loss of investments accounted for using the equity method and other income or loss</t>
  </si>
  <si>
    <t>Share-based compensation</t>
  </si>
  <si>
    <t>Changes in:</t>
  </si>
  <si>
    <t>Reserve for losses and loss adjustment expenses, net of unpaid losses and loss adjustment expenses recoverable</t>
  </si>
  <si>
    <t>Unearned premiums, net of ceded unearned premiums</t>
  </si>
  <si>
    <t>Other items, net</t>
  </si>
  <si>
    <t>Net cash provided by operating activities</t>
  </si>
  <si>
    <t>Investing Activities</t>
  </si>
  <si>
    <t>Purchases of fixed maturity investments</t>
  </si>
  <si>
    <t>Purchases of equity securities</t>
  </si>
  <si>
    <t>Purchases of other investments</t>
  </si>
  <si>
    <t>Proceeds from sales of fixed maturity investments</t>
  </si>
  <si>
    <t>Proceeds from sales of equity securities</t>
  </si>
  <si>
    <t>Proceeds from sales, redemptions and maturities of other investments</t>
  </si>
  <si>
    <t>Proceeds from redemptions and maturities of fixed maturity investments</t>
  </si>
  <si>
    <t>Net settlements of derivative instruments</t>
  </si>
  <si>
    <t>Net (purchases) sales of short-term investments</t>
  </si>
  <si>
    <t>Change in cash collateral related to securities lending</t>
  </si>
  <si>
    <t>Acquisitions, net of cash</t>
  </si>
  <si>
    <t>Purchases of fixed assets</t>
  </si>
  <si>
    <t>Other</t>
  </si>
  <si>
    <t>Net cash provided by (used for) investing activities</t>
  </si>
  <si>
    <t>Financing Activities</t>
  </si>
  <si>
    <t>Proceeds from issuance of preferred shares, net</t>
  </si>
  <si>
    <t>Redemption of preferred shares</t>
  </si>
  <si>
    <t>Purchases of common shares under share repurchase program</t>
  </si>
  <si>
    <t>Proceeds from common shares issued, net</t>
  </si>
  <si>
    <t>Repayments of borrowings</t>
  </si>
  <si>
    <t>Dividends paid to redeemable noncontrolling interests</t>
  </si>
  <si>
    <t>Preferred dividends paid</t>
  </si>
  <si>
    <t>Net cash provided by (used for) financing activities</t>
  </si>
  <si>
    <t>Effects of exchange rate changes on foreign currency cash and restricted cash</t>
  </si>
  <si>
    <t>Increase (decrease) in cash and restricted cash</t>
  </si>
  <si>
    <t>Net increase (decrease) in cash and cash equivalents</t>
  </si>
  <si>
    <t>Cash and restricted cash, beginning of year</t>
  </si>
  <si>
    <t>Cash and restricted cash, end of year</t>
  </si>
  <si>
    <t>Income taxes paid</t>
  </si>
  <si>
    <t xml:space="preserve">Adjustment for Income Tax Paid </t>
  </si>
  <si>
    <t>Interest paid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</si>
  <si>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</si>
  <si>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</si>
  <si>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</si>
  <si>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</si>
  <si>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</si>
  <si>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current taxation</t>
  </si>
  <si>
    <t>other operating current assets</t>
  </si>
  <si>
    <t>long term investments</t>
  </si>
  <si>
    <t>changed value</t>
  </si>
  <si>
    <t>net premiums written</t>
  </si>
  <si>
    <t>change in unearned premiums</t>
  </si>
  <si>
    <t>net investment income</t>
  </si>
  <si>
    <t>net realized gains (losses)</t>
  </si>
  <si>
    <t>other-than-temporary impairment losses</t>
  </si>
  <si>
    <t>less investment impairments recognized in other comprehensive income, before taxes</t>
  </si>
  <si>
    <t>other underwriting income</t>
  </si>
  <si>
    <t>equity in net income of investments accounted for using the equity method</t>
  </si>
  <si>
    <t>deleted this value</t>
  </si>
  <si>
    <t>other operating expenses</t>
  </si>
  <si>
    <t>losses and loss adjustment expenses</t>
  </si>
  <si>
    <t>acquisition expenses</t>
  </si>
  <si>
    <t>corporate expenses</t>
  </si>
  <si>
    <t>added value; signs are reversed of pdf signs</t>
  </si>
  <si>
    <t>foreign currency translation</t>
  </si>
  <si>
    <t>net foreign exchange losses (gains)</t>
  </si>
  <si>
    <t>changed signs</t>
  </si>
  <si>
    <t>deferred taxation</t>
  </si>
  <si>
    <t>current tax (benefit) expense</t>
  </si>
  <si>
    <t>deferred tax expense (benefit)</t>
  </si>
  <si>
    <t>wrong value; changed</t>
  </si>
  <si>
    <t>minority interest</t>
  </si>
  <si>
    <t>net (income) loss attributable to noncontrolling interests</t>
  </si>
  <si>
    <t>marketable investments</t>
  </si>
  <si>
    <t>Short-term investments available for sale, at fair value</t>
  </si>
  <si>
    <t>Other investments available for sale, at fair value</t>
  </si>
  <si>
    <t>deleted this value; added another one</t>
  </si>
  <si>
    <t>Collateral received under securities lending, at fair value</t>
  </si>
  <si>
    <t>added value</t>
  </si>
  <si>
    <t>Securities pledged under securities lending, at fair value</t>
  </si>
  <si>
    <t>accounts receivable and prepayments</t>
  </si>
  <si>
    <t>premiums receivable</t>
  </si>
  <si>
    <t>reserve for losses and loss adjustment expenses</t>
  </si>
  <si>
    <t>unearned premiums</t>
  </si>
  <si>
    <t>other non-operating current assets</t>
  </si>
  <si>
    <t>reinsurance balances payable</t>
  </si>
  <si>
    <t>contractholder payables</t>
  </si>
  <si>
    <t>collateral held for insured obligations</t>
  </si>
  <si>
    <t>other non-current liabilities</t>
  </si>
  <si>
    <t>revolving credit agreement borrowings</t>
  </si>
  <si>
    <t>securities lending payable</t>
  </si>
  <si>
    <t>payable for securities purchased</t>
  </si>
  <si>
    <t>ordinary shares</t>
  </si>
  <si>
    <t>preference shares</t>
  </si>
  <si>
    <t>redeemable noncontrolling interests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</si>
</sst>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6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32F-42AD-9EC6-8F3D8244C3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86B-4883-B0F4-A1E6EAAD4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166-4D61-A7C9-4928EA4FF2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D8-4E5D-B2D2-B6CE9E7B75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04-4D5F-BDC9-3A23418A75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00-42CC-BCC5-0EC9E117B3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8C9-432C-BDDE-AF58F973D3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6D-4D38-BCD3-9A4C49BCFF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894-45B3-B625-C8423417EC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F9-4EAC-A72D-A9E801F48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BB-430E-841D-7B6E485EA4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39-4F7D-9F73-355E394A18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982-43CB-A0C4-1DD845F1C2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A2B-487E-841D-E99407EEAA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2C2-4E44-ADAE-69DC52EBBA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757971</v>
      </c>
      <c r="G6" s="7">
        <f t="shared" ref="G6:O6" si="1">IF(G4=$BF$1,"",G71)</f>
        <v>619278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22353935</v>
      </c>
      <c r="G7" s="7">
        <f t="shared" ref="G7:O7" si="2">IF(G4=$BF$1,"",G128)</f>
        <v>21811601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9864394</v>
      </c>
      <c r="G8" s="7">
        <f t="shared" ref="G8:O8" si="3">IF(G4=$BF$1,"",G161)</f>
        <v>10240057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18679940</v>
      </c>
      <c r="G9" s="7">
        <f t="shared" ref="G9:O9" si="4">IF(G4=$BF$1,"",G189)</f>
        <v>18473990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3100710</v>
      </c>
      <c r="G10" s="7">
        <f t="shared" ref="G10:O10" si="5">IF(G4=$BF$1,"",G210)</f>
        <v>3331733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10437679</v>
      </c>
      <c r="G11" s="7">
        <f t="shared" ref="G11:O11" si="6">IF(G4=$BF$1,"",G227)</f>
        <v>10245935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32218329</v>
      </c>
      <c r="G12" s="35">
        <f t="shared" ref="G12:O12" si="7">IF(G4=$BF$1,"",SUM(G7:G8))</f>
        <v>32051658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32218329</v>
      </c>
      <c r="G13" s="35">
        <f t="shared" ref="G13:O13" si="8">IF(G4=$BF$1,"",SUM(G9:G11))</f>
        <v>32051658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5346747-114772+563633-405344-2829+15073+45641+2419</f>
        <v>5450568</v>
      </c>
      <c r="G24">
        <f>4961373-116841+470872+149141-7138+30253+142286-2571</f>
        <v>5627375</v>
      </c>
      <c r="P24" s="44" t="s">
        <v>528</v>
      </c>
    </row>
    <row r="25" spans="5:16">
      <c r="E25" s="1" t="s">
        <v>27</v>
      </c>
      <c r="F25"/>
      <c r="G25"/>
      <c r="P25" s="44" t="s">
        <v>537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5450568</v>
      </c>
      <c r="G30" s="7">
        <f>IF(G4=$BF$1,"",G24-G25+ABS(G26)-G27-G28-G29)</f>
        <v>5627375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5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</row>
    <row r="35" spans="5:16">
      <c r="E35" s="1" t="s">
        <v>37</v>
      </c>
    </row>
    <row r="36" spans="5:16">
      <c r="E36" s="1" t="s">
        <v>38</v>
      </c>
      <c r="F36">
        <f>2890106+805135+78994+677809</f>
        <v>4452044</v>
      </c>
      <c r="G36">
        <f>2967446+775458+83752+684451</f>
        <v>4511107</v>
      </c>
      <c r="H36">
        <v>624090</v>
      </c>
      <c r="P36" s="44" t="s">
        <v>528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>
        <v>0</v>
      </c>
      <c r="G39">
        <v>0</v>
      </c>
      <c r="H39">
        <v>0</v>
      </c>
    </row>
    <row r="40" spans="5:16">
      <c r="E40" s="1" t="s">
        <v>42</v>
      </c>
    </row>
    <row r="41" spans="5:16">
      <c r="E41" s="1" t="s">
        <v>43</v>
      </c>
      <c r="F41">
        <v>105670</v>
      </c>
      <c r="G41">
        <v>125778</v>
      </c>
      <c r="H41">
        <v>19343</v>
      </c>
    </row>
    <row r="42" spans="5:16">
      <c r="E42" s="1" t="s">
        <v>44</v>
      </c>
      <c r="F42"/>
      <c r="G42"/>
      <c r="P42" s="44" t="s">
        <v>537</v>
      </c>
    </row>
    <row r="43" spans="5:16">
      <c r="E43" s="6" t="s">
        <v>45</v>
      </c>
      <c r="F43" s="7">
        <f>F32+F33+F34+F35+F36+F37+F38+F39+F40+F41+F42</f>
        <v>4557714</v>
      </c>
      <c r="G43" s="7">
        <f>G32+G33+G34+G35+G36+G37+G38+G39+G40+G41+G42</f>
        <v>4636885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892854</v>
      </c>
      <c r="G44" s="7">
        <f>IF(G4=$BF$1,"",G30+G31-G43)</f>
        <v>990490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</row>
    <row r="46" spans="5:16">
      <c r="E46" s="1" t="s">
        <v>48</v>
      </c>
      <c r="F46"/>
      <c r="G46"/>
      <c r="P46" s="44" t="s">
        <v>537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120484</v>
      </c>
      <c r="G49">
        <v>117431</v>
      </c>
      <c r="H49">
        <v>66252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366742</v>
      </c>
      <c r="P52" s="44" t="s">
        <v>537</v>
      </c>
    </row>
    <row r="53" spans="5:16">
      <c r="E53" s="1" t="s">
        <v>55</v>
      </c>
    </row>
    <row r="54" spans="5:16">
      <c r="E54" s="1" t="s">
        <v>56</v>
      </c>
      <c r="F54"/>
      <c r="G54"/>
      <c r="H54">
        <v>31374</v>
      </c>
      <c r="P54" s="44" t="s">
        <v>537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  <c r="F57">
        <v>69402</v>
      </c>
      <c r="G57">
        <v>-115782</v>
      </c>
      <c r="H57">
        <v>-57032</v>
      </c>
      <c r="P57" s="44" t="s">
        <v>542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841772</v>
      </c>
      <c r="G59" s="7">
        <f>IF(G4=$BF$1,"",G44+G45+G46+G47+G48-G49-G50-G51+G52-G53+G54+G55-G56+G57+G58)</f>
        <v>757277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5"/>
    </row>
    <row r="60" spans="5:16">
      <c r="E60" s="1" t="s">
        <v>62</v>
      </c>
      <c r="F60">
        <v>85863</v>
      </c>
      <c r="G60">
        <v>-45736</v>
      </c>
      <c r="H60">
        <v>50745</v>
      </c>
      <c r="P60" s="44" t="s">
        <v>545</v>
      </c>
    </row>
    <row r="61" spans="5:16">
      <c r="E61" s="1" t="s">
        <v>63</v>
      </c>
      <c r="F61">
        <v>28088</v>
      </c>
      <c r="G61">
        <v>173304</v>
      </c>
      <c r="H61">
        <v>-19371</v>
      </c>
      <c r="P61" s="44" t="s">
        <v>545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727821</v>
      </c>
      <c r="G67" s="7">
        <f>IF(G4=$BF$1,"",SUM(G59,-G60,-ABS(G61),-G62,-G66))</f>
        <v>629709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5"/>
    </row>
    <row r="68" spans="5:16">
      <c r="E68" s="1" t="s">
        <v>67</v>
      </c>
      <c r="F68">
        <v>30150</v>
      </c>
      <c r="G68">
        <v>-10431</v>
      </c>
      <c r="P68" s="44" t="s">
        <v>549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757971</v>
      </c>
      <c r="G71" s="7">
        <f t="shared" ref="G71:O71" si="14">IF(G4=$BF$1,"",SUM(G67:G70))</f>
        <v>619278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5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5">
      <c r="E81" s="1" t="s">
        <v>75</v>
      </c>
    </row>
    <row r="82" spans="5:15">
      <c r="E82" s="1" t="s">
        <v>76</v>
      </c>
    </row>
    <row r="83" spans="5:15">
      <c r="E83" s="6" t="s">
        <v>77</v>
      </c>
      <c r="F83" s="7">
        <f>SUM(F71:F82)</f>
        <v>757971</v>
      </c>
      <c r="G83" s="7">
        <f t="shared" ref="G83:O83" si="15">IF(G4=$BF$1,"",SUM(G71:G82))</f>
        <v>619278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5">
      <c r="E84" s="1" t="s">
        <v>78</v>
      </c>
    </row>
    <row r="85" spans="5:15">
      <c r="E85" s="1" t="s">
        <v>79</v>
      </c>
    </row>
    <row r="88" spans="5:15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5">
      <c r="E89" s="1" t="s">
        <v>81</v>
      </c>
    </row>
    <row r="90" spans="5:15">
      <c r="E90" s="1" t="s">
        <v>82</v>
      </c>
    </row>
    <row r="91" spans="5:15">
      <c r="E91" s="1" t="s">
        <v>83</v>
      </c>
    </row>
    <row r="92" spans="5:15">
      <c r="E92" s="12" t="s">
        <v>84</v>
      </c>
    </row>
    <row r="93" spans="5:15">
      <c r="E93" s="1" t="s">
        <v>85</v>
      </c>
    </row>
    <row r="94" spans="5:15">
      <c r="E94" s="1" t="s">
        <v>86</v>
      </c>
    </row>
    <row r="95" spans="5:15">
      <c r="E95" s="1" t="s">
        <v>87</v>
      </c>
    </row>
    <row r="96" spans="5:15">
      <c r="E96" s="12"/>
    </row>
    <row r="98" spans="5:15">
      <c r="E98" s="6" t="s">
        <v>88</v>
      </c>
      <c r="F98" s="7">
        <f>F89+F90+F91+F92+F93+F94+F95+F96</f>
        <v>0</v>
      </c>
      <c r="G98" s="7">
        <f>IF(G4=$BF$1,"",G89+G90+G91+G92+G93+G94+G95+G96)</f>
        <v>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89</v>
      </c>
    </row>
    <row r="100" spans="5:15">
      <c r="E100" s="6" t="s">
        <v>90</v>
      </c>
      <c r="F100" s="7">
        <f>F98+F99</f>
        <v>0</v>
      </c>
      <c r="G100" s="7">
        <f t="shared" ref="G100:O100" si="17">IF(G4=$BF$1,"",G98+G99)</f>
        <v>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</row>
    <row r="102" spans="5:15">
      <c r="E102" s="1" t="s">
        <v>92</v>
      </c>
      <c r="F102">
        <v>634920</v>
      </c>
      <c r="G102">
        <v>652611</v>
      </c>
    </row>
    <row r="103" spans="5:15">
      <c r="E103" s="1" t="s">
        <v>93</v>
      </c>
    </row>
    <row r="104" spans="5:15">
      <c r="E104" s="6" t="s">
        <v>94</v>
      </c>
      <c r="F104" s="7">
        <f>F101+F102+F103</f>
        <v>634920</v>
      </c>
      <c r="G104" s="7">
        <f t="shared" ref="G104:O104" si="18">IF(G4=$BF$1,"",G101+G102+G103)</f>
        <v>652611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</row>
    <row r="106" spans="5:15">
      <c r="E106" s="1" t="s">
        <v>96</v>
      </c>
    </row>
    <row r="107" spans="5:15">
      <c r="E107" s="1" t="s">
        <v>97</v>
      </c>
    </row>
    <row r="108" spans="5:15">
      <c r="E108" s="1" t="s">
        <v>98</v>
      </c>
    </row>
    <row r="109" spans="5:15">
      <c r="E109" s="1" t="s">
        <v>99</v>
      </c>
    </row>
    <row r="110" spans="5:15">
      <c r="E110" s="1" t="s">
        <v>100</v>
      </c>
    </row>
    <row r="111" spans="5:15">
      <c r="E111" s="1" t="s">
        <v>101</v>
      </c>
    </row>
    <row r="112" spans="5:15">
      <c r="E112" s="1" t="s">
        <v>102</v>
      </c>
      <c r="F112">
        <v>14699010</v>
      </c>
      <c r="G112">
        <v>13876003</v>
      </c>
    </row>
    <row r="113" spans="5:16">
      <c r="E113" s="1" t="s">
        <v>103</v>
      </c>
      <c r="F113">
        <f>274133+338899</f>
        <v>613032</v>
      </c>
      <c r="G113">
        <f>476615+495804</f>
        <v>972419</v>
      </c>
      <c r="P113" s="44" t="s">
        <v>555</v>
      </c>
    </row>
    <row r="114" spans="5:16">
      <c r="E114" s="1" t="s">
        <v>104</v>
      </c>
      <c r="F114">
        <v>5477362</v>
      </c>
      <c r="G114">
        <v>5257559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929611</v>
      </c>
      <c r="G126">
        <v>1053009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22353935</v>
      </c>
      <c r="G128" s="7">
        <f t="shared" ref="G128:O128" si="19">IF(G4=$BF$1,"",G100+SUM(G104:G126))</f>
        <v>21811601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646556</v>
      </c>
      <c r="G130">
        <v>606199</v>
      </c>
    </row>
    <row r="131" spans="5:16">
      <c r="E131" s="1" t="s">
        <v>118</v>
      </c>
      <c r="F131">
        <v>955880</v>
      </c>
      <c r="G131">
        <f>1469042+264989</f>
        <v>1734031</v>
      </c>
      <c r="P131" s="44" t="s">
        <v>528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1602436</v>
      </c>
      <c r="G140" s="7">
        <f t="shared" ref="G140:O140" si="20">IF(G4=$BF$1,"",G130+G131+G132+G133+G134+G135+G136+G139)</f>
        <v>2340230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f>1299150+2919372+2079111+569574+36246</f>
        <v>6903453</v>
      </c>
      <c r="G157">
        <f>1135249+2540143+1978414+535824+205536</f>
        <v>6395166</v>
      </c>
      <c r="P157" s="44" t="s">
        <v>557</v>
      </c>
    </row>
    <row r="158" spans="5:16">
      <c r="E158" s="1" t="s">
        <v>138</v>
      </c>
      <c r="F158" s="38">
        <f>114641+268395</f>
        <v>383036</v>
      </c>
      <c r="G158" s="38">
        <f>113133+464917</f>
        <v>578050</v>
      </c>
      <c r="P158" s="44" t="s">
        <v>557</v>
      </c>
    </row>
    <row r="159" spans="5:16">
      <c r="E159" s="1" t="s">
        <v>139</v>
      </c>
      <c r="F159">
        <v>975469</v>
      </c>
      <c r="G159">
        <v>926611</v>
      </c>
      <c r="P159" s="44" t="s">
        <v>537</v>
      </c>
    </row>
    <row r="160" spans="5:16">
      <c r="E160" s="6" t="s">
        <v>140</v>
      </c>
      <c r="F160" s="7">
        <f>F146+F147+F148+F149+F150+F151+F152+F153+F154+F155+F156+F157+F158+F159</f>
        <v>8261958</v>
      </c>
      <c r="G160" s="7">
        <f>IF(G4=$BF$1,"",G146+G147+G148+G149+G150+G151+G152+G153+G154+G155+G156+G157+G158+G159)</f>
        <v>7899827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5">
      <c r="E161" s="6" t="s">
        <v>12</v>
      </c>
      <c r="F161" s="7">
        <f>F140+F145+F160</f>
        <v>9864394</v>
      </c>
      <c r="G161" s="7">
        <f t="shared" ref="G161:O161" si="22">IF(G4=$BF$1,"",G140+G145+G160)</f>
        <v>10240057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5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5">
      <c r="E163" s="1" t="s">
        <v>142</v>
      </c>
    </row>
    <row r="164" spans="5:15">
      <c r="E164" s="1" t="s">
        <v>143</v>
      </c>
    </row>
    <row r="165" spans="5:15">
      <c r="E165" s="1" t="s">
        <v>144</v>
      </c>
    </row>
    <row r="166" spans="5:15">
      <c r="E166" s="1" t="s">
        <v>145</v>
      </c>
    </row>
    <row r="167" spans="5:15">
      <c r="E167" s="1" t="s">
        <v>146</v>
      </c>
    </row>
    <row r="168" spans="5:15">
      <c r="E168" s="1" t="s">
        <v>147</v>
      </c>
    </row>
    <row r="169" spans="5:15">
      <c r="E169" s="1" t="s">
        <v>148</v>
      </c>
    </row>
    <row r="170" spans="5:15">
      <c r="E170" s="1" t="s">
        <v>149</v>
      </c>
    </row>
    <row r="171" spans="5:15">
      <c r="E171" s="1" t="s">
        <v>150</v>
      </c>
    </row>
    <row r="172" spans="5:15">
      <c r="E172" s="1" t="s">
        <v>151</v>
      </c>
    </row>
    <row r="173" spans="5:15">
      <c r="E173" s="1" t="s">
        <v>152</v>
      </c>
    </row>
    <row r="174" spans="5:15">
      <c r="E174" s="1" t="s">
        <v>153</v>
      </c>
    </row>
    <row r="175" spans="5:15">
      <c r="E175" s="1" t="s">
        <v>154</v>
      </c>
    </row>
    <row r="176" spans="5:15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 s="38">
        <f>393107+2079111+274125+90034</f>
        <v>2836377</v>
      </c>
      <c r="G184" s="38">
        <f>323496+1978414+476605+449186</f>
        <v>3227701</v>
      </c>
      <c r="P184" s="44" t="s">
        <v>557</v>
      </c>
    </row>
    <row r="185" spans="5:16">
      <c r="E185" s="12" t="s">
        <v>162</v>
      </c>
    </row>
    <row r="187" spans="5:16">
      <c r="E187" s="1" t="s">
        <v>163</v>
      </c>
      <c r="F187" s="38">
        <v>236630</v>
      </c>
      <c r="G187" s="38">
        <v>240183</v>
      </c>
      <c r="P187" s="44" t="s">
        <v>557</v>
      </c>
    </row>
    <row r="188" spans="5:16">
      <c r="E188" s="1" t="s">
        <v>164</v>
      </c>
      <c r="F188">
        <f>11853297+3753636</f>
        <v>15606933</v>
      </c>
      <c r="G188">
        <f>11383792+3622314</f>
        <v>15006106</v>
      </c>
      <c r="P188" s="44" t="s">
        <v>528</v>
      </c>
    </row>
    <row r="189" spans="5:16">
      <c r="E189" s="6" t="s">
        <v>13</v>
      </c>
      <c r="F189" s="7">
        <f>SUM(F163:F188)</f>
        <v>18679940</v>
      </c>
      <c r="G189" s="7">
        <f t="shared" ref="G189:O189" si="23">IF(G4=$BF$1,"",SUM(G163:G188))</f>
        <v>18473990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  <c r="F193">
        <v>1733528</v>
      </c>
      <c r="G193">
        <v>1732884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f>455682+911500</f>
        <v>1367182</v>
      </c>
      <c r="G209">
        <f>816132+782717</f>
        <v>1598849</v>
      </c>
      <c r="P209" s="44" t="s">
        <v>557</v>
      </c>
    </row>
    <row r="210" spans="5:16">
      <c r="E210" s="6" t="s">
        <v>14</v>
      </c>
      <c r="F210" s="7">
        <f>SUM(F191:F209)</f>
        <v>3100710</v>
      </c>
      <c r="G210" s="7">
        <f t="shared" ref="G210:O210" si="24">IF(G4=$BF$1,"",SUM(G191:G209))</f>
        <v>3331733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1793781-2382167+634</f>
        <v>-587752</v>
      </c>
      <c r="G212">
        <f>1230617-2077741+611</f>
        <v>-846513</v>
      </c>
      <c r="P212" s="44" t="s">
        <v>549</v>
      </c>
    </row>
    <row r="213" spans="5:16">
      <c r="E213" s="1" t="s">
        <v>183</v>
      </c>
      <c r="F213" s="38">
        <v>780000</v>
      </c>
      <c r="G213" s="38">
        <f>872555+489627</f>
        <v>1362182</v>
      </c>
      <c r="P213" s="44" t="s">
        <v>557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9426299</v>
      </c>
      <c r="G217">
        <v>8562889</v>
      </c>
    </row>
    <row r="218" spans="5:16">
      <c r="E218" s="1" t="s">
        <v>188</v>
      </c>
    </row>
    <row r="219" spans="5:16">
      <c r="E219" s="1" t="s">
        <v>189</v>
      </c>
      <c r="F219">
        <v>-178720</v>
      </c>
      <c r="G219">
        <v>118044</v>
      </c>
    </row>
    <row r="220" spans="5:16">
      <c r="E220" s="1" t="s">
        <v>190</v>
      </c>
    </row>
    <row r="221" spans="5:16">
      <c r="E221" s="1" t="s">
        <v>67</v>
      </c>
      <c r="F221">
        <f>206292+791560</f>
        <v>997852</v>
      </c>
      <c r="G221">
        <f>205922+843411</f>
        <v>1049333</v>
      </c>
      <c r="P221" s="44" t="s">
        <v>549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10437679</v>
      </c>
      <c r="G227" s="7">
        <f t="shared" ref="G227:O227" si="25">IF(G4=$BF$1,"",SUM(G212:G226))</f>
        <v>10245935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5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727821</v>
      </c>
      <c r="G267">
        <v>629709</v>
      </c>
      <c r="H267">
        <v>824178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105670</v>
      </c>
      <c r="G275">
        <v>125778</v>
      </c>
      <c r="H275">
        <v>19343</v>
      </c>
    </row>
    <row r="276" spans="5:8">
      <c r="E276" s="1" t="s">
        <v>241</v>
      </c>
    </row>
    <row r="277" spans="5:8" ht="25.5" customHeight="1">
      <c r="E277" s="1" t="s">
        <v>242</v>
      </c>
      <c r="F277">
        <v>36694</v>
      </c>
      <c r="G277">
        <v>-79540</v>
      </c>
      <c r="H277">
        <v>5644</v>
      </c>
    </row>
    <row r="278" spans="5:8">
      <c r="E278" s="1" t="s">
        <v>243</v>
      </c>
      <c r="F278">
        <v>81928</v>
      </c>
      <c r="G278">
        <v>38996</v>
      </c>
      <c r="H278">
        <v>24691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-980</v>
      </c>
      <c r="G284">
        <v>51781</v>
      </c>
      <c r="H284">
        <v>50621</v>
      </c>
    </row>
    <row r="285" spans="5:8">
      <c r="E285" s="1" t="s">
        <v>248</v>
      </c>
      <c r="F285">
        <v>55776</v>
      </c>
      <c r="G285">
        <v>67798</v>
      </c>
      <c r="H285">
        <v>56581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14510</v>
      </c>
      <c r="G288">
        <v>38979</v>
      </c>
      <c r="H288">
        <v>-23665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293598</v>
      </c>
      <c r="G296" s="7">
        <f>IF(G4=$BF$1,"",G271+G272+G273+G274+G275+G276+G277+G278+G279+G280+G281+G282+G283+G284+G285+G286+G287+G288+G289+G290+G291+G292+G293+G294+G295)</f>
        <v>243792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1021419</v>
      </c>
      <c r="G297" s="7">
        <f t="shared" ref="G297:O297" si="27">IF(G4=$BF$1,"",MIN(F267,F268,F269)+F296)</f>
        <v>1021419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0</v>
      </c>
      <c r="G318" s="7">
        <f>IF(G4=$BF$1,"",G299+G300+G301+G302+G303+G304+G305+G306+G307+G308+G309+G310+G311+G312+G313+G314+G315+G316+G317)</f>
        <v>0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1021419</v>
      </c>
      <c r="G319" s="7">
        <f t="shared" ref="G319:O319" si="28">IF(G4=$BF$1,"",G297+G318)</f>
        <v>1021419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1021419</v>
      </c>
      <c r="G326" s="7">
        <f t="shared" ref="G326:O326" si="30">IF(G4=$BF$1,"",G325+G319)</f>
        <v>1021419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-29809</v>
      </c>
      <c r="G328">
        <v>-22841</v>
      </c>
      <c r="H328">
        <v>-2008023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-35857958</v>
      </c>
      <c r="G331">
        <v>-40583107</v>
      </c>
      <c r="H331">
        <v>-37711328</v>
      </c>
    </row>
    <row r="332" spans="5:15">
      <c r="E332" s="12" t="s">
        <v>291</v>
      </c>
      <c r="F332">
        <v>33967984</v>
      </c>
      <c r="G332">
        <v>38122813</v>
      </c>
      <c r="H332">
        <v>36464301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-1919783</v>
      </c>
      <c r="G337" s="7">
        <f>IF(G4=$BF$1,"",SUM(G328:G336))</f>
        <v>-2483135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-7608</v>
      </c>
      <c r="G339">
        <v>-21048</v>
      </c>
      <c r="H339">
        <v>-2418</v>
      </c>
    </row>
    <row r="340" spans="5:15">
      <c r="E340" s="1" t="s">
        <v>299</v>
      </c>
      <c r="F340">
        <v>218259</v>
      </c>
      <c r="G340">
        <v>253415</v>
      </c>
      <c r="H340">
        <v>1386741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-576401</v>
      </c>
      <c r="G343">
        <v>-197000</v>
      </c>
      <c r="H343">
        <v>-219171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-365750</v>
      </c>
      <c r="G352" s="7">
        <f>IF(G4=$BF$1,"",SUM(G339:G351))</f>
        <v>35367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-1264114</v>
      </c>
      <c r="G353" s="7">
        <f t="shared" ref="G353:O353" si="33">IF(G4=$BF$1,"",G326+G337+G352)</f>
        <v>-1426349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-19133</v>
      </c>
      <c r="G354">
        <v>18124</v>
      </c>
      <c r="H354">
        <v>-21191</v>
      </c>
    </row>
    <row r="355" spans="5:15">
      <c r="E355" s="6" t="s">
        <v>314</v>
      </c>
      <c r="F355" s="7">
        <f>F353+F354</f>
        <v>-1283247</v>
      </c>
      <c r="G355" s="7">
        <f t="shared" ref="G355:O355" si="34">IF(G4=$BF$1,"",G353+G354)</f>
        <v>-1408225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</row>
    <row r="357" spans="5:15">
      <c r="E357" s="6" t="s">
        <v>316</v>
      </c>
      <c r="F357" s="7">
        <f>F355+F356</f>
        <v>-1283247</v>
      </c>
      <c r="G357" s="7">
        <f t="shared" ref="G357:O357" si="35">IF(G4=$BF$1,"",G355+G356)</f>
        <v>-1408225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-3.1419089717674757E-2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0.22395919118715665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5.2000742052096026E-3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0.16380934977785802</v>
      </c>
      <c r="G370" s="27">
        <f t="shared" si="42"/>
        <v>0.17601279459783647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0.13906275456062561</v>
      </c>
      <c r="G371" s="28">
        <f t="shared" si="43"/>
        <v>0.11004740220795664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2.352608044942368E-2</v>
      </c>
      <c r="G372" s="27">
        <f t="shared" si="44"/>
        <v>1.9321246969501545E-2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7.2618730658415537E-2</v>
      </c>
      <c r="G373" s="27">
        <f t="shared" si="45"/>
        <v>6.0441336003009972E-2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0.67603288798745587</v>
      </c>
      <c r="G376" s="30">
        <f t="shared" si="47"/>
        <v>0.68033057759445703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2.086733075427976</v>
      </c>
      <c r="G377" s="30">
        <f t="shared" si="48"/>
        <v>2.1282316352777957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7.4105607383553007</v>
      </c>
      <c r="G378" s="30">
        <f t="shared" si="49"/>
        <v>8.4346552443562608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0.52807418010978624</v>
      </c>
      <c r="G382" s="32">
        <f t="shared" si="51"/>
        <v>0.55429590467462631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0.52807418010978624</v>
      </c>
      <c r="G383" s="32">
        <f t="shared" si="52"/>
        <v>0.55429590467462631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8.5783787314092017E-2</v>
      </c>
      <c r="G384" s="32">
        <f t="shared" si="53"/>
        <v>0.1266770199615784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5.467999361882319E-2</v>
      </c>
      <c r="G385" s="32">
        <f t="shared" si="54"/>
        <v>5.528957198742665E-2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646556</v>
      </c>
      <c r="G418" s="17">
        <f>G130-G417</f>
        <v>606199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520</v>
      </c>
      <c r="B1" s="39" t="s">
        <v>521</v>
      </c>
      <c r="C1" s="39" t="s">
        <v>522</v>
      </c>
      <c r="D1" s="39"/>
    </row>
    <row r="2" spans="1:4">
      <c r="A2" s="41" t="s">
        <v>529</v>
      </c>
      <c r="B2" s="41" t="s">
        <v>523</v>
      </c>
      <c r="C2" s="39" t="s">
        <v>524</v>
      </c>
      <c r="D2" s="39"/>
    </row>
    <row r="3" spans="1:4">
      <c r="A3" s="41" t="s">
        <v>530</v>
      </c>
      <c r="B3" s="41" t="s">
        <v>523</v>
      </c>
      <c r="C3" s="39" t="s">
        <v>524</v>
      </c>
    </row>
    <row r="4" spans="1:4">
      <c r="A4" s="41" t="s">
        <v>531</v>
      </c>
      <c r="B4" s="41" t="s">
        <v>523</v>
      </c>
      <c r="C4" s="39" t="s">
        <v>524</v>
      </c>
    </row>
    <row r="5" spans="1:4">
      <c r="A5" s="41" t="s">
        <v>532</v>
      </c>
      <c r="B5" s="41" t="s">
        <v>523</v>
      </c>
      <c r="C5" s="39" t="s">
        <v>524</v>
      </c>
    </row>
    <row r="6" spans="1:4">
      <c r="A6" s="41" t="s">
        <v>533</v>
      </c>
      <c r="B6" s="41" t="s">
        <v>523</v>
      </c>
      <c r="C6" s="39" t="s">
        <v>524</v>
      </c>
    </row>
    <row r="7" spans="1:4" ht="25.5">
      <c r="A7" s="41" t="s">
        <v>534</v>
      </c>
      <c r="B7" s="41" t="s">
        <v>523</v>
      </c>
      <c r="C7" s="39" t="s">
        <v>524</v>
      </c>
    </row>
    <row r="8" spans="1:4">
      <c r="A8" s="41" t="s">
        <v>535</v>
      </c>
      <c r="B8" s="41" t="s">
        <v>523</v>
      </c>
      <c r="C8" s="39" t="s">
        <v>524</v>
      </c>
    </row>
    <row r="9" spans="1:4" ht="25.5">
      <c r="A9" s="41" t="s">
        <v>536</v>
      </c>
      <c r="B9" s="41" t="s">
        <v>523</v>
      </c>
      <c r="C9" s="39" t="s">
        <v>524</v>
      </c>
    </row>
    <row r="10" spans="1:4">
      <c r="A10" s="41" t="s">
        <v>539</v>
      </c>
      <c r="B10" s="41" t="s">
        <v>538</v>
      </c>
      <c r="C10" s="39" t="s">
        <v>524</v>
      </c>
    </row>
    <row r="11" spans="1:4">
      <c r="A11" s="41" t="s">
        <v>540</v>
      </c>
      <c r="B11" s="41" t="s">
        <v>538</v>
      </c>
      <c r="C11" s="39" t="s">
        <v>524</v>
      </c>
    </row>
    <row r="12" spans="1:4">
      <c r="A12" s="41" t="s">
        <v>538</v>
      </c>
      <c r="B12" s="41" t="s">
        <v>538</v>
      </c>
      <c r="C12" s="39" t="s">
        <v>524</v>
      </c>
    </row>
    <row r="13" spans="1:4">
      <c r="A13" s="42" t="s">
        <v>541</v>
      </c>
      <c r="B13" s="41" t="s">
        <v>538</v>
      </c>
      <c r="C13" s="39" t="s">
        <v>524</v>
      </c>
    </row>
    <row r="14" spans="1:4">
      <c r="A14" s="41" t="s">
        <v>544</v>
      </c>
      <c r="B14" s="41" t="s">
        <v>543</v>
      </c>
      <c r="C14" s="39" t="s">
        <v>524</v>
      </c>
    </row>
    <row r="15" spans="1:4">
      <c r="A15" s="41" t="s">
        <v>547</v>
      </c>
      <c r="B15" s="41" t="s">
        <v>525</v>
      </c>
      <c r="C15" s="39" t="s">
        <v>524</v>
      </c>
    </row>
    <row r="16" spans="1:4">
      <c r="A16" s="41" t="s">
        <v>548</v>
      </c>
      <c r="B16" s="41" t="s">
        <v>546</v>
      </c>
      <c r="C16" s="39" t="s">
        <v>524</v>
      </c>
    </row>
    <row r="17" spans="1:3" ht="25.5">
      <c r="A17" s="41" t="s">
        <v>551</v>
      </c>
      <c r="B17" s="41" t="s">
        <v>550</v>
      </c>
      <c r="C17" s="39" t="s">
        <v>524</v>
      </c>
    </row>
    <row r="18" spans="1:3">
      <c r="A18" t="s">
        <v>553</v>
      </c>
      <c r="B18" s="41" t="s">
        <v>552</v>
      </c>
      <c r="C18" s="39" t="s">
        <v>524</v>
      </c>
    </row>
    <row r="19" spans="1:3">
      <c r="A19" t="s">
        <v>554</v>
      </c>
      <c r="B19" s="43" t="s">
        <v>552</v>
      </c>
      <c r="C19" s="39" t="s">
        <v>524</v>
      </c>
    </row>
    <row r="20" spans="1:3">
      <c r="A20" t="s">
        <v>556</v>
      </c>
      <c r="B20" s="43" t="s">
        <v>527</v>
      </c>
      <c r="C20" s="39" t="s">
        <v>524</v>
      </c>
    </row>
    <row r="21" spans="1:3">
      <c r="A21" t="s">
        <v>382</v>
      </c>
      <c r="B21" s="43" t="s">
        <v>527</v>
      </c>
      <c r="C21" s="39" t="s">
        <v>524</v>
      </c>
    </row>
    <row r="22" spans="1:3">
      <c r="A22" t="s">
        <v>388</v>
      </c>
      <c r="B22" s="43" t="s">
        <v>526</v>
      </c>
      <c r="C22" s="39" t="s">
        <v>524</v>
      </c>
    </row>
    <row r="23" spans="1:3">
      <c r="A23" t="s">
        <v>558</v>
      </c>
      <c r="B23" s="43" t="s">
        <v>526</v>
      </c>
      <c r="C23" s="39" t="s">
        <v>524</v>
      </c>
    </row>
    <row r="24" spans="1:3">
      <c r="A24" s="43" t="s">
        <v>560</v>
      </c>
      <c r="B24" s="43" t="s">
        <v>559</v>
      </c>
      <c r="C24" s="39" t="s">
        <v>524</v>
      </c>
    </row>
    <row r="25" spans="1:3">
      <c r="A25" t="s">
        <v>391</v>
      </c>
      <c r="B25" s="43" t="s">
        <v>559</v>
      </c>
      <c r="C25" s="39" t="s">
        <v>524</v>
      </c>
    </row>
    <row r="26" spans="1:3">
      <c r="A26" t="s">
        <v>392</v>
      </c>
      <c r="B26" s="43" t="s">
        <v>559</v>
      </c>
      <c r="C26" s="39" t="s">
        <v>524</v>
      </c>
    </row>
    <row r="27" spans="1:3">
      <c r="A27" t="s">
        <v>393</v>
      </c>
      <c r="B27" s="43" t="s">
        <v>563</v>
      </c>
      <c r="C27" s="39" t="s">
        <v>524</v>
      </c>
    </row>
    <row r="28" spans="1:3">
      <c r="A28" t="s">
        <v>394</v>
      </c>
      <c r="B28" s="43" t="s">
        <v>559</v>
      </c>
      <c r="C28" s="39" t="s">
        <v>524</v>
      </c>
    </row>
    <row r="29" spans="1:3">
      <c r="A29" t="s">
        <v>395</v>
      </c>
      <c r="B29" s="43" t="s">
        <v>559</v>
      </c>
      <c r="C29" s="39" t="s">
        <v>524</v>
      </c>
    </row>
    <row r="30" spans="1:3">
      <c r="A30" s="43" t="s">
        <v>561</v>
      </c>
      <c r="B30" s="43" t="s">
        <v>164</v>
      </c>
      <c r="C30" s="39" t="s">
        <v>524</v>
      </c>
    </row>
    <row r="31" spans="1:3">
      <c r="A31" s="43" t="s">
        <v>562</v>
      </c>
      <c r="B31" s="43" t="s">
        <v>164</v>
      </c>
      <c r="C31" s="39" t="s">
        <v>524</v>
      </c>
    </row>
    <row r="32" spans="1:3">
      <c r="A32" s="43" t="s">
        <v>564</v>
      </c>
      <c r="B32" s="43" t="s">
        <v>161</v>
      </c>
      <c r="C32" s="39" t="s">
        <v>524</v>
      </c>
    </row>
    <row r="33" spans="1:3">
      <c r="A33" s="42" t="s">
        <v>565</v>
      </c>
      <c r="B33" s="43" t="s">
        <v>161</v>
      </c>
      <c r="C33" s="39" t="s">
        <v>524</v>
      </c>
    </row>
    <row r="34" spans="1:3">
      <c r="A34" s="42" t="s">
        <v>566</v>
      </c>
      <c r="B34" s="43" t="s">
        <v>163</v>
      </c>
      <c r="C34" s="39" t="s">
        <v>524</v>
      </c>
    </row>
    <row r="35" spans="1:3">
      <c r="A35" s="43" t="s">
        <v>568</v>
      </c>
      <c r="B35" s="43" t="s">
        <v>567</v>
      </c>
      <c r="C35" s="39" t="s">
        <v>524</v>
      </c>
    </row>
    <row r="36" spans="1:3">
      <c r="A36" s="43" t="s">
        <v>569</v>
      </c>
      <c r="B36" s="43" t="s">
        <v>161</v>
      </c>
      <c r="C36" s="39" t="s">
        <v>524</v>
      </c>
    </row>
    <row r="37" spans="1:3">
      <c r="A37" s="43" t="s">
        <v>570</v>
      </c>
      <c r="B37" s="43" t="s">
        <v>161</v>
      </c>
      <c r="C37" s="39" t="s">
        <v>524</v>
      </c>
    </row>
    <row r="38" spans="1:3">
      <c r="A38" t="s">
        <v>417</v>
      </c>
      <c r="B38" s="43" t="s">
        <v>571</v>
      </c>
      <c r="C38" s="39" t="s">
        <v>524</v>
      </c>
    </row>
    <row r="39" spans="1:3">
      <c r="A39" t="s">
        <v>418</v>
      </c>
      <c r="B39" s="43" t="s">
        <v>571</v>
      </c>
      <c r="C39" s="39" t="s">
        <v>524</v>
      </c>
    </row>
    <row r="40" spans="1:3">
      <c r="A40" t="s">
        <v>421</v>
      </c>
      <c r="B40" s="43" t="s">
        <v>571</v>
      </c>
      <c r="C40" s="39" t="s">
        <v>524</v>
      </c>
    </row>
    <row r="41" spans="1:3">
      <c r="A41" t="s">
        <v>415</v>
      </c>
      <c r="B41" s="43" t="s">
        <v>572</v>
      </c>
      <c r="C41" s="39" t="s">
        <v>524</v>
      </c>
    </row>
    <row r="42" spans="1:3">
      <c r="A42" t="s">
        <v>416</v>
      </c>
      <c r="B42" s="43" t="s">
        <v>572</v>
      </c>
      <c r="C42" s="39" t="s">
        <v>524</v>
      </c>
    </row>
    <row r="43" spans="1:3">
      <c r="A43" t="s">
        <v>423</v>
      </c>
      <c r="B43" s="43" t="s">
        <v>550</v>
      </c>
      <c r="C43" s="39" t="s">
        <v>524</v>
      </c>
    </row>
    <row r="44" spans="1:3">
      <c r="A44" s="43" t="s">
        <v>573</v>
      </c>
      <c r="B44" s="43" t="s">
        <v>550</v>
      </c>
      <c r="C44" s="39" t="s">
        <v>524</v>
      </c>
    </row>
    <row r="45" spans="1:3">
      <c r="A45" s="43"/>
      <c r="B45" s="43"/>
    </row>
    <row r="46" spans="1:3">
      <c r="A46" s="43"/>
      <c r="B46" s="43"/>
    </row>
    <row r="47" spans="1:3">
      <c r="A47" s="43"/>
      <c r="B47" s="43"/>
    </row>
    <row r="48" spans="1:3">
      <c r="A48" s="43"/>
      <c r="B48" s="43"/>
    </row>
    <row r="49" spans="1:2">
      <c r="A49" s="43"/>
      <c r="B49" s="43"/>
    </row>
    <row r="50" spans="1:2">
      <c r="A50" s="43"/>
      <c r="B50" s="43"/>
    </row>
    <row r="51" spans="1:2">
      <c r="A51" s="43"/>
      <c r="B51" s="43"/>
    </row>
    <row r="52" spans="1:2">
      <c r="A52" s="43"/>
      <c r="B52" s="43"/>
    </row>
    <row r="53" spans="1:2">
      <c r="A53" s="43"/>
      <c r="B53" s="43"/>
    </row>
    <row r="54" spans="1:2">
      <c r="A54" s="43"/>
      <c r="B54" s="43"/>
    </row>
    <row r="55" spans="1:2">
      <c r="A55" s="43"/>
      <c r="B55" s="43"/>
    </row>
    <row r="56" spans="1:2">
      <c r="A56" s="43"/>
      <c r="B56" s="43"/>
    </row>
    <row r="57" spans="1:2">
      <c r="A57" s="43"/>
      <c r="B57" s="43"/>
    </row>
    <row r="58" spans="1:2">
      <c r="A58" s="43"/>
      <c r="B58" s="43"/>
    </row>
    <row r="59" spans="1:2">
      <c r="A59" s="43"/>
      <c r="B59" s="43"/>
    </row>
    <row r="60" spans="1:2">
      <c r="A60" s="43"/>
      <c r="B60" s="43"/>
    </row>
    <row r="61" spans="1:2">
      <c r="A61" s="43"/>
      <c r="B61" s="43"/>
    </row>
    <row r="62" spans="1:2">
      <c r="A62" s="43"/>
      <c r="B62" s="43"/>
    </row>
    <row r="63" spans="1:2">
      <c r="A63" s="43"/>
      <c r="B63" s="43"/>
    </row>
    <row r="64" spans="1:2">
      <c r="A64" s="43"/>
      <c r="B64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4" workbookViewId="0">
      <selection activeCell="A51" sqref="A51"/>
    </sheetView>
  </sheetViews>
  <sheetFormatPr defaultRowHeight="12.75"/>
  <cols>
    <col min="1" max="4" width="24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5" spans="1:6">
      <c r="E5">
        <v>2018</v>
      </c>
      <c r="F5">
        <v>2017</v>
      </c>
    </row>
    <row r="6" spans="1:6">
      <c r="A6" t="s">
        <v>377</v>
      </c>
    </row>
    <row r="7" spans="1:6">
      <c r="A7" t="s">
        <v>378</v>
      </c>
      <c r="B7" t="s">
        <v>103</v>
      </c>
      <c r="C7" t="s">
        <v>103</v>
      </c>
      <c r="D7" t="s">
        <v>80</v>
      </c>
    </row>
    <row r="8" spans="1:6">
      <c r="A8" t="s">
        <v>379</v>
      </c>
      <c r="B8" t="s">
        <v>102</v>
      </c>
      <c r="C8" t="s">
        <v>102</v>
      </c>
      <c r="D8" t="s">
        <v>80</v>
      </c>
      <c r="E8">
        <v>14699010</v>
      </c>
      <c r="F8">
        <v>13876003</v>
      </c>
    </row>
    <row r="9" spans="1:6">
      <c r="A9" t="s">
        <v>380</v>
      </c>
      <c r="D9" t="s">
        <v>80</v>
      </c>
      <c r="E9">
        <v>955880</v>
      </c>
      <c r="F9">
        <v>1469042</v>
      </c>
    </row>
    <row r="10" spans="1:6">
      <c r="A10" t="s">
        <v>381</v>
      </c>
      <c r="D10" t="s">
        <v>80</v>
      </c>
      <c r="E10">
        <v>274133</v>
      </c>
      <c r="F10">
        <v>476615</v>
      </c>
    </row>
    <row r="11" spans="1:6">
      <c r="A11" t="s">
        <v>382</v>
      </c>
      <c r="D11" t="s">
        <v>80</v>
      </c>
      <c r="E11">
        <v>338899</v>
      </c>
      <c r="F11">
        <v>495804</v>
      </c>
    </row>
    <row r="12" spans="1:6">
      <c r="A12" t="s">
        <v>383</v>
      </c>
      <c r="B12" t="s">
        <v>118</v>
      </c>
      <c r="C12" t="s">
        <v>118</v>
      </c>
      <c r="D12" t="s">
        <v>116</v>
      </c>
      <c r="F12">
        <v>264989</v>
      </c>
    </row>
    <row r="13" spans="1:6">
      <c r="A13" t="s">
        <v>384</v>
      </c>
      <c r="B13" t="s">
        <v>104</v>
      </c>
      <c r="C13" t="s">
        <v>104</v>
      </c>
      <c r="D13" t="s">
        <v>80</v>
      </c>
      <c r="E13">
        <v>3983571</v>
      </c>
      <c r="F13">
        <v>4216237</v>
      </c>
    </row>
    <row r="14" spans="1:6">
      <c r="A14" t="s">
        <v>385</v>
      </c>
      <c r="B14" t="s">
        <v>104</v>
      </c>
      <c r="C14" t="s">
        <v>104</v>
      </c>
      <c r="D14" t="s">
        <v>80</v>
      </c>
      <c r="E14">
        <v>1493791</v>
      </c>
      <c r="F14">
        <v>1041322</v>
      </c>
    </row>
    <row r="15" spans="1:6">
      <c r="A15" t="s">
        <v>386</v>
      </c>
      <c r="B15" t="s">
        <v>103</v>
      </c>
      <c r="C15" t="s">
        <v>103</v>
      </c>
      <c r="D15" t="s">
        <v>80</v>
      </c>
      <c r="E15">
        <v>21745284</v>
      </c>
      <c r="F15">
        <v>21840012</v>
      </c>
    </row>
    <row r="16" spans="1:6">
      <c r="A16" t="s">
        <v>387</v>
      </c>
      <c r="B16" t="s">
        <v>117</v>
      </c>
      <c r="C16" t="s">
        <v>117</v>
      </c>
      <c r="D16" t="s">
        <v>116</v>
      </c>
      <c r="E16">
        <v>646556</v>
      </c>
      <c r="F16">
        <v>606199</v>
      </c>
    </row>
    <row r="17" spans="1:6">
      <c r="A17" t="s">
        <v>388</v>
      </c>
      <c r="D17" t="s">
        <v>80</v>
      </c>
      <c r="E17">
        <v>114641</v>
      </c>
      <c r="F17">
        <v>113133</v>
      </c>
    </row>
    <row r="18" spans="1:6">
      <c r="A18" t="s">
        <v>389</v>
      </c>
      <c r="D18" t="s">
        <v>80</v>
      </c>
      <c r="E18">
        <v>268395</v>
      </c>
      <c r="F18">
        <v>464917</v>
      </c>
    </row>
    <row r="19" spans="1:6">
      <c r="A19" t="s">
        <v>390</v>
      </c>
      <c r="B19" t="s">
        <v>352</v>
      </c>
      <c r="C19" t="s">
        <v>137</v>
      </c>
      <c r="D19" t="s">
        <v>116</v>
      </c>
      <c r="E19">
        <v>1299150</v>
      </c>
      <c r="F19">
        <v>1135249</v>
      </c>
    </row>
    <row r="20" spans="1:6">
      <c r="A20" t="s">
        <v>391</v>
      </c>
      <c r="D20" t="s">
        <v>116</v>
      </c>
      <c r="E20">
        <v>2919372</v>
      </c>
      <c r="F20">
        <v>2540143</v>
      </c>
    </row>
    <row r="21" spans="1:6">
      <c r="A21" t="s">
        <v>392</v>
      </c>
      <c r="B21" t="s">
        <v>352</v>
      </c>
      <c r="C21" t="s">
        <v>137</v>
      </c>
      <c r="D21" t="s">
        <v>116</v>
      </c>
      <c r="E21">
        <v>2079111</v>
      </c>
      <c r="F21">
        <v>1978414</v>
      </c>
    </row>
    <row r="22" spans="1:6">
      <c r="A22" t="s">
        <v>393</v>
      </c>
      <c r="B22" t="s">
        <v>139</v>
      </c>
      <c r="C22" t="s">
        <v>139</v>
      </c>
      <c r="D22" t="s">
        <v>116</v>
      </c>
      <c r="E22">
        <v>975469</v>
      </c>
      <c r="F22">
        <v>926611</v>
      </c>
    </row>
    <row r="23" spans="1:6">
      <c r="A23" t="s">
        <v>394</v>
      </c>
      <c r="D23" t="s">
        <v>116</v>
      </c>
      <c r="E23">
        <v>569574</v>
      </c>
      <c r="F23">
        <v>535824</v>
      </c>
    </row>
    <row r="24" spans="1:6">
      <c r="A24" t="s">
        <v>395</v>
      </c>
      <c r="D24" t="s">
        <v>116</v>
      </c>
      <c r="E24">
        <v>36246</v>
      </c>
      <c r="F24">
        <v>205536</v>
      </c>
    </row>
    <row r="25" spans="1:6">
      <c r="A25" t="s">
        <v>396</v>
      </c>
      <c r="B25" t="s">
        <v>397</v>
      </c>
      <c r="C25" t="s">
        <v>92</v>
      </c>
      <c r="D25" t="s">
        <v>80</v>
      </c>
      <c r="E25">
        <v>634920</v>
      </c>
      <c r="F25">
        <v>652611</v>
      </c>
    </row>
    <row r="26" spans="1:6">
      <c r="A26" t="s">
        <v>398</v>
      </c>
      <c r="B26" t="s">
        <v>113</v>
      </c>
      <c r="C26" t="s">
        <v>113</v>
      </c>
      <c r="D26" t="s">
        <v>80</v>
      </c>
      <c r="E26">
        <v>929611</v>
      </c>
      <c r="F26">
        <v>1053009</v>
      </c>
    </row>
    <row r="27" spans="1:6">
      <c r="A27" t="s">
        <v>399</v>
      </c>
      <c r="D27" t="s">
        <v>116</v>
      </c>
      <c r="E27">
        <v>32218329</v>
      </c>
      <c r="F27">
        <v>32051658</v>
      </c>
    </row>
    <row r="28" spans="1:6">
      <c r="A28" t="s">
        <v>400</v>
      </c>
      <c r="B28" t="s">
        <v>145</v>
      </c>
      <c r="C28" t="s">
        <v>145</v>
      </c>
      <c r="D28" t="s">
        <v>116</v>
      </c>
    </row>
    <row r="29" spans="1:6">
      <c r="A29" t="s">
        <v>401</v>
      </c>
      <c r="B29" t="s">
        <v>164</v>
      </c>
      <c r="C29" t="s">
        <v>164</v>
      </c>
      <c r="D29" t="s">
        <v>141</v>
      </c>
      <c r="E29">
        <v>11853297</v>
      </c>
      <c r="F29">
        <v>11383792</v>
      </c>
    </row>
    <row r="30" spans="1:6">
      <c r="A30" t="s">
        <v>402</v>
      </c>
      <c r="B30" t="s">
        <v>139</v>
      </c>
      <c r="C30" t="s">
        <v>139</v>
      </c>
      <c r="D30" t="s">
        <v>116</v>
      </c>
      <c r="E30">
        <v>3753636</v>
      </c>
      <c r="F30">
        <v>3622314</v>
      </c>
    </row>
    <row r="31" spans="1:6">
      <c r="A31" t="s">
        <v>403</v>
      </c>
      <c r="D31" t="s">
        <v>116</v>
      </c>
      <c r="E31">
        <v>393107</v>
      </c>
      <c r="F31">
        <v>323496</v>
      </c>
    </row>
    <row r="32" spans="1:6">
      <c r="A32" t="s">
        <v>404</v>
      </c>
      <c r="B32" t="s">
        <v>352</v>
      </c>
      <c r="C32" t="s">
        <v>137</v>
      </c>
      <c r="D32" t="s">
        <v>116</v>
      </c>
      <c r="E32">
        <v>2079111</v>
      </c>
      <c r="F32">
        <v>1978414</v>
      </c>
    </row>
    <row r="33" spans="1:6">
      <c r="A33" t="s">
        <v>405</v>
      </c>
      <c r="D33" t="s">
        <v>116</v>
      </c>
      <c r="E33">
        <v>236630</v>
      </c>
      <c r="F33">
        <v>240183</v>
      </c>
    </row>
    <row r="34" spans="1:6">
      <c r="A34" t="s">
        <v>406</v>
      </c>
      <c r="B34" t="s">
        <v>169</v>
      </c>
      <c r="C34" t="s">
        <v>168</v>
      </c>
      <c r="D34" t="s">
        <v>165</v>
      </c>
      <c r="E34">
        <v>1733528</v>
      </c>
      <c r="F34">
        <v>1732884</v>
      </c>
    </row>
    <row r="35" spans="1:6">
      <c r="A35" t="s">
        <v>407</v>
      </c>
      <c r="D35" t="s">
        <v>116</v>
      </c>
      <c r="E35">
        <v>455682</v>
      </c>
      <c r="F35">
        <v>816132</v>
      </c>
    </row>
    <row r="36" spans="1:6">
      <c r="A36" t="s">
        <v>408</v>
      </c>
      <c r="D36" t="s">
        <v>116</v>
      </c>
      <c r="E36">
        <v>274125</v>
      </c>
      <c r="F36">
        <v>476605</v>
      </c>
    </row>
    <row r="37" spans="1:6">
      <c r="A37" t="s">
        <v>409</v>
      </c>
      <c r="D37" t="s">
        <v>116</v>
      </c>
      <c r="E37">
        <v>90034</v>
      </c>
      <c r="F37">
        <v>449186</v>
      </c>
    </row>
    <row r="38" spans="1:6">
      <c r="A38" t="s">
        <v>410</v>
      </c>
      <c r="B38" t="s">
        <v>164</v>
      </c>
      <c r="C38" t="s">
        <v>164</v>
      </c>
      <c r="D38" t="s">
        <v>141</v>
      </c>
      <c r="E38">
        <v>911500</v>
      </c>
      <c r="F38">
        <v>782717</v>
      </c>
    </row>
    <row r="39" spans="1:6">
      <c r="A39" t="s">
        <v>411</v>
      </c>
      <c r="B39" t="s">
        <v>164</v>
      </c>
      <c r="C39" t="s">
        <v>164</v>
      </c>
      <c r="D39" t="s">
        <v>116</v>
      </c>
      <c r="E39">
        <v>21780650</v>
      </c>
      <c r="F39">
        <v>21805723</v>
      </c>
    </row>
    <row r="40" spans="1:6">
      <c r="A40" t="s">
        <v>412</v>
      </c>
      <c r="B40" t="s">
        <v>180</v>
      </c>
      <c r="C40" t="s">
        <v>180</v>
      </c>
      <c r="D40" t="s">
        <v>165</v>
      </c>
    </row>
    <row r="41" spans="1:6">
      <c r="A41" t="s">
        <v>413</v>
      </c>
      <c r="B41" t="s">
        <v>67</v>
      </c>
      <c r="C41" t="s">
        <v>67</v>
      </c>
      <c r="D41" t="s">
        <v>181</v>
      </c>
      <c r="E41">
        <v>206292</v>
      </c>
      <c r="F41">
        <v>205922</v>
      </c>
    </row>
    <row r="42" spans="1:6">
      <c r="A42" t="s">
        <v>414</v>
      </c>
      <c r="B42" t="s">
        <v>181</v>
      </c>
      <c r="C42" t="s">
        <v>181</v>
      </c>
      <c r="D42" t="s">
        <v>181</v>
      </c>
    </row>
    <row r="43" spans="1:6">
      <c r="A43" t="s">
        <v>415</v>
      </c>
      <c r="D43" t="s">
        <v>181</v>
      </c>
      <c r="E43">
        <v>780000</v>
      </c>
      <c r="F43">
        <v>872555</v>
      </c>
    </row>
    <row r="44" spans="1:6">
      <c r="A44" t="s">
        <v>416</v>
      </c>
      <c r="D44" t="s">
        <v>181</v>
      </c>
      <c r="F44">
        <v>489627</v>
      </c>
    </row>
    <row r="45" spans="1:6">
      <c r="A45" t="s">
        <v>417</v>
      </c>
      <c r="D45" t="s">
        <v>181</v>
      </c>
      <c r="E45">
        <v>634</v>
      </c>
      <c r="F45">
        <v>611</v>
      </c>
    </row>
    <row r="46" spans="1:6">
      <c r="A46" t="s">
        <v>418</v>
      </c>
      <c r="B46" t="s">
        <v>182</v>
      </c>
      <c r="C46" t="s">
        <v>182</v>
      </c>
      <c r="D46" t="s">
        <v>181</v>
      </c>
      <c r="E46">
        <v>1793781</v>
      </c>
      <c r="F46">
        <v>1230617</v>
      </c>
    </row>
    <row r="47" spans="1:6">
      <c r="A47" t="s">
        <v>419</v>
      </c>
      <c r="B47" t="s">
        <v>187</v>
      </c>
      <c r="C47" t="s">
        <v>187</v>
      </c>
      <c r="D47" t="s">
        <v>181</v>
      </c>
      <c r="E47">
        <v>9426299</v>
      </c>
      <c r="F47">
        <v>8562889</v>
      </c>
    </row>
    <row r="48" spans="1:6">
      <c r="A48" t="s">
        <v>420</v>
      </c>
      <c r="B48" t="s">
        <v>189</v>
      </c>
      <c r="C48" t="s">
        <v>189</v>
      </c>
      <c r="D48" t="s">
        <v>181</v>
      </c>
      <c r="E48">
        <v>-178720</v>
      </c>
      <c r="F48">
        <v>118044</v>
      </c>
    </row>
    <row r="49" spans="1:6">
      <c r="A49" t="s">
        <v>421</v>
      </c>
      <c r="B49" t="s">
        <v>182</v>
      </c>
      <c r="C49" t="s">
        <v>182</v>
      </c>
      <c r="D49" t="s">
        <v>181</v>
      </c>
      <c r="E49">
        <v>-2382167</v>
      </c>
      <c r="F49">
        <v>-2077741</v>
      </c>
    </row>
    <row r="50" spans="1:6">
      <c r="A50" t="s">
        <v>422</v>
      </c>
      <c r="B50" t="s">
        <v>195</v>
      </c>
      <c r="C50" t="s">
        <v>195</v>
      </c>
      <c r="D50" t="s">
        <v>181</v>
      </c>
      <c r="E50">
        <v>9439827</v>
      </c>
      <c r="F50">
        <v>9196602</v>
      </c>
    </row>
    <row r="51" spans="1:6">
      <c r="A51" t="s">
        <v>423</v>
      </c>
      <c r="B51" t="s">
        <v>67</v>
      </c>
      <c r="C51" t="s">
        <v>67</v>
      </c>
      <c r="D51" t="s">
        <v>181</v>
      </c>
      <c r="E51">
        <v>791560</v>
      </c>
      <c r="F51">
        <v>843411</v>
      </c>
    </row>
    <row r="52" spans="1:6">
      <c r="A52" t="s">
        <v>424</v>
      </c>
      <c r="B52" t="s">
        <v>195</v>
      </c>
      <c r="C52" t="s">
        <v>195</v>
      </c>
      <c r="D52" t="s">
        <v>181</v>
      </c>
      <c r="E52">
        <v>10231387</v>
      </c>
      <c r="F52">
        <v>10040013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8"/>
  <sheetViews>
    <sheetView workbookViewId="0">
      <selection activeCell="A17" sqref="A17"/>
    </sheetView>
  </sheetViews>
  <sheetFormatPr defaultRowHeight="12.75"/>
  <cols>
    <col min="1" max="4" width="24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425</v>
      </c>
      <c r="B3" t="s">
        <v>426</v>
      </c>
      <c r="C3" t="s">
        <v>26</v>
      </c>
      <c r="D3" t="s">
        <v>426</v>
      </c>
    </row>
    <row r="4" spans="1:7">
      <c r="A4" t="s">
        <v>427</v>
      </c>
      <c r="D4" t="s">
        <v>426</v>
      </c>
      <c r="E4">
        <v>5346747</v>
      </c>
      <c r="F4">
        <v>4961373</v>
      </c>
      <c r="G4">
        <v>4031391</v>
      </c>
    </row>
    <row r="5" spans="1:7">
      <c r="A5" t="s">
        <v>428</v>
      </c>
      <c r="D5" t="s">
        <v>426</v>
      </c>
      <c r="E5">
        <v>-114772</v>
      </c>
      <c r="F5">
        <v>-116841</v>
      </c>
      <c r="G5">
        <v>-146569</v>
      </c>
    </row>
    <row r="6" spans="1:7">
      <c r="A6" t="s">
        <v>429</v>
      </c>
      <c r="D6" t="s">
        <v>426</v>
      </c>
      <c r="E6">
        <v>5231975</v>
      </c>
      <c r="F6">
        <v>4844532</v>
      </c>
      <c r="G6">
        <v>3884822</v>
      </c>
    </row>
    <row r="7" spans="1:7">
      <c r="A7" t="s">
        <v>430</v>
      </c>
      <c r="B7" t="s">
        <v>54</v>
      </c>
      <c r="C7" t="s">
        <v>54</v>
      </c>
      <c r="D7" t="s">
        <v>426</v>
      </c>
      <c r="E7">
        <v>563633</v>
      </c>
      <c r="F7">
        <v>470872</v>
      </c>
      <c r="G7">
        <v>366742</v>
      </c>
    </row>
    <row r="8" spans="1:7">
      <c r="A8" t="s">
        <v>431</v>
      </c>
      <c r="B8" t="s">
        <v>48</v>
      </c>
      <c r="C8" t="s">
        <v>48</v>
      </c>
      <c r="D8" t="s">
        <v>426</v>
      </c>
      <c r="E8">
        <v>-405344</v>
      </c>
      <c r="F8">
        <v>149141</v>
      </c>
      <c r="G8">
        <v>137586</v>
      </c>
    </row>
    <row r="9" spans="1:7">
      <c r="A9" t="s">
        <v>432</v>
      </c>
      <c r="D9" t="s">
        <v>426</v>
      </c>
      <c r="E9">
        <v>-2829</v>
      </c>
      <c r="F9">
        <v>-7138</v>
      </c>
      <c r="G9">
        <v>-30794</v>
      </c>
    </row>
    <row r="10" spans="1:7">
      <c r="A10" t="s">
        <v>433</v>
      </c>
      <c r="D10" t="s">
        <v>426</v>
      </c>
      <c r="G10">
        <v>352</v>
      </c>
    </row>
    <row r="11" spans="1:7">
      <c r="A11" t="s">
        <v>434</v>
      </c>
      <c r="D11" t="s">
        <v>426</v>
      </c>
      <c r="E11">
        <v>-2829</v>
      </c>
      <c r="F11">
        <v>-7138</v>
      </c>
      <c r="G11">
        <v>-30442</v>
      </c>
    </row>
    <row r="12" spans="1:7">
      <c r="A12" t="s">
        <v>435</v>
      </c>
      <c r="D12" t="s">
        <v>426</v>
      </c>
      <c r="E12">
        <v>15073</v>
      </c>
      <c r="F12">
        <v>30253</v>
      </c>
      <c r="G12">
        <v>57173</v>
      </c>
    </row>
    <row r="13" spans="1:7">
      <c r="A13" t="s">
        <v>436</v>
      </c>
      <c r="B13" t="s">
        <v>44</v>
      </c>
      <c r="C13" t="s">
        <v>44</v>
      </c>
      <c r="D13" t="s">
        <v>426</v>
      </c>
      <c r="E13">
        <v>45641</v>
      </c>
      <c r="F13">
        <v>142286</v>
      </c>
      <c r="G13">
        <v>48475</v>
      </c>
    </row>
    <row r="14" spans="1:7">
      <c r="A14" t="s">
        <v>437</v>
      </c>
      <c r="B14" t="s">
        <v>426</v>
      </c>
      <c r="C14" t="s">
        <v>26</v>
      </c>
      <c r="D14" t="s">
        <v>426</v>
      </c>
      <c r="E14">
        <v>2419</v>
      </c>
      <c r="F14">
        <v>-2571</v>
      </c>
      <c r="G14">
        <v>-800</v>
      </c>
    </row>
    <row r="15" spans="1:7">
      <c r="A15" t="s">
        <v>438</v>
      </c>
      <c r="B15" t="s">
        <v>45</v>
      </c>
      <c r="C15" t="s">
        <v>45</v>
      </c>
      <c r="D15" t="s">
        <v>426</v>
      </c>
      <c r="E15">
        <v>-5450568</v>
      </c>
      <c r="F15">
        <v>-5627375</v>
      </c>
      <c r="G15">
        <v>4463556</v>
      </c>
    </row>
    <row r="16" spans="1:7">
      <c r="A16" t="s">
        <v>439</v>
      </c>
      <c r="B16" t="s">
        <v>41</v>
      </c>
      <c r="C16" t="s">
        <v>41</v>
      </c>
      <c r="D16" t="s">
        <v>426</v>
      </c>
    </row>
    <row r="17" spans="1:7">
      <c r="A17" t="s">
        <v>440</v>
      </c>
      <c r="D17" t="s">
        <v>426</v>
      </c>
      <c r="E17">
        <v>2890106</v>
      </c>
      <c r="F17">
        <v>2967446</v>
      </c>
      <c r="G17">
        <v>2185599</v>
      </c>
    </row>
    <row r="18" spans="1:7">
      <c r="A18" t="s">
        <v>441</v>
      </c>
      <c r="B18" t="s">
        <v>27</v>
      </c>
      <c r="C18" t="s">
        <v>27</v>
      </c>
      <c r="D18" t="s">
        <v>426</v>
      </c>
      <c r="E18">
        <v>-805135</v>
      </c>
      <c r="F18">
        <v>-775458</v>
      </c>
      <c r="G18">
        <v>667625</v>
      </c>
    </row>
    <row r="19" spans="1:7">
      <c r="A19" t="s">
        <v>442</v>
      </c>
      <c r="B19" t="s">
        <v>38</v>
      </c>
      <c r="C19" t="s">
        <v>38</v>
      </c>
      <c r="D19" t="s">
        <v>426</v>
      </c>
      <c r="E19">
        <v>677809</v>
      </c>
      <c r="F19">
        <v>684451</v>
      </c>
      <c r="G19">
        <v>624090</v>
      </c>
    </row>
    <row r="20" spans="1:7">
      <c r="A20" t="s">
        <v>443</v>
      </c>
      <c r="D20" t="s">
        <v>426</v>
      </c>
      <c r="E20">
        <v>78994</v>
      </c>
      <c r="F20">
        <v>83752</v>
      </c>
      <c r="G20">
        <v>81746</v>
      </c>
    </row>
    <row r="21" spans="1:7">
      <c r="A21" t="s">
        <v>444</v>
      </c>
      <c r="B21" t="s">
        <v>445</v>
      </c>
      <c r="C21" t="s">
        <v>43</v>
      </c>
      <c r="D21" t="s">
        <v>426</v>
      </c>
      <c r="E21">
        <v>105670</v>
      </c>
      <c r="F21">
        <v>125778</v>
      </c>
      <c r="G21">
        <v>19343</v>
      </c>
    </row>
    <row r="22" spans="1:7">
      <c r="A22" t="s">
        <v>446</v>
      </c>
      <c r="B22" t="s">
        <v>51</v>
      </c>
      <c r="C22" t="s">
        <v>51</v>
      </c>
      <c r="D22" t="s">
        <v>426</v>
      </c>
      <c r="E22">
        <v>120484</v>
      </c>
      <c r="F22">
        <v>117431</v>
      </c>
      <c r="G22">
        <v>66252</v>
      </c>
    </row>
    <row r="23" spans="1:7">
      <c r="A23" t="s">
        <v>447</v>
      </c>
      <c r="B23" t="s">
        <v>59</v>
      </c>
      <c r="C23" t="s">
        <v>59</v>
      </c>
      <c r="D23" t="s">
        <v>426</v>
      </c>
      <c r="E23">
        <v>-69402</v>
      </c>
      <c r="F23">
        <v>115782</v>
      </c>
      <c r="G23">
        <v>-36651</v>
      </c>
    </row>
    <row r="24" spans="1:7">
      <c r="A24" t="s">
        <v>448</v>
      </c>
      <c r="B24" t="s">
        <v>45</v>
      </c>
      <c r="C24" t="s">
        <v>45</v>
      </c>
      <c r="D24" t="s">
        <v>426</v>
      </c>
      <c r="E24">
        <v>4608796</v>
      </c>
      <c r="F24">
        <v>4870098</v>
      </c>
      <c r="G24">
        <v>3608004</v>
      </c>
    </row>
    <row r="25" spans="1:7">
      <c r="A25" t="s">
        <v>449</v>
      </c>
      <c r="B25" t="s">
        <v>450</v>
      </c>
      <c r="C25" t="s">
        <v>61</v>
      </c>
      <c r="D25" t="s">
        <v>426</v>
      </c>
      <c r="E25">
        <v>841772</v>
      </c>
      <c r="F25">
        <v>757277</v>
      </c>
      <c r="G25">
        <v>855552</v>
      </c>
    </row>
    <row r="26" spans="1:7">
      <c r="A26" t="s">
        <v>451</v>
      </c>
      <c r="B26" t="s">
        <v>62</v>
      </c>
      <c r="C26" t="s">
        <v>62</v>
      </c>
      <c r="D26" t="s">
        <v>426</v>
      </c>
    </row>
    <row r="27" spans="1:7">
      <c r="A27" t="s">
        <v>452</v>
      </c>
      <c r="B27" t="s">
        <v>62</v>
      </c>
      <c r="C27" t="s">
        <v>62</v>
      </c>
      <c r="D27" t="s">
        <v>426</v>
      </c>
      <c r="E27">
        <v>-85863</v>
      </c>
      <c r="F27">
        <v>-45736</v>
      </c>
      <c r="G27">
        <v>50745</v>
      </c>
    </row>
    <row r="28" spans="1:7">
      <c r="A28" t="s">
        <v>453</v>
      </c>
      <c r="B28" t="s">
        <v>63</v>
      </c>
      <c r="C28" t="s">
        <v>63</v>
      </c>
      <c r="D28" t="s">
        <v>426</v>
      </c>
      <c r="E28">
        <v>-28088</v>
      </c>
      <c r="F28">
        <v>-173304</v>
      </c>
      <c r="G28">
        <v>-19371</v>
      </c>
    </row>
    <row r="29" spans="1:7">
      <c r="A29" t="s">
        <v>454</v>
      </c>
      <c r="B29" t="s">
        <v>56</v>
      </c>
      <c r="C29" t="s">
        <v>56</v>
      </c>
      <c r="D29" t="s">
        <v>426</v>
      </c>
      <c r="E29">
        <v>113951</v>
      </c>
      <c r="F29">
        <v>127568</v>
      </c>
      <c r="G29">
        <v>31374</v>
      </c>
    </row>
    <row r="30" spans="1:7">
      <c r="A30" t="s">
        <v>455</v>
      </c>
      <c r="B30" t="s">
        <v>70</v>
      </c>
      <c r="C30" t="s">
        <v>70</v>
      </c>
      <c r="D30" t="s">
        <v>426</v>
      </c>
      <c r="E30">
        <v>727821</v>
      </c>
      <c r="F30">
        <v>629709</v>
      </c>
      <c r="G30">
        <v>824178</v>
      </c>
    </row>
    <row r="31" spans="1:7">
      <c r="A31" t="s">
        <v>456</v>
      </c>
      <c r="B31" t="s">
        <v>457</v>
      </c>
      <c r="C31" t="s">
        <v>67</v>
      </c>
      <c r="D31" t="s">
        <v>426</v>
      </c>
      <c r="E31">
        <v>30150</v>
      </c>
      <c r="F31">
        <v>-10431</v>
      </c>
      <c r="G31">
        <v>-131440</v>
      </c>
    </row>
    <row r="32" spans="1:7">
      <c r="A32" t="s">
        <v>458</v>
      </c>
      <c r="D32" t="s">
        <v>426</v>
      </c>
      <c r="E32">
        <v>757971</v>
      </c>
      <c r="F32">
        <v>619278</v>
      </c>
      <c r="G32">
        <v>692738</v>
      </c>
    </row>
    <row r="33" spans="1:7">
      <c r="A33" t="s">
        <v>459</v>
      </c>
      <c r="B33" t="s">
        <v>67</v>
      </c>
      <c r="C33" t="s">
        <v>67</v>
      </c>
      <c r="D33" t="s">
        <v>426</v>
      </c>
      <c r="E33">
        <v>-41645</v>
      </c>
      <c r="F33">
        <v>-46041</v>
      </c>
      <c r="G33">
        <v>-28070</v>
      </c>
    </row>
    <row r="34" spans="1:7">
      <c r="A34" t="s">
        <v>460</v>
      </c>
      <c r="D34" t="s">
        <v>426</v>
      </c>
      <c r="E34">
        <v>-2710</v>
      </c>
      <c r="F34">
        <v>-6735</v>
      </c>
    </row>
    <row r="35" spans="1:7">
      <c r="A35" t="s">
        <v>461</v>
      </c>
      <c r="D35" t="s">
        <v>426</v>
      </c>
      <c r="E35">
        <v>713616</v>
      </c>
      <c r="F35">
        <v>566502</v>
      </c>
      <c r="G35">
        <v>664668</v>
      </c>
    </row>
    <row r="36" spans="1:7">
      <c r="A36" t="s">
        <v>462</v>
      </c>
      <c r="D36" t="s">
        <v>426</v>
      </c>
    </row>
    <row r="37" spans="1:7">
      <c r="A37" t="s">
        <v>463</v>
      </c>
      <c r="D37" t="s">
        <v>426</v>
      </c>
      <c r="E37">
        <v>176</v>
      </c>
      <c r="F37">
        <v>140</v>
      </c>
      <c r="G37">
        <v>183</v>
      </c>
    </row>
    <row r="38" spans="1:7">
      <c r="A38" t="s">
        <v>464</v>
      </c>
      <c r="D38" t="s">
        <v>426</v>
      </c>
      <c r="E38">
        <v>173</v>
      </c>
      <c r="F38">
        <v>136</v>
      </c>
      <c r="G38">
        <v>178</v>
      </c>
    </row>
    <row r="39" spans="1:7">
      <c r="A39" t="s">
        <v>465</v>
      </c>
      <c r="D39" t="s">
        <v>426</v>
      </c>
    </row>
    <row r="40" spans="1:7">
      <c r="A40" t="s">
        <v>463</v>
      </c>
      <c r="D40" t="s">
        <v>426</v>
      </c>
      <c r="E40">
        <v>404347621</v>
      </c>
      <c r="F40">
        <v>404138364</v>
      </c>
      <c r="G40">
        <v>362376342</v>
      </c>
    </row>
    <row r="41" spans="1:7">
      <c r="D41" t="s">
        <v>426</v>
      </c>
    </row>
    <row r="42" spans="1:7">
      <c r="D42" t="s">
        <v>426</v>
      </c>
    </row>
    <row r="43" spans="1:7">
      <c r="D43" t="s">
        <v>426</v>
      </c>
    </row>
    <row r="44" spans="1:7">
      <c r="D44" t="s">
        <v>426</v>
      </c>
    </row>
    <row r="45" spans="1:7">
      <c r="D45" t="s">
        <v>426</v>
      </c>
      <c r="E45">
        <v>2018</v>
      </c>
      <c r="F45">
        <v>2017</v>
      </c>
      <c r="G45">
        <v>2016</v>
      </c>
    </row>
    <row r="46" spans="1:7">
      <c r="A46" t="s">
        <v>466</v>
      </c>
      <c r="B46" t="s">
        <v>467</v>
      </c>
      <c r="C46" t="s">
        <v>467</v>
      </c>
      <c r="D46" t="s">
        <v>426</v>
      </c>
    </row>
    <row r="47" spans="1:7">
      <c r="A47" t="s">
        <v>455</v>
      </c>
      <c r="B47" t="s">
        <v>70</v>
      </c>
      <c r="C47" t="s">
        <v>70</v>
      </c>
      <c r="D47" t="s">
        <v>426</v>
      </c>
      <c r="E47">
        <v>727821</v>
      </c>
      <c r="F47">
        <v>629709</v>
      </c>
      <c r="G47">
        <v>824178</v>
      </c>
    </row>
    <row r="48" spans="1:7">
      <c r="A48" t="s">
        <v>468</v>
      </c>
      <c r="D48" t="s">
        <v>426</v>
      </c>
    </row>
    <row r="49" spans="1:7">
      <c r="A49" t="s">
        <v>469</v>
      </c>
      <c r="D49" t="s">
        <v>426</v>
      </c>
    </row>
    <row r="50" spans="1:7">
      <c r="A50" t="s">
        <v>470</v>
      </c>
      <c r="D50" t="s">
        <v>426</v>
      </c>
      <c r="E50">
        <v>-270057</v>
      </c>
      <c r="F50">
        <v>252904</v>
      </c>
      <c r="G50">
        <v>-21013</v>
      </c>
    </row>
    <row r="51" spans="1:7">
      <c r="A51" t="s">
        <v>471</v>
      </c>
      <c r="D51" t="s">
        <v>426</v>
      </c>
      <c r="G51">
        <v>-352</v>
      </c>
    </row>
    <row r="52" spans="1:7">
      <c r="A52" t="s">
        <v>472</v>
      </c>
      <c r="D52" t="s">
        <v>426</v>
      </c>
      <c r="E52">
        <v>144573</v>
      </c>
      <c r="F52">
        <v>-67863</v>
      </c>
      <c r="G52">
        <v>-56361</v>
      </c>
    </row>
    <row r="53" spans="1:7">
      <c r="A53" t="s">
        <v>473</v>
      </c>
      <c r="B53" t="s">
        <v>59</v>
      </c>
      <c r="C53" t="s">
        <v>59</v>
      </c>
      <c r="D53" t="s">
        <v>426</v>
      </c>
      <c r="E53">
        <v>-24830</v>
      </c>
      <c r="F53">
        <v>-47014</v>
      </c>
      <c r="G53">
        <v>-20381</v>
      </c>
    </row>
    <row r="54" spans="1:7">
      <c r="A54" t="s">
        <v>474</v>
      </c>
      <c r="B54" t="s">
        <v>467</v>
      </c>
      <c r="C54" t="s">
        <v>467</v>
      </c>
      <c r="D54" t="s">
        <v>426</v>
      </c>
      <c r="E54">
        <v>577507</v>
      </c>
      <c r="F54">
        <v>861764</v>
      </c>
      <c r="G54">
        <v>726071</v>
      </c>
    </row>
    <row r="55" spans="1:7">
      <c r="A55" t="s">
        <v>456</v>
      </c>
      <c r="B55" t="s">
        <v>457</v>
      </c>
      <c r="C55" t="s">
        <v>67</v>
      </c>
      <c r="D55" t="s">
        <v>426</v>
      </c>
      <c r="E55">
        <v>30150</v>
      </c>
      <c r="F55">
        <v>-10431</v>
      </c>
      <c r="G55">
        <v>-131440</v>
      </c>
    </row>
    <row r="56" spans="1:7">
      <c r="A56" t="s">
        <v>475</v>
      </c>
      <c r="B56" t="s">
        <v>476</v>
      </c>
      <c r="C56" t="s">
        <v>467</v>
      </c>
      <c r="D56" t="s">
        <v>426</v>
      </c>
      <c r="E56">
        <v>3346</v>
      </c>
      <c r="F56">
        <v>530</v>
      </c>
      <c r="G56">
        <v>68</v>
      </c>
    </row>
    <row r="57" spans="1:7">
      <c r="A57" t="s">
        <v>477</v>
      </c>
      <c r="D57" t="s">
        <v>426</v>
      </c>
      <c r="E57">
        <v>611003</v>
      </c>
      <c r="F57">
        <v>851863</v>
      </c>
      <c r="G57">
        <v>594699</v>
      </c>
    </row>
    <row r="58" spans="1:7">
      <c r="D58" t="s">
        <v>426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2"/>
  <sheetViews>
    <sheetView workbookViewId="0"/>
  </sheetViews>
  <sheetFormatPr defaultRowHeight="12.75"/>
  <cols>
    <col min="1" max="4" width="24.7109375" customWidth="1"/>
  </cols>
  <sheetData>
    <row r="3" spans="1:7">
      <c r="E3">
        <v>2018</v>
      </c>
      <c r="F3">
        <v>2017</v>
      </c>
      <c r="G3">
        <v>2016</v>
      </c>
    </row>
    <row r="4" spans="1:7">
      <c r="A4" t="s">
        <v>478</v>
      </c>
      <c r="B4" t="s">
        <v>231</v>
      </c>
      <c r="C4" t="s">
        <v>231</v>
      </c>
      <c r="D4" t="s">
        <v>478</v>
      </c>
    </row>
    <row r="5" spans="1:7">
      <c r="A5" t="s">
        <v>455</v>
      </c>
      <c r="B5" t="s">
        <v>232</v>
      </c>
      <c r="C5" t="s">
        <v>232</v>
      </c>
      <c r="D5" t="s">
        <v>478</v>
      </c>
      <c r="E5">
        <v>727821</v>
      </c>
      <c r="F5">
        <v>629709</v>
      </c>
      <c r="G5">
        <v>824178</v>
      </c>
    </row>
    <row r="6" spans="1:7">
      <c r="A6" t="s">
        <v>479</v>
      </c>
    </row>
    <row r="7" spans="1:7">
      <c r="A7" t="s">
        <v>480</v>
      </c>
      <c r="B7" t="s">
        <v>244</v>
      </c>
      <c r="C7" t="s">
        <v>244</v>
      </c>
      <c r="E7">
        <v>387550</v>
      </c>
      <c r="F7">
        <v>-174517</v>
      </c>
      <c r="G7">
        <v>-178507</v>
      </c>
    </row>
    <row r="8" spans="1:7">
      <c r="A8" t="s">
        <v>434</v>
      </c>
      <c r="E8">
        <v>2829</v>
      </c>
      <c r="F8">
        <v>7138</v>
      </c>
      <c r="G8">
        <v>30442</v>
      </c>
    </row>
    <row r="9" spans="1:7">
      <c r="A9" t="s">
        <v>481</v>
      </c>
      <c r="B9" t="s">
        <v>242</v>
      </c>
      <c r="C9" t="s">
        <v>242</v>
      </c>
      <c r="D9" t="s">
        <v>478</v>
      </c>
      <c r="E9">
        <v>36694</v>
      </c>
      <c r="F9">
        <v>-79540</v>
      </c>
      <c r="G9">
        <v>5644</v>
      </c>
    </row>
    <row r="10" spans="1:7">
      <c r="A10" t="s">
        <v>444</v>
      </c>
      <c r="B10" t="s">
        <v>240</v>
      </c>
      <c r="C10" t="s">
        <v>240</v>
      </c>
      <c r="D10" t="s">
        <v>478</v>
      </c>
      <c r="E10">
        <v>105670</v>
      </c>
      <c r="F10">
        <v>125778</v>
      </c>
      <c r="G10">
        <v>19343</v>
      </c>
    </row>
    <row r="11" spans="1:7">
      <c r="A11" t="s">
        <v>482</v>
      </c>
      <c r="B11" t="s">
        <v>248</v>
      </c>
      <c r="C11" t="s">
        <v>248</v>
      </c>
      <c r="D11" t="s">
        <v>478</v>
      </c>
      <c r="E11">
        <v>55776</v>
      </c>
      <c r="F11">
        <v>67798</v>
      </c>
      <c r="G11">
        <v>56581</v>
      </c>
    </row>
    <row r="12" spans="1:7">
      <c r="A12" t="s">
        <v>483</v>
      </c>
      <c r="D12" t="s">
        <v>478</v>
      </c>
    </row>
    <row r="13" spans="1:7">
      <c r="A13" t="s">
        <v>484</v>
      </c>
      <c r="D13" t="s">
        <v>478</v>
      </c>
      <c r="E13">
        <v>243734</v>
      </c>
      <c r="F13">
        <v>614534</v>
      </c>
      <c r="G13">
        <v>372244</v>
      </c>
    </row>
    <row r="14" spans="1:7">
      <c r="A14" t="s">
        <v>485</v>
      </c>
      <c r="D14" t="s">
        <v>478</v>
      </c>
      <c r="E14">
        <v>114772</v>
      </c>
      <c r="F14">
        <v>116841</v>
      </c>
      <c r="G14">
        <v>146569</v>
      </c>
    </row>
    <row r="15" spans="1:7">
      <c r="A15" t="s">
        <v>390</v>
      </c>
      <c r="D15" t="s">
        <v>478</v>
      </c>
      <c r="E15">
        <v>-211296</v>
      </c>
      <c r="F15">
        <v>-31405</v>
      </c>
      <c r="G15">
        <v>-71613</v>
      </c>
    </row>
    <row r="16" spans="1:7">
      <c r="A16" t="s">
        <v>394</v>
      </c>
      <c r="B16" t="s">
        <v>243</v>
      </c>
      <c r="C16" t="s">
        <v>243</v>
      </c>
      <c r="D16" t="s">
        <v>478</v>
      </c>
      <c r="E16">
        <v>-37847</v>
      </c>
      <c r="F16">
        <v>-78378</v>
      </c>
      <c r="G16">
        <v>-38597</v>
      </c>
    </row>
    <row r="17" spans="1:7">
      <c r="A17" t="s">
        <v>403</v>
      </c>
      <c r="D17" t="s">
        <v>478</v>
      </c>
      <c r="E17">
        <v>73438</v>
      </c>
      <c r="F17">
        <v>8529</v>
      </c>
      <c r="G17">
        <v>31542</v>
      </c>
    </row>
    <row r="18" spans="1:7">
      <c r="A18" t="s">
        <v>486</v>
      </c>
      <c r="D18" t="s">
        <v>478</v>
      </c>
      <c r="E18">
        <v>60181</v>
      </c>
      <c r="F18">
        <v>-111609</v>
      </c>
      <c r="G18">
        <v>179603</v>
      </c>
    </row>
    <row r="19" spans="1:7">
      <c r="A19" t="s">
        <v>487</v>
      </c>
      <c r="B19" t="s">
        <v>285</v>
      </c>
      <c r="C19" t="s">
        <v>285</v>
      </c>
      <c r="D19" t="s">
        <v>478</v>
      </c>
      <c r="E19">
        <v>1559322</v>
      </c>
      <c r="F19">
        <v>1094878</v>
      </c>
      <c r="G19">
        <v>1377429</v>
      </c>
    </row>
    <row r="20" spans="1:7">
      <c r="A20" t="s">
        <v>488</v>
      </c>
      <c r="B20" t="s">
        <v>286</v>
      </c>
      <c r="C20" t="s">
        <v>286</v>
      </c>
      <c r="D20" t="s">
        <v>488</v>
      </c>
    </row>
    <row r="21" spans="1:7">
      <c r="A21" t="s">
        <v>489</v>
      </c>
      <c r="B21" t="s">
        <v>290</v>
      </c>
      <c r="C21" t="s">
        <v>290</v>
      </c>
      <c r="D21" t="s">
        <v>488</v>
      </c>
      <c r="E21">
        <v>-33327660</v>
      </c>
      <c r="F21">
        <v>-36806913</v>
      </c>
      <c r="G21">
        <v>-35532810</v>
      </c>
    </row>
    <row r="22" spans="1:7">
      <c r="A22" t="s">
        <v>490</v>
      </c>
      <c r="B22" t="s">
        <v>290</v>
      </c>
      <c r="C22" t="s">
        <v>290</v>
      </c>
      <c r="D22" t="s">
        <v>488</v>
      </c>
      <c r="E22">
        <v>-1001149</v>
      </c>
      <c r="F22">
        <v>-1021016</v>
      </c>
      <c r="G22">
        <v>-665702</v>
      </c>
    </row>
    <row r="23" spans="1:7">
      <c r="A23" t="s">
        <v>491</v>
      </c>
      <c r="B23" t="s">
        <v>290</v>
      </c>
      <c r="C23" t="s">
        <v>290</v>
      </c>
      <c r="D23" t="s">
        <v>488</v>
      </c>
      <c r="E23">
        <v>-2014622</v>
      </c>
      <c r="F23">
        <v>-2020624</v>
      </c>
      <c r="G23">
        <v>-1389406</v>
      </c>
    </row>
    <row r="24" spans="1:7">
      <c r="A24" t="s">
        <v>492</v>
      </c>
      <c r="B24" t="s">
        <v>291</v>
      </c>
      <c r="C24" t="s">
        <v>291</v>
      </c>
      <c r="D24" t="s">
        <v>488</v>
      </c>
      <c r="E24">
        <v>31513271</v>
      </c>
      <c r="F24">
        <v>35686779</v>
      </c>
      <c r="G24">
        <v>34559966</v>
      </c>
    </row>
    <row r="25" spans="1:7">
      <c r="A25" t="s">
        <v>493</v>
      </c>
      <c r="D25" t="s">
        <v>488</v>
      </c>
      <c r="E25">
        <v>1118445</v>
      </c>
      <c r="F25">
        <v>1056401</v>
      </c>
      <c r="G25">
        <v>751728</v>
      </c>
    </row>
    <row r="26" spans="1:7">
      <c r="A26" t="s">
        <v>494</v>
      </c>
      <c r="B26" t="s">
        <v>291</v>
      </c>
      <c r="C26" t="s">
        <v>291</v>
      </c>
      <c r="D26" t="s">
        <v>488</v>
      </c>
      <c r="E26">
        <v>1561958</v>
      </c>
      <c r="F26">
        <v>1528617</v>
      </c>
      <c r="G26">
        <v>1149328</v>
      </c>
    </row>
    <row r="27" spans="1:7">
      <c r="A27" t="s">
        <v>495</v>
      </c>
      <c r="B27" t="s">
        <v>291</v>
      </c>
      <c r="C27" t="s">
        <v>291</v>
      </c>
      <c r="D27" t="s">
        <v>488</v>
      </c>
      <c r="E27">
        <v>892755</v>
      </c>
      <c r="F27">
        <v>907417</v>
      </c>
      <c r="G27">
        <v>755007</v>
      </c>
    </row>
    <row r="28" spans="1:7">
      <c r="A28" t="s">
        <v>496</v>
      </c>
      <c r="D28" t="s">
        <v>488</v>
      </c>
      <c r="E28">
        <v>44699</v>
      </c>
      <c r="F28">
        <v>-28563</v>
      </c>
      <c r="G28">
        <v>-17068</v>
      </c>
    </row>
    <row r="29" spans="1:7">
      <c r="A29" t="s">
        <v>497</v>
      </c>
      <c r="B29" t="s">
        <v>290</v>
      </c>
      <c r="C29" t="s">
        <v>290</v>
      </c>
      <c r="D29" t="s">
        <v>488</v>
      </c>
      <c r="E29">
        <v>485473</v>
      </c>
      <c r="F29">
        <v>-734554</v>
      </c>
      <c r="G29">
        <v>-123410</v>
      </c>
    </row>
    <row r="30" spans="1:7">
      <c r="A30" t="s">
        <v>498</v>
      </c>
      <c r="D30" t="s">
        <v>488</v>
      </c>
      <c r="E30">
        <v>180883</v>
      </c>
      <c r="F30">
        <v>12540</v>
      </c>
      <c r="G30">
        <v>-155248</v>
      </c>
    </row>
    <row r="31" spans="1:7">
      <c r="A31" t="s">
        <v>499</v>
      </c>
      <c r="B31" t="s">
        <v>287</v>
      </c>
      <c r="C31" t="s">
        <v>287</v>
      </c>
      <c r="D31" t="s">
        <v>488</v>
      </c>
      <c r="G31">
        <v>-1992720</v>
      </c>
    </row>
    <row r="32" spans="1:7">
      <c r="A32" t="s">
        <v>500</v>
      </c>
      <c r="B32" t="s">
        <v>287</v>
      </c>
      <c r="C32" t="s">
        <v>287</v>
      </c>
      <c r="D32" t="s">
        <v>488</v>
      </c>
      <c r="E32">
        <v>-29809</v>
      </c>
      <c r="F32">
        <v>-22841</v>
      </c>
      <c r="G32">
        <v>-15303</v>
      </c>
    </row>
    <row r="33" spans="1:7">
      <c r="A33" t="s">
        <v>501</v>
      </c>
      <c r="B33" t="s">
        <v>251</v>
      </c>
      <c r="C33" t="s">
        <v>251</v>
      </c>
      <c r="D33" t="s">
        <v>478</v>
      </c>
      <c r="E33">
        <v>21736</v>
      </c>
      <c r="F33">
        <v>90875</v>
      </c>
      <c r="G33">
        <v>-27795</v>
      </c>
    </row>
    <row r="34" spans="1:7">
      <c r="A34" t="s">
        <v>502</v>
      </c>
      <c r="B34" t="s">
        <v>296</v>
      </c>
      <c r="C34" t="s">
        <v>296</v>
      </c>
      <c r="D34" t="s">
        <v>488</v>
      </c>
      <c r="E34">
        <v>-554020</v>
      </c>
      <c r="F34">
        <v>-1351882</v>
      </c>
      <c r="G34">
        <v>-2703433</v>
      </c>
    </row>
    <row r="35" spans="1:7">
      <c r="A35" t="s">
        <v>503</v>
      </c>
      <c r="B35" t="s">
        <v>297</v>
      </c>
      <c r="C35" t="s">
        <v>297</v>
      </c>
      <c r="D35" t="s">
        <v>503</v>
      </c>
    </row>
    <row r="36" spans="1:7">
      <c r="A36" t="s">
        <v>504</v>
      </c>
      <c r="B36" t="s">
        <v>298</v>
      </c>
      <c r="C36" t="s">
        <v>298</v>
      </c>
      <c r="D36" t="s">
        <v>488</v>
      </c>
      <c r="F36">
        <v>319694</v>
      </c>
      <c r="G36">
        <v>434899</v>
      </c>
    </row>
    <row r="37" spans="1:7">
      <c r="A37" t="s">
        <v>505</v>
      </c>
      <c r="B37" t="s">
        <v>243</v>
      </c>
      <c r="C37" t="s">
        <v>243</v>
      </c>
      <c r="D37" t="s">
        <v>488</v>
      </c>
      <c r="E37">
        <v>-92555</v>
      </c>
      <c r="F37">
        <v>-230000</v>
      </c>
      <c r="G37">
        <v>-2445</v>
      </c>
    </row>
    <row r="38" spans="1:7">
      <c r="A38" t="s">
        <v>506</v>
      </c>
      <c r="D38" t="s">
        <v>488</v>
      </c>
      <c r="E38">
        <v>-282762</v>
      </c>
      <c r="G38">
        <v>-75256</v>
      </c>
    </row>
    <row r="39" spans="1:7">
      <c r="A39" t="s">
        <v>507</v>
      </c>
      <c r="B39" t="s">
        <v>298</v>
      </c>
      <c r="C39" t="s">
        <v>298</v>
      </c>
      <c r="D39" t="s">
        <v>503</v>
      </c>
      <c r="E39">
        <v>-7608</v>
      </c>
      <c r="F39">
        <v>-21048</v>
      </c>
      <c r="G39">
        <v>-2418</v>
      </c>
    </row>
    <row r="40" spans="1:7">
      <c r="A40" t="s">
        <v>299</v>
      </c>
      <c r="B40" t="s">
        <v>299</v>
      </c>
      <c r="C40" t="s">
        <v>299</v>
      </c>
      <c r="D40" t="s">
        <v>503</v>
      </c>
      <c r="E40">
        <v>218259</v>
      </c>
      <c r="F40">
        <v>253415</v>
      </c>
      <c r="G40">
        <v>1386741</v>
      </c>
    </row>
    <row r="41" spans="1:7">
      <c r="A41" t="s">
        <v>508</v>
      </c>
      <c r="B41" t="s">
        <v>302</v>
      </c>
      <c r="C41" t="s">
        <v>302</v>
      </c>
      <c r="D41" t="s">
        <v>503</v>
      </c>
      <c r="E41">
        <v>-576401</v>
      </c>
      <c r="F41">
        <v>-197000</v>
      </c>
      <c r="G41">
        <v>-219171</v>
      </c>
    </row>
    <row r="42" spans="1:7">
      <c r="A42" t="s">
        <v>498</v>
      </c>
      <c r="D42" t="s">
        <v>503</v>
      </c>
      <c r="E42">
        <v>-180883</v>
      </c>
      <c r="F42">
        <v>-12540</v>
      </c>
      <c r="G42">
        <v>155248</v>
      </c>
    </row>
    <row r="43" spans="1:7">
      <c r="A43" t="s">
        <v>509</v>
      </c>
      <c r="D43" t="s">
        <v>503</v>
      </c>
      <c r="E43">
        <v>-17989</v>
      </c>
      <c r="F43">
        <v>-17989</v>
      </c>
      <c r="G43">
        <v>-17989</v>
      </c>
    </row>
    <row r="44" spans="1:7">
      <c r="A44" t="s">
        <v>501</v>
      </c>
      <c r="B44" t="s">
        <v>251</v>
      </c>
      <c r="C44" t="s">
        <v>251</v>
      </c>
      <c r="D44" t="s">
        <v>478</v>
      </c>
      <c r="E44">
        <v>-7226</v>
      </c>
      <c r="F44">
        <v>-51896</v>
      </c>
      <c r="G44">
        <v>4130</v>
      </c>
    </row>
    <row r="45" spans="1:7">
      <c r="A45" t="s">
        <v>510</v>
      </c>
      <c r="D45" t="s">
        <v>503</v>
      </c>
      <c r="E45">
        <v>-41645</v>
      </c>
      <c r="F45">
        <v>-46041</v>
      </c>
      <c r="G45">
        <v>-28070</v>
      </c>
    </row>
    <row r="46" spans="1:7">
      <c r="A46" t="s">
        <v>511</v>
      </c>
      <c r="B46" t="s">
        <v>311</v>
      </c>
      <c r="C46" t="s">
        <v>311</v>
      </c>
      <c r="D46" t="s">
        <v>503</v>
      </c>
      <c r="E46">
        <v>-988810</v>
      </c>
      <c r="F46">
        <v>-3405</v>
      </c>
      <c r="G46">
        <v>1635669</v>
      </c>
    </row>
    <row r="47" spans="1:7">
      <c r="A47" t="s">
        <v>512</v>
      </c>
      <c r="B47" t="s">
        <v>313</v>
      </c>
      <c r="C47" t="s">
        <v>313</v>
      </c>
      <c r="D47" t="s">
        <v>503</v>
      </c>
      <c r="E47">
        <v>-19133</v>
      </c>
      <c r="F47">
        <v>18124</v>
      </c>
      <c r="G47">
        <v>-21191</v>
      </c>
    </row>
    <row r="48" spans="1:7">
      <c r="A48" t="s">
        <v>513</v>
      </c>
      <c r="B48" t="s">
        <v>514</v>
      </c>
      <c r="C48" t="s">
        <v>312</v>
      </c>
      <c r="D48" t="s">
        <v>503</v>
      </c>
      <c r="E48">
        <v>-2641</v>
      </c>
      <c r="F48">
        <v>-242285</v>
      </c>
      <c r="G48">
        <v>288474</v>
      </c>
    </row>
    <row r="49" spans="1:7">
      <c r="A49" t="s">
        <v>515</v>
      </c>
      <c r="D49" t="s">
        <v>503</v>
      </c>
      <c r="E49">
        <v>727284</v>
      </c>
      <c r="F49">
        <v>969569</v>
      </c>
      <c r="G49">
        <v>681095</v>
      </c>
    </row>
    <row r="50" spans="1:7">
      <c r="A50" t="s">
        <v>516</v>
      </c>
      <c r="D50" t="s">
        <v>503</v>
      </c>
      <c r="E50">
        <v>724643</v>
      </c>
      <c r="F50">
        <v>727284</v>
      </c>
      <c r="G50">
        <v>969569</v>
      </c>
    </row>
    <row r="51" spans="1:7">
      <c r="A51" t="s">
        <v>517</v>
      </c>
      <c r="B51" t="s">
        <v>518</v>
      </c>
      <c r="C51" t="s">
        <v>247</v>
      </c>
      <c r="D51" t="s">
        <v>478</v>
      </c>
      <c r="E51">
        <v>-980</v>
      </c>
      <c r="F51">
        <v>51781</v>
      </c>
      <c r="G51">
        <v>50621</v>
      </c>
    </row>
    <row r="52" spans="1:7">
      <c r="A52" t="s">
        <v>519</v>
      </c>
      <c r="B52" t="s">
        <v>243</v>
      </c>
      <c r="C52" t="s">
        <v>243</v>
      </c>
      <c r="D52" t="s">
        <v>478</v>
      </c>
      <c r="E52">
        <v>119775</v>
      </c>
      <c r="F52">
        <v>117374</v>
      </c>
      <c r="G52">
        <v>63288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48EBA2-C65F-4E9C-8B43-2E2760A866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83C2EE-35AD-4F6B-A206-ABFD2341FD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FE1829-BE4D-4422-997C-AB56E80258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2021-10-12T07:51:05Z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