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201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92" i="1"/>
  <c r="F92" i="1"/>
  <c r="G36" i="1"/>
  <c r="G43" i="1"/>
  <c r="F36" i="1"/>
  <c r="F43" i="1"/>
  <c r="G432" i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L371" i="1"/>
  <c r="N370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66" i="1" s="1"/>
  <c r="G161" i="1"/>
  <c r="G8" i="1" s="1"/>
  <c r="F161" i="1"/>
  <c r="F8" i="1" s="1"/>
  <c r="F12" i="1" s="1"/>
  <c r="H373" i="1"/>
  <c r="G383" i="1"/>
  <c r="G382" i="1"/>
  <c r="F384" i="1"/>
  <c r="F13" i="1"/>
  <c r="F377" i="1"/>
  <c r="F353" i="1"/>
  <c r="F355" i="1" s="1"/>
  <c r="F357" i="1" s="1"/>
  <c r="F385" i="1"/>
  <c r="F383" i="1"/>
  <c r="F382" i="1"/>
  <c r="G353" i="1"/>
  <c r="G355" i="1" s="1"/>
  <c r="G357" i="1" s="1"/>
  <c r="G385" i="1"/>
  <c r="H378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J373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G376" i="1" l="1"/>
  <c r="G14" i="1"/>
  <c r="F366" i="1"/>
  <c r="F376" i="1"/>
  <c r="F14" i="1"/>
  <c r="G378" i="1"/>
  <c r="G370" i="1"/>
  <c r="G59" i="1"/>
  <c r="G67" i="1" s="1"/>
  <c r="G71" i="1" s="1"/>
  <c r="F378" i="1"/>
  <c r="F370" i="1"/>
  <c r="F59" i="1"/>
  <c r="F67" i="1" s="1"/>
  <c r="F71" i="1" s="1"/>
  <c r="G373" i="1" l="1"/>
  <c r="G83" i="1"/>
  <c r="G372" i="1"/>
  <c r="G6" i="1"/>
  <c r="F373" i="1"/>
  <c r="F83" i="1"/>
  <c r="F372" i="1"/>
  <c r="F6" i="1"/>
  <c r="G371" i="1" l="1"/>
  <c r="G365" i="1"/>
  <c r="F365" i="1"/>
  <c r="F371" i="1"/>
</calcChain>
</file>

<file path=xl/sharedStrings.xml><?xml version="1.0" encoding="utf-8"?>
<sst xmlns="http://schemas.openxmlformats.org/spreadsheetml/2006/main" count="967" uniqueCount="558">
  <si>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</si>
  <si>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</si>
  <si>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</si>
  <si>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</si>
  <si>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</si>
  <si>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</si>
  <si>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</si>
  <si>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</si>
  <si>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</si>
  <si>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</si>
  <si>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</si>
  <si>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</si>
  <si>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</si>
  <si>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</si>
  <si>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</si>
  <si>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</si>
  <si>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</si>
  <si>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</si>
  <si>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</si>
  <si>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</si>
  <si>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</si>
  <si>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</si>
  <si>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</si>
  <si>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</si>
  <si>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</si>
  <si>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</si>
  <si>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</si>
  <si>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</si>
  <si>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</si>
  <si>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</si>
  <si>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</si>
  <si>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</si>
  <si>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</si>
  <si>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</si>
  <si>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</si>
  <si>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</si>
  <si>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</si>
  <si>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</si>
  <si>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</si>
  <si>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</si>
  <si>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</si>
  <si>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</si>
  <si>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</si>
  <si>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</si>
  <si>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</si>
  <si>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</si>
  <si>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</si>
  <si>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</si>
  <si>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</si>
  <si>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</si>
  <si>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</si>
  <si>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</si>
  <si>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</si>
  <si>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</si>
  <si>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</si>
  <si>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</si>
  <si>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</si>
  <si>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</si>
  <si>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</si>
  <si>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</si>
  <si>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</si>
  <si>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</si>
  <si>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</si>
  <si>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</si>
  <si>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</si>
  <si>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</si>
  <si>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</si>
  <si>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</si>
  <si>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</si>
  <si>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</si>
  <si>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</si>
  <si>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</si>
  <si>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</si>
  <si>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</si>
  <si>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</si>
  <si>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</si>
  <si>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</si>
  <si>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</si>
  <si>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</si>
  <si>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</si>
  <si>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</si>
  <si>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</si>
  <si>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</si>
  <si>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</si>
  <si>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</si>
  <si>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</si>
  <si>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</si>
  <si>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</si>
  <si>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</si>
  <si>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</si>
  <si>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</si>
  <si>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</si>
  <si>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</si>
  <si>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</si>
  <si>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</si>
  <si>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</si>
  <si>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</si>
  <si>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</si>
  <si>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</si>
  <si>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</si>
  <si>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</si>
  <si>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</si>
  <si>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</si>
  <si>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</si>
  <si>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</si>
  <si>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</si>
  <si>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</si>
  <si>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</si>
  <si>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</si>
  <si>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</si>
  <si>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</si>
  <si>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</si>
  <si>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</si>
  <si>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</si>
  <si>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</si>
  <si>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</si>
  <si>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</si>
  <si>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</si>
  <si>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</si>
  <si>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</si>
  <si>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</si>
  <si>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</si>
  <si>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</si>
  <si>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</si>
  <si>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</si>
  <si>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</si>
  <si>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</si>
  <si>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</si>
  <si>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</si>
  <si>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</si>
  <si>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</si>
  <si>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</si>
  <si>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</si>
  <si>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</si>
  <si>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</si>
  <si>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</si>
  <si>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</si>
  <si>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</si>
  <si>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</si>
  <si>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</si>
  <si>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</si>
  <si>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</si>
  <si>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</si>
  <si>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</si>
  <si>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</si>
  <si>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</si>
  <si>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</si>
  <si>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</si>
  <si>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</si>
  <si>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</si>
  <si>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</si>
  <si>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</si>
  <si>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</si>
  <si>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</si>
  <si>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</si>
  <si>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</si>
  <si>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</si>
  <si>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</si>
  <si>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</si>
  <si>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</si>
  <si>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</si>
  <si>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</si>
  <si>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</si>
  <si>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</si>
  <si>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</si>
  <si>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</si>
  <si>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</si>
  <si>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</si>
  <si>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</si>
  <si>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</si>
  <si>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</si>
  <si>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</si>
  <si>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</si>
  <si>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</si>
  <si>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</si>
  <si>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</si>
  <si>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</si>
  <si>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</si>
  <si>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</si>
  <si>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</si>
  <si>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</si>
  <si>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</si>
  <si>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</si>
  <si>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</si>
  <si>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</si>
  <si>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</si>
  <si>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</si>
  <si>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</si>
  <si>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</si>
  <si>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</si>
  <si>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</si>
  <si>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</si>
  <si>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</si>
  <si>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</si>
  <si>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</si>
  <si>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</si>
  <si>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</si>
  <si>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</si>
  <si>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</si>
  <si>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</si>
  <si>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</si>
  <si>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</si>
  <si>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</si>
  <si>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</si>
  <si>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</si>
  <si>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</si>
  <si>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</si>
  <si>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</si>
  <si>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</si>
  <si>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</si>
  <si>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</si>
  <si>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</si>
  <si>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</si>
  <si>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</si>
  <si>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</si>
  <si>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</si>
  <si>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</si>
  <si>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</si>
  <si>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</si>
  <si>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</si>
  <si>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</si>
  <si>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</si>
  <si>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</si>
  <si>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</si>
  <si>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</si>
  <si>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</si>
  <si>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</si>
  <si>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</si>
  <si>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</si>
  <si>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</si>
  <si>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</si>
  <si>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</si>
  <si>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</si>
  <si>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</si>
  <si>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</si>
  <si>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</si>
  <si>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</si>
  <si>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</si>
  <si>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</si>
  <si>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</si>
  <si>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</si>
  <si>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</si>
  <si>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</si>
  <si>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</si>
  <si>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</si>
  <si>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</si>
  <si>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</si>
  <si>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</si>
  <si>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</si>
  <si>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</si>
  <si>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</si>
  <si>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</si>
  <si>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</si>
  <si>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</si>
  <si>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</si>
  <si>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</si>
  <si>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</si>
  <si>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</si>
  <si>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</si>
  <si>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</si>
  <si>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</si>
  <si>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</si>
  <si>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</si>
  <si>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</si>
  <si>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</si>
  <si>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</si>
  <si>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</si>
  <si>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</si>
  <si>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</si>
  <si>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</si>
  <si>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</si>
  <si>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</si>
  <si>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</si>
  <si>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</si>
  <si>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</si>
  <si>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</si>
  <si>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</si>
  <si>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</si>
  <si>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</si>
  <si>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</si>
  <si>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</si>
  <si>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</si>
  <si>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</si>
  <si>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</si>
  <si>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</si>
  <si>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</si>
  <si>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</si>
  <si>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</si>
  <si>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</si>
  <si>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</si>
  <si>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</si>
  <si>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</si>
  <si>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</si>
  <si>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</si>
  <si>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</si>
  <si>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</si>
  <si>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</si>
  <si>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</si>
  <si>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</si>
  <si>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</si>
  <si>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</si>
  <si>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</si>
  <si>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</si>
  <si>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</si>
  <si>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</si>
  <si>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</si>
  <si>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</si>
  <si>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</si>
  <si>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</si>
  <si>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</si>
  <si>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</si>
  <si>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</si>
  <si>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</si>
  <si>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</si>
  <si>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</si>
  <si>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</si>
  <si>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</si>
  <si>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</si>
  <si>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</si>
  <si>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</si>
  <si>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</si>
  <si>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</si>
  <si>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</si>
  <si>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</si>
  <si>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</si>
  <si>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</si>
  <si>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</si>
  <si>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</si>
  <si>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</si>
  <si>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</si>
  <si>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</si>
  <si>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</si>
  <si>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</si>
  <si>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</si>
  <si>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</si>
  <si>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</si>
  <si>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</si>
  <si>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</si>
  <si>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</si>
  <si>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</si>
  <si>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</si>
  <si>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</si>
  <si>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</si>
  <si>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</si>
  <si>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</si>
  <si>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</si>
  <si>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</si>
  <si>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</si>
  <si>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</si>
  <si>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</si>
  <si>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</si>
  <si>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</si>
  <si>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</si>
  <si>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</si>
  <si>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</si>
  <si>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</si>
  <si>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</si>
  <si>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</si>
  <si>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</si>
  <si>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</si>
  <si>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</si>
  <si>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</si>
  <si>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</si>
  <si>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</si>
  <si>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</si>
  <si>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</si>
  <si>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</si>
  <si>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</si>
  <si>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</si>
  <si>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</si>
  <si>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</si>
  <si>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</si>
  <si>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</si>
  <si>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</si>
  <si>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</si>
  <si>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 and cash equivalents</t>
  </si>
  <si>
    <t>Short-term investments</t>
  </si>
  <si>
    <t>Restricted cash</t>
  </si>
  <si>
    <t>Accounts receivable, net of allowance of $1,563 and $1,494, respectively</t>
  </si>
  <si>
    <t>Prepaid maintenance</t>
  </si>
  <si>
    <t>Prepayments</t>
  </si>
  <si>
    <t>Prepaid expenses and other current assets</t>
  </si>
  <si>
    <t>Total current assets</t>
  </si>
  <si>
    <t>Property and Equipment</t>
  </si>
  <si>
    <t>Flight equipment</t>
  </si>
  <si>
    <t>Ground equipment</t>
  </si>
  <si>
    <t>Less:  accumulated depreciation</t>
  </si>
  <si>
    <t>Flight equipment modifications in progress</t>
  </si>
  <si>
    <t>Property and equipment, net</t>
  </si>
  <si>
    <t>Other Assets</t>
  </si>
  <si>
    <t>Long-term investments and accrued interest</t>
  </si>
  <si>
    <t>Deferred costs and other assets</t>
  </si>
  <si>
    <t>Intangible assets, net and goodwill</t>
  </si>
  <si>
    <t>Other Intangibles</t>
  </si>
  <si>
    <t>Liabilities and Equity</t>
  </si>
  <si>
    <t>Accounts payable</t>
  </si>
  <si>
    <t>Accrued liabilities</t>
  </si>
  <si>
    <t>Current portion of long-term debt and capital lease</t>
  </si>
  <si>
    <t>Total current liabilities</t>
  </si>
  <si>
    <t>Other Liabilities</t>
  </si>
  <si>
    <t>Long-term debt and capital lease</t>
  </si>
  <si>
    <t>Deferred taxes</t>
  </si>
  <si>
    <t>Financial instruments and other liabilities</t>
  </si>
  <si>
    <t>Total other liabilities</t>
  </si>
  <si>
    <t>Commitments and contingencies</t>
  </si>
  <si>
    <t>Stockholders Equity</t>
  </si>
  <si>
    <t>Preferred stock, $1 par value; 10,000,000 shares authorized; no shares issued</t>
  </si>
  <si>
    <t>Common stock, $0.01 par value; 100,000,000 shares authorized;</t>
  </si>
  <si>
    <t>30,582,571 and 30,104,648 shares issued, 25,590,293 and 25,292,454</t>
  </si>
  <si>
    <t>shares outstanding (net of treasury stock), as of December 31, 2018 and December 31, 2017, respectively</t>
  </si>
  <si>
    <t>Additional paid-in-capital</t>
  </si>
  <si>
    <t>Treasury stock, at cost; 4,992,278 and 4,812,194 shares, respectively</t>
  </si>
  <si>
    <t>Treasury Stock</t>
  </si>
  <si>
    <t>Accumulated other comprehensive loss</t>
  </si>
  <si>
    <t>Retained earnings</t>
  </si>
  <si>
    <t>Total stockholders equity</t>
  </si>
  <si>
    <t>Operating Revenue</t>
  </si>
  <si>
    <t>Revenue</t>
  </si>
  <si>
    <t>Operating Expenses</t>
  </si>
  <si>
    <t>Salaries, wages and benefits</t>
  </si>
  <si>
    <t>Aircraft fuel</t>
  </si>
  <si>
    <t>Maintenance, materials and repairs</t>
  </si>
  <si>
    <t>Depreciation and amortization</t>
  </si>
  <si>
    <t>Travel</t>
  </si>
  <si>
    <t>Aircraft rent</t>
  </si>
  <si>
    <t>Navigation fees, landing fees and other rent</t>
  </si>
  <si>
    <t>Passenger and ground handling services</t>
  </si>
  <si>
    <t>Gain on disposal of aircraft</t>
  </si>
  <si>
    <t>Special charge</t>
  </si>
  <si>
    <t>Transaction-related expenses</t>
  </si>
  <si>
    <t>Other</t>
  </si>
  <si>
    <t>Operating Income</t>
  </si>
  <si>
    <t>Non-operating (Income) Expenses</t>
  </si>
  <si>
    <t>Interest income</t>
  </si>
  <si>
    <t>Interest expense</t>
  </si>
  <si>
    <t>Capitalized interest</t>
  </si>
  <si>
    <t>Loss on early extinguishment of debt</t>
  </si>
  <si>
    <t>Other Income - net</t>
  </si>
  <si>
    <t>Unrealized (gain) loss on financial instruments</t>
  </si>
  <si>
    <t>Other (income) expense</t>
  </si>
  <si>
    <t>Total Non-operating (Income) Expenses</t>
  </si>
  <si>
    <t>Income from continuing operations before income taxes</t>
  </si>
  <si>
    <t>Profit before Zakat and Income tax</t>
  </si>
  <si>
    <t>Income tax expense (benefit)</t>
  </si>
  <si>
    <t>Income from continuing operations, net of taxes</t>
  </si>
  <si>
    <t>Loss from discontinued operations, net of taxes</t>
  </si>
  <si>
    <t>Net Income</t>
  </si>
  <si>
    <t>Earnings per share from continuing operations:</t>
  </si>
  <si>
    <t>Operating Loss</t>
  </si>
  <si>
    <t>Basic</t>
  </si>
  <si>
    <t>Diluted</t>
  </si>
  <si>
    <t>Loss per share from discontinued operations:</t>
  </si>
  <si>
    <t>Earnings per share:</t>
  </si>
  <si>
    <t>Weighted average shares:</t>
  </si>
  <si>
    <t>(in thousands)</t>
  </si>
  <si>
    <t>Other comprehensive income:</t>
  </si>
  <si>
    <t>Total Other Comprehensive Income</t>
  </si>
  <si>
    <t>Reclassification to interest expense</t>
  </si>
  <si>
    <t>Income tax expense</t>
  </si>
  <si>
    <t>Other comprehensive income</t>
  </si>
  <si>
    <t>Comprehensive Income</t>
  </si>
  <si>
    <t>Operating Activities:</t>
  </si>
  <si>
    <t>Operating Activities</t>
  </si>
  <si>
    <t>Less: Loss from discontinued operations, net of taxes</t>
  </si>
  <si>
    <t>Adjustments to reconcile Net Income to net cash provided by operating activities:</t>
  </si>
  <si>
    <t>Accretion of debt securities discount</t>
  </si>
  <si>
    <t>Provision for allowance for doubtful accounts</t>
  </si>
  <si>
    <t>Special charge, net of cash payments</t>
  </si>
  <si>
    <t>Stock-based compensation</t>
  </si>
  <si>
    <t>Changes in:</t>
  </si>
  <si>
    <t>Accounts receivable</t>
  </si>
  <si>
    <t>Prepaid expenses, current assets and other assets</t>
  </si>
  <si>
    <t>Accounts payable and accrued liabilities</t>
  </si>
  <si>
    <t>Net cash provided by operating activities</t>
  </si>
  <si>
    <t>Investing Activities:</t>
  </si>
  <si>
    <t>Investing Activities</t>
  </si>
  <si>
    <t>Capital expenditures</t>
  </si>
  <si>
    <t>Payments for flight equipment and modifications</t>
  </si>
  <si>
    <t>Acquisition of business, net of cash acquired</t>
  </si>
  <si>
    <t>Investment in joint venture</t>
  </si>
  <si>
    <t>Proceeds from investments</t>
  </si>
  <si>
    <t>Net cash used for investing activities</t>
  </si>
  <si>
    <t>Financing Activities:</t>
  </si>
  <si>
    <t>Financing Activities</t>
  </si>
  <si>
    <t>Proceeds from debt issuance</t>
  </si>
  <si>
    <t>Payment of debt issuance costs</t>
  </si>
  <si>
    <t>Finance Costs</t>
  </si>
  <si>
    <t>Payments of debt</t>
  </si>
  <si>
    <t>Proceeds from revolving credit facility</t>
  </si>
  <si>
    <t>Payment of revolving credit facility</t>
  </si>
  <si>
    <t>Customer maintenance reserves and deposits received</t>
  </si>
  <si>
    <t>Customer maintenance reserves paid</t>
  </si>
  <si>
    <t>Proceeds from sale of convertible note warrants</t>
  </si>
  <si>
    <t>Payments for convertible note hedges</t>
  </si>
  <si>
    <t>Purchase of treasury stock</t>
  </si>
  <si>
    <t>Excess tax benefit from stock-based compensation</t>
  </si>
  <si>
    <t>Net cash provided by (used for) financing activities</t>
  </si>
  <si>
    <t>Net increase (decrease) in cash, cash equivalents and restricted cash</t>
  </si>
  <si>
    <t>Net increase (decrease) in cash and cash equivalents</t>
  </si>
  <si>
    <t>Cash, cash equivalents and restricted cash at the beginning of period</t>
  </si>
  <si>
    <t>Cash and cash equivalents at beginning of period</t>
  </si>
  <si>
    <t>Cash, cash equivalents and restricted cash at the end of period</t>
  </si>
  <si>
    <t>Noncash Investing and Financing Activities:</t>
  </si>
  <si>
    <t>Acquisition of flight equipment included in Accounts payable and accrued liabilities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</si>
  <si>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</si>
  <si>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</si>
  <si>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</si>
  <si>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</si>
  <si>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</si>
  <si>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other operating expenses</t>
  </si>
  <si>
    <t>other reserves</t>
  </si>
  <si>
    <t>changed value</t>
  </si>
  <si>
    <t>operating revenue</t>
  </si>
  <si>
    <t>aircraft fuel</t>
  </si>
  <si>
    <t>maintenance, materials and repairs</t>
  </si>
  <si>
    <t>travel</t>
  </si>
  <si>
    <t>aircraft rent</t>
  </si>
  <si>
    <t>navigation fees, landing fees and other rent</t>
  </si>
  <si>
    <t>passenger and group handling services</t>
  </si>
  <si>
    <t>special charge</t>
  </si>
  <si>
    <t>transaction-related expenses</t>
  </si>
  <si>
    <t>other</t>
  </si>
  <si>
    <t>added from pdf</t>
  </si>
  <si>
    <t>non-operating income</t>
  </si>
  <si>
    <t>loss on early extinguishment of debt</t>
  </si>
  <si>
    <t>deleted this value</t>
  </si>
  <si>
    <t>changed this value</t>
  </si>
  <si>
    <t>deleted this value, added to row 36</t>
  </si>
  <si>
    <t>gain on disposal of aircraft</t>
  </si>
  <si>
    <t>matches operating revenue value</t>
  </si>
  <si>
    <t>matches operating expenses value</t>
  </si>
  <si>
    <t>matches operating income value</t>
  </si>
  <si>
    <t>operating profit and (loss)</t>
  </si>
  <si>
    <t>operating income</t>
  </si>
  <si>
    <t>total operating expenses</t>
  </si>
  <si>
    <t>changed sign to positive</t>
  </si>
  <si>
    <t>changed sign</t>
  </si>
  <si>
    <t>added from pdf, changed sign to negative</t>
  </si>
  <si>
    <t>items from OCI</t>
  </si>
  <si>
    <t>loss from discontinued operations, net of taxes</t>
  </si>
  <si>
    <t>wrong value; changed this</t>
  </si>
  <si>
    <t>property, plant and equipment</t>
  </si>
  <si>
    <t>flight equipment</t>
  </si>
  <si>
    <t>ground equipment</t>
  </si>
  <si>
    <t>flight equipment modifications in progress</t>
  </si>
  <si>
    <t>moved down from row 126</t>
  </si>
  <si>
    <t>restricted cash</t>
  </si>
  <si>
    <t>deferred costs and other assets</t>
  </si>
  <si>
    <t>accounts payable</t>
  </si>
  <si>
    <t>current portion of long-term debt and capital lease</t>
  </si>
  <si>
    <t>added value</t>
  </si>
  <si>
    <t>long term debt</t>
  </si>
  <si>
    <t>long-term debt and capital lease</t>
  </si>
  <si>
    <t>financial instruments and other liabilities</t>
  </si>
  <si>
    <t>ordinary shares</t>
  </si>
  <si>
    <t>common stock, $0.01 par value</t>
  </si>
  <si>
    <t>additional paid-in capital</t>
  </si>
  <si>
    <t>accumulated other comprehensive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</si>
</sst>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12" borderId="0" xfId="0" applyFont="1" applyFill="1"/>
    <xf numFmtId="3" fontId="0" fillId="13" borderId="0" xfId="0" applyFill="1"/>
    <xf numFmtId="3" fontId="4" fillId="13" borderId="0" xfId="0" applyFont="1" applyFill="1"/>
    <xf numFmtId="3" fontId="0" fillId="0" borderId="0" xfId="0" applyNumberFormat="1"/>
    <xf numFmtId="3" fontId="0" fillId="12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9A-40EA-AE73-94C212FEC6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48-41C7-95B0-93247D0C15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F7-4DE0-B1A4-757B35F5D5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F2-47CF-B8A6-CECD420701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E7-4148-86E0-18C010603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A3-4E2D-9A53-498B51A9CA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FD-4422-8936-551EBC4A1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F3-4633-A518-3B46C33B24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52-4F39-A192-38A1E3E7E4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4A-4B0C-9610-D491D184BF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A-40CF-A947-10D70B4317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ED-4FCB-BDD2-BCBC7EE91C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E9-4D3F-B30C-5C32A2D678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44-415A-82BF-2F787AFFB9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DF-4C44-B84A-74080F5BAF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270567</v>
      </c>
      <c r="G6" s="7">
        <f t="shared" ref="G6:O6" si="1">IF(G4=$BF$1,"",G71)</f>
        <v>223473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4904961</v>
      </c>
      <c r="G7" s="7">
        <f t="shared" ref="G7:O7" si="2">IF(G4=$BF$1,"",G128)</f>
        <v>4367876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629831</v>
      </c>
      <c r="G8" s="7">
        <f t="shared" ref="G8:O8" si="3">IF(G4=$BF$1,"",G161)</f>
        <v>587586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817733</v>
      </c>
      <c r="G9" s="7">
        <f t="shared" ref="G9:O9" si="4">IF(G4=$BF$1,"",G189)</f>
        <v>738596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2649095</v>
      </c>
      <c r="G10" s="7">
        <f t="shared" ref="G10:O10" si="5">IF(G4=$BF$1,"",G210)</f>
        <v>2427010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2067964</v>
      </c>
      <c r="G11" s="7">
        <f t="shared" ref="G11:O11" si="6">IF(G4=$BF$1,"",G227)</f>
        <v>1789856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5534792</v>
      </c>
      <c r="G12" s="35">
        <f t="shared" ref="G12:O12" si="7">IF(G4=$BF$1,"",SUM(G7:G8))</f>
        <v>4955462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5534792</v>
      </c>
      <c r="G13" s="35">
        <f t="shared" ref="G13:O13" si="8">IF(G4=$BF$1,"",SUM(G9:G11))</f>
        <v>4955462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2677724</v>
      </c>
      <c r="G24">
        <v>2156460</v>
      </c>
      <c r="P24" s="45" t="s">
        <v>511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2677724</v>
      </c>
      <c r="G30" s="7">
        <f>IF(G4=$BF$1,"",G24-G25+ABS(G26)-G27-G28-G29)</f>
        <v>2156460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7" t="s">
        <v>529</v>
      </c>
    </row>
    <row r="31" spans="5:16">
      <c r="E31" s="12" t="s">
        <v>33</v>
      </c>
      <c r="F31"/>
      <c r="G31"/>
      <c r="P31" s="45" t="s">
        <v>525</v>
      </c>
    </row>
    <row r="32" spans="5:16">
      <c r="E32" s="1" t="s">
        <v>34</v>
      </c>
      <c r="F32">
        <v>536120</v>
      </c>
      <c r="G32">
        <v>456075</v>
      </c>
      <c r="H32">
        <v>424332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>
        <f>467569+359300+166487+162444+158911+118973+9374+2111+195553</f>
        <v>1640722</v>
      </c>
      <c r="G36">
        <f>333046+273676+144699+142945+116318+107787+106+4509+168643-31</f>
        <v>1291698</v>
      </c>
      <c r="H36">
        <v>206106</v>
      </c>
      <c r="P36" s="45" t="s">
        <v>511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217340</v>
      </c>
      <c r="G40">
        <v>166713</v>
      </c>
      <c r="H40">
        <v>148876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2394182</v>
      </c>
      <c r="G43" s="7">
        <f>G32+G33+G34+G35+G36+G37+G38+G39+G40+G41+G42</f>
        <v>1914486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7" t="s">
        <v>530</v>
      </c>
    </row>
    <row r="44" spans="5:16">
      <c r="E44" s="6" t="s">
        <v>46</v>
      </c>
      <c r="F44" s="7">
        <f>F30+F31-F43</f>
        <v>283542</v>
      </c>
      <c r="G44" s="7">
        <f>IF(G4=$BF$1,"",G30+G31-G43)</f>
        <v>241974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7" t="s">
        <v>531</v>
      </c>
    </row>
    <row r="45" spans="5:16">
      <c r="E45" s="1" t="s">
        <v>47</v>
      </c>
      <c r="F45"/>
      <c r="G45"/>
      <c r="P45" s="45" t="s">
        <v>527</v>
      </c>
    </row>
    <row r="46" spans="5:16">
      <c r="E46" s="1" t="s">
        <v>48</v>
      </c>
      <c r="F46">
        <v>123114</v>
      </c>
      <c r="G46">
        <v>-12533</v>
      </c>
      <c r="H46">
        <v>2888</v>
      </c>
      <c r="P46" s="45" t="s">
        <v>535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119378</v>
      </c>
      <c r="G49">
        <v>99687</v>
      </c>
      <c r="H49">
        <v>84650</v>
      </c>
      <c r="P49" s="45" t="s">
        <v>535</v>
      </c>
    </row>
    <row r="50" spans="5:16">
      <c r="E50" s="1" t="s">
        <v>52</v>
      </c>
    </row>
    <row r="51" spans="5:16">
      <c r="E51" s="1" t="s">
        <v>53</v>
      </c>
      <c r="F51">
        <v>-4727</v>
      </c>
      <c r="G51">
        <v>-7389</v>
      </c>
      <c r="H51">
        <v>-3313</v>
      </c>
    </row>
    <row r="52" spans="5:16">
      <c r="E52" s="1" t="s">
        <v>54</v>
      </c>
      <c r="F52">
        <v>6710</v>
      </c>
      <c r="G52">
        <v>6009</v>
      </c>
      <c r="H52">
        <v>-5532</v>
      </c>
      <c r="P52" s="45" t="s">
        <v>536</v>
      </c>
    </row>
    <row r="53" spans="5:16">
      <c r="E53" s="1" t="s">
        <v>55</v>
      </c>
    </row>
    <row r="54" spans="5:16">
      <c r="E54" s="1" t="s">
        <v>56</v>
      </c>
      <c r="F54">
        <v>10659</v>
      </c>
      <c r="G54">
        <v>387</v>
      </c>
      <c r="H54">
        <v>-630</v>
      </c>
      <c r="P54" s="45" t="s">
        <v>526</v>
      </c>
    </row>
    <row r="55" spans="5:16">
      <c r="E55" s="1" t="s">
        <v>57</v>
      </c>
      <c r="F55" s="48">
        <v>0</v>
      </c>
      <c r="G55" s="48">
        <v>-167</v>
      </c>
      <c r="P55" s="45" t="s">
        <v>537</v>
      </c>
    </row>
    <row r="56" spans="5:16">
      <c r="E56" s="1" t="s">
        <v>58</v>
      </c>
      <c r="F56"/>
      <c r="G56"/>
      <c r="P56" s="45" t="s">
        <v>525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309374</v>
      </c>
      <c r="G59" s="7">
        <f>IF(G4=$BF$1,"",G44+G45+G46+G47+G48-G49-G50-G51+G52-G53+G54+G55-G56+G57+G58)</f>
        <v>143372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38727</v>
      </c>
      <c r="G60">
        <v>-80966</v>
      </c>
      <c r="H60">
        <v>46791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270647</v>
      </c>
      <c r="G67" s="7">
        <f>IF(G4=$BF$1,"",SUM(G59,-G60,-ABS(G61),-G62,-G66))</f>
        <v>224338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</row>
    <row r="69" spans="5:16">
      <c r="E69" s="1" t="s">
        <v>68</v>
      </c>
      <c r="F69" s="38">
        <v>-80</v>
      </c>
      <c r="G69" s="38">
        <v>-865</v>
      </c>
      <c r="P69" s="45" t="s">
        <v>522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270567</v>
      </c>
      <c r="G71" s="7">
        <f t="shared" ref="G71:O71" si="14">IF(G4=$BF$1,"",SUM(G67:G70))</f>
        <v>223473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6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270567</v>
      </c>
      <c r="G83" s="7">
        <f t="shared" ref="G83:O83" si="15">IF(G4=$BF$1,"",SUM(G71:G82))</f>
        <v>223473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5213734+75939+32916</f>
        <v>5322589</v>
      </c>
      <c r="G92">
        <f>4447097+70951+186302</f>
        <v>4704350</v>
      </c>
      <c r="P92" s="45" t="s">
        <v>540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5322589</v>
      </c>
      <c r="G98" s="7">
        <f>IF(G4=$BF$1,"",G89+G90+G91+G92+G93+G94+G95+G96)</f>
        <v>4704350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>
        <v>-860354</v>
      </c>
      <c r="G99">
        <v>-701249</v>
      </c>
    </row>
    <row r="100" spans="5:16">
      <c r="E100" s="6" t="s">
        <v>90</v>
      </c>
      <c r="F100" s="7">
        <f>F98+F99</f>
        <v>4462235</v>
      </c>
      <c r="G100" s="7">
        <f t="shared" ref="G100:O100" si="17">IF(G4=$BF$1,"",G98+G99)</f>
        <v>4003101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</row>
    <row r="102" spans="5:16">
      <c r="E102" s="1" t="s">
        <v>92</v>
      </c>
      <c r="F102">
        <v>97689</v>
      </c>
      <c r="G102">
        <v>106485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97689</v>
      </c>
      <c r="G104" s="7">
        <f t="shared" ref="G104:O104" si="18">IF(G4=$BF$1,"",G101+G102+G103)</f>
        <v>106485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635</v>
      </c>
      <c r="G113">
        <v>15371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2" t="s">
        <v>113</v>
      </c>
      <c r="F126"/>
      <c r="G126">
        <v>242919</v>
      </c>
      <c r="P126" s="45"/>
    </row>
    <row r="127" spans="5:16">
      <c r="E127" s="12" t="s">
        <v>114</v>
      </c>
      <c r="F127">
        <v>344402</v>
      </c>
      <c r="G127"/>
      <c r="P127" s="49"/>
    </row>
    <row r="128" spans="5:16">
      <c r="E128" s="6" t="s">
        <v>115</v>
      </c>
      <c r="F128" s="7">
        <f>F100+SUM(F104:F127)</f>
        <v>4904961</v>
      </c>
      <c r="G128" s="7">
        <f t="shared" ref="G128:O128" si="19">IF(G4=$BF$1,"",G100+SUM(G104:G126))</f>
        <v>4367876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221501</v>
      </c>
      <c r="G130">
        <v>280809</v>
      </c>
    </row>
    <row r="131" spans="5:15">
      <c r="E131" s="1" t="s">
        <v>118</v>
      </c>
      <c r="F131">
        <v>15624</v>
      </c>
      <c r="G131">
        <v>13604</v>
      </c>
    </row>
    <row r="132" spans="5:15">
      <c r="E132" s="1" t="s">
        <v>119</v>
      </c>
    </row>
    <row r="133" spans="5:15">
      <c r="E133" s="1" t="s">
        <v>120</v>
      </c>
      <c r="F133">
        <v>269320</v>
      </c>
      <c r="G133">
        <v>194478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506445</v>
      </c>
      <c r="G140" s="7">
        <f t="shared" ref="G140:O140" si="20">IF(G4=$BF$1,"",G130+G131+G132+G133+G134+G135+G136+G139)</f>
        <v>488891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111106</v>
      </c>
      <c r="G154">
        <v>74294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1040</v>
      </c>
      <c r="G157">
        <v>13346</v>
      </c>
    </row>
    <row r="158" spans="5:16">
      <c r="E158" s="1" t="s">
        <v>138</v>
      </c>
    </row>
    <row r="159" spans="5:16">
      <c r="E159" s="12" t="s">
        <v>139</v>
      </c>
      <c r="F159" s="38">
        <v>11240</v>
      </c>
      <c r="G159" s="38">
        <v>11055</v>
      </c>
      <c r="P159" s="45" t="s">
        <v>545</v>
      </c>
    </row>
    <row r="160" spans="5:16">
      <c r="E160" s="6" t="s">
        <v>140</v>
      </c>
      <c r="F160" s="7">
        <f>F146+F147+F148+F149+F150+F151+F152+F153+F154+F155+F156+F157+F158+F159</f>
        <v>123386</v>
      </c>
      <c r="G160" s="7">
        <f>IF(G4=$BF$1,"",G146+G147+G148+G149+G150+G151+G152+G153+G154+G155+G156+G157+G158+G159)</f>
        <v>98695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629831</v>
      </c>
      <c r="G161" s="7">
        <f t="shared" ref="G161:O161" si="22">IF(G4=$BF$1,"",G140+G145+G160)</f>
        <v>587586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465669</v>
      </c>
      <c r="G172">
        <v>454843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87229</v>
      </c>
      <c r="G184" s="38">
        <v>65740</v>
      </c>
      <c r="P184" s="45" t="s">
        <v>522</v>
      </c>
    </row>
    <row r="185" spans="5:16">
      <c r="E185" s="12" t="s">
        <v>162</v>
      </c>
    </row>
    <row r="187" spans="5:16">
      <c r="E187" s="12" t="s">
        <v>163</v>
      </c>
      <c r="F187">
        <v>264835</v>
      </c>
      <c r="G187">
        <v>218013</v>
      </c>
      <c r="P187" s="45" t="s">
        <v>511</v>
      </c>
    </row>
    <row r="188" spans="5:16">
      <c r="E188" s="1" t="s">
        <v>164</v>
      </c>
      <c r="F188">
        <v>0</v>
      </c>
      <c r="G188">
        <v>0</v>
      </c>
    </row>
    <row r="189" spans="5:16">
      <c r="E189" s="6" t="s">
        <v>13</v>
      </c>
      <c r="F189" s="7">
        <f>SUM(F163:F188)</f>
        <v>817733</v>
      </c>
      <c r="G189" s="7">
        <f t="shared" ref="G189:O189" si="23">IF(G4=$BF$1,"",SUM(G163:G188))</f>
        <v>738596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2205005</v>
      </c>
      <c r="G194" s="38">
        <v>2008986</v>
      </c>
      <c r="P194" s="45" t="s">
        <v>550</v>
      </c>
    </row>
    <row r="195" spans="5:16">
      <c r="E195" s="1" t="s">
        <v>170</v>
      </c>
      <c r="F195"/>
      <c r="G195"/>
      <c r="P195" s="45" t="s">
        <v>525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256970</v>
      </c>
      <c r="G203">
        <v>214694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2" t="s">
        <v>180</v>
      </c>
      <c r="F209">
        <v>187120</v>
      </c>
      <c r="G209">
        <v>203330</v>
      </c>
      <c r="P209" s="45" t="s">
        <v>550</v>
      </c>
    </row>
    <row r="210" spans="5:16">
      <c r="E210" s="6" t="s">
        <v>14</v>
      </c>
      <c r="F210" s="7">
        <f>SUM(F191:F209)</f>
        <v>2649095</v>
      </c>
      <c r="G210" s="7">
        <f t="shared" ref="G210:O210" si="24">IF(G4=$BF$1,"",SUM(G191:G209))</f>
        <v>2427010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736035+306</f>
        <v>736341</v>
      </c>
      <c r="G212">
        <f>715735+301</f>
        <v>716036</v>
      </c>
      <c r="P212" s="45" t="s">
        <v>511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1539956</v>
      </c>
      <c r="G217">
        <v>1271545</v>
      </c>
    </row>
    <row r="218" spans="5:16">
      <c r="E218" s="1" t="s">
        <v>188</v>
      </c>
    </row>
    <row r="219" spans="5:16">
      <c r="E219" s="1" t="s">
        <v>189</v>
      </c>
      <c r="F219">
        <v>-3832</v>
      </c>
      <c r="G219">
        <v>-3993</v>
      </c>
      <c r="P219" s="45" t="s">
        <v>526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-204501</v>
      </c>
      <c r="G223">
        <v>-193732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2067964</v>
      </c>
      <c r="G227" s="7">
        <f t="shared" ref="G227:O227" si="25">IF(G4=$BF$1,"",SUM(G212:G226))</f>
        <v>1789856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270567</v>
      </c>
      <c r="G267">
        <v>223473</v>
      </c>
      <c r="H267">
        <v>41516</v>
      </c>
    </row>
    <row r="268" spans="5:15">
      <c r="E268" s="1" t="s">
        <v>233</v>
      </c>
      <c r="F268">
        <v>270647</v>
      </c>
      <c r="G268">
        <v>224338</v>
      </c>
      <c r="H268">
        <v>42625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265553</v>
      </c>
      <c r="G271">
        <v>197463</v>
      </c>
      <c r="H271">
        <v>168721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  <c r="F276">
        <v>0</v>
      </c>
      <c r="G276">
        <v>167</v>
      </c>
      <c r="H276">
        <v>132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20305</v>
      </c>
      <c r="G285">
        <v>22319</v>
      </c>
      <c r="H285">
        <v>32724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390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285858</v>
      </c>
      <c r="G296" s="7">
        <f>IF(G4=$BF$1,"",G271+G272+G273+G274+G275+G276+G277+G278+G279+G280+G281+G282+G283+G284+G285+G286+G287+G288+G289+G290+G291+G292+G293+G294+G295)</f>
        <v>219949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556425</v>
      </c>
      <c r="G297" s="7">
        <f t="shared" ref="G297:O297" si="27">IF(G4=$BF$1,"",MIN(F267,F268,F269)+F296)</f>
        <v>556425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-57081</v>
      </c>
      <c r="G302">
        <v>-67341</v>
      </c>
      <c r="H302">
        <v>-29455</v>
      </c>
    </row>
    <row r="303" spans="5:15">
      <c r="E303" s="1" t="s">
        <v>265</v>
      </c>
      <c r="F303">
        <v>-74038</v>
      </c>
      <c r="G303">
        <v>-33201</v>
      </c>
      <c r="H303">
        <v>22974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72310</v>
      </c>
      <c r="G313">
        <v>58535</v>
      </c>
      <c r="H313">
        <v>-64059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-58809</v>
      </c>
      <c r="G318" s="7">
        <f>IF(G4=$BF$1,"",G299+G300+G301+G302+G303+G304+G305+G306+G307+G308+G309+G310+G311+G312+G313+G314+G315+G316+G317)</f>
        <v>-42007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497616</v>
      </c>
      <c r="G319" s="7">
        <f t="shared" ref="G319:O319" si="28">IF(G4=$BF$1,"",G297+G318)</f>
        <v>514418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497616</v>
      </c>
      <c r="G326" s="7">
        <f t="shared" ref="G326:O326" si="30">IF(G4=$BF$1,"",G325+G319)</f>
        <v>514418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-114415</v>
      </c>
      <c r="G328">
        <v>-87555</v>
      </c>
      <c r="H328">
        <v>-152109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13604</v>
      </c>
      <c r="G332">
        <v>4462</v>
      </c>
      <c r="H332">
        <v>11714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  <c r="F336">
        <v>-1050</v>
      </c>
      <c r="G336">
        <v>0</v>
      </c>
      <c r="H336">
        <v>0</v>
      </c>
    </row>
    <row r="337" spans="5:15">
      <c r="E337" s="6" t="s">
        <v>296</v>
      </c>
      <c r="F337" s="7">
        <f>SUM(F328:F336)</f>
        <v>-101861</v>
      </c>
      <c r="G337" s="7">
        <f>IF(G4=$BF$1,"",SUM(G328:G336))</f>
        <v>-83093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-10769</v>
      </c>
      <c r="G339">
        <v>-10613</v>
      </c>
      <c r="H339">
        <v>-11275</v>
      </c>
    </row>
    <row r="340" spans="5:15">
      <c r="E340" s="1" t="s">
        <v>299</v>
      </c>
      <c r="F340">
        <v>471625</v>
      </c>
      <c r="G340">
        <v>658716</v>
      </c>
      <c r="H340">
        <v>103492</v>
      </c>
    </row>
    <row r="341" spans="5:15">
      <c r="E341" s="12" t="s">
        <v>300</v>
      </c>
      <c r="F341">
        <v>-250015</v>
      </c>
      <c r="G341">
        <v>-207093</v>
      </c>
      <c r="H341">
        <v>-179153</v>
      </c>
    </row>
    <row r="342" spans="5:15">
      <c r="E342" s="1" t="s">
        <v>301</v>
      </c>
    </row>
    <row r="343" spans="5:15">
      <c r="E343" s="1" t="s">
        <v>302</v>
      </c>
      <c r="F343">
        <v>-135000</v>
      </c>
      <c r="G343">
        <v>-150000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-9622</v>
      </c>
      <c r="G349">
        <v>-14664</v>
      </c>
      <c r="H349">
        <v>-4034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66219</v>
      </c>
      <c r="G352" s="7">
        <f>IF(G4=$BF$1,"",SUM(G339:G351))</f>
        <v>276346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461974</v>
      </c>
      <c r="G353" s="7">
        <f t="shared" ref="G353:O353" si="33">IF(G4=$BF$1,"",G326+G337+G352)</f>
        <v>707671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461974</v>
      </c>
      <c r="G355" s="7">
        <f t="shared" ref="G355:O355" si="34">IF(G4=$BF$1,"",G353+G354)</f>
        <v>707671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291864</v>
      </c>
      <c r="G356">
        <v>138250</v>
      </c>
      <c r="H356">
        <v>438931</v>
      </c>
    </row>
    <row r="357" spans="5:15">
      <c r="E357" s="6" t="s">
        <v>316</v>
      </c>
      <c r="F357" s="7">
        <f>F355+F356</f>
        <v>753838</v>
      </c>
      <c r="G357" s="7">
        <f t="shared" ref="G357:O357" si="35">IF(G4=$BF$1,"",G355+G356)</f>
        <v>845921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0.24172208155959304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0.21073686754104523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0.11690736403588606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0.10588918051300283</v>
      </c>
      <c r="G370" s="27">
        <f t="shared" si="42"/>
        <v>0.11220889791602905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0.10104364751557667</v>
      </c>
      <c r="G371" s="28">
        <f t="shared" si="43"/>
        <v>0.1036295595559389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4.8884763871885339E-2</v>
      </c>
      <c r="G372" s="27">
        <f t="shared" si="44"/>
        <v>4.5096299800099368E-2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0.1308373840163562</v>
      </c>
      <c r="G373" s="27">
        <f t="shared" si="45"/>
        <v>0.12485529562154721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0.62637006051898603</v>
      </c>
      <c r="G376" s="30">
        <f t="shared" si="47"/>
        <v>0.63881147711353659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1.6764450444978733</v>
      </c>
      <c r="G377" s="30">
        <f t="shared" si="48"/>
        <v>1.7686372534997228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2.375161252492084</v>
      </c>
      <c r="G378" s="30">
        <f t="shared" si="49"/>
        <v>2.427337566583406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0.77021595068316917</v>
      </c>
      <c r="G382" s="32">
        <f t="shared" si="51"/>
        <v>0.79554451960205574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0.77021595068316917</v>
      </c>
      <c r="G383" s="32">
        <f t="shared" si="52"/>
        <v>0.79554451960205574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0.28997851376916428</v>
      </c>
      <c r="G384" s="32">
        <f t="shared" si="53"/>
        <v>0.39861169028806004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0.60853114647446049</v>
      </c>
      <c r="G385" s="32">
        <f t="shared" si="54"/>
        <v>0.69648089077113873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221501</v>
      </c>
      <c r="G418" s="17">
        <f>G130-G417</f>
        <v>280809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465669</v>
      </c>
      <c r="G433" s="17">
        <f>G172-G432</f>
        <v>454843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504</v>
      </c>
      <c r="B1" s="39" t="s">
        <v>505</v>
      </c>
      <c r="C1" s="39" t="s">
        <v>506</v>
      </c>
      <c r="D1" s="39"/>
    </row>
    <row r="2" spans="1:4">
      <c r="A2" s="41" t="s">
        <v>512</v>
      </c>
      <c r="B2" s="41" t="s">
        <v>507</v>
      </c>
      <c r="C2" s="39" t="s">
        <v>508</v>
      </c>
      <c r="D2" s="39"/>
    </row>
    <row r="3" spans="1:4">
      <c r="A3" s="41" t="s">
        <v>513</v>
      </c>
      <c r="B3" s="41" t="s">
        <v>509</v>
      </c>
      <c r="C3" s="39" t="s">
        <v>508</v>
      </c>
    </row>
    <row r="4" spans="1:4">
      <c r="A4" s="41" t="s">
        <v>514</v>
      </c>
      <c r="B4" s="41" t="s">
        <v>509</v>
      </c>
      <c r="C4" s="39" t="s">
        <v>508</v>
      </c>
    </row>
    <row r="5" spans="1:4">
      <c r="A5" s="41" t="s">
        <v>515</v>
      </c>
      <c r="B5" s="41" t="s">
        <v>509</v>
      </c>
      <c r="C5" s="39" t="s">
        <v>508</v>
      </c>
    </row>
    <row r="6" spans="1:4">
      <c r="A6" s="41" t="s">
        <v>516</v>
      </c>
      <c r="B6" s="41" t="s">
        <v>509</v>
      </c>
      <c r="C6" s="39" t="s">
        <v>508</v>
      </c>
    </row>
    <row r="7" spans="1:4">
      <c r="A7" s="41" t="s">
        <v>517</v>
      </c>
      <c r="B7" s="41" t="s">
        <v>509</v>
      </c>
      <c r="C7" s="39" t="s">
        <v>508</v>
      </c>
    </row>
    <row r="8" spans="1:4">
      <c r="A8" s="41" t="s">
        <v>518</v>
      </c>
      <c r="B8" s="41" t="s">
        <v>509</v>
      </c>
      <c r="C8" s="39" t="s">
        <v>508</v>
      </c>
    </row>
    <row r="9" spans="1:4">
      <c r="A9" s="41" t="s">
        <v>519</v>
      </c>
      <c r="B9" s="41" t="s">
        <v>509</v>
      </c>
      <c r="C9" s="39" t="s">
        <v>508</v>
      </c>
    </row>
    <row r="10" spans="1:4">
      <c r="A10" s="41" t="s">
        <v>520</v>
      </c>
      <c r="B10" s="41" t="s">
        <v>509</v>
      </c>
      <c r="C10" s="39" t="s">
        <v>508</v>
      </c>
    </row>
    <row r="11" spans="1:4">
      <c r="A11" s="41" t="s">
        <v>521</v>
      </c>
      <c r="B11" s="41" t="s">
        <v>509</v>
      </c>
      <c r="C11" s="39" t="s">
        <v>508</v>
      </c>
    </row>
    <row r="12" spans="1:4">
      <c r="A12" s="41" t="s">
        <v>524</v>
      </c>
      <c r="B12" s="41" t="s">
        <v>523</v>
      </c>
      <c r="C12" s="39" t="s">
        <v>508</v>
      </c>
    </row>
    <row r="13" spans="1:4">
      <c r="A13" s="42" t="s">
        <v>528</v>
      </c>
      <c r="B13" s="41" t="s">
        <v>509</v>
      </c>
      <c r="C13" s="39" t="s">
        <v>508</v>
      </c>
    </row>
    <row r="14" spans="1:4">
      <c r="A14" s="41" t="s">
        <v>533</v>
      </c>
      <c r="B14" s="41" t="s">
        <v>532</v>
      </c>
      <c r="C14" s="39" t="s">
        <v>508</v>
      </c>
    </row>
    <row r="15" spans="1:4">
      <c r="A15" s="41" t="s">
        <v>534</v>
      </c>
      <c r="B15" s="41" t="s">
        <v>534</v>
      </c>
      <c r="C15" s="39" t="s">
        <v>508</v>
      </c>
    </row>
    <row r="16" spans="1:4">
      <c r="A16" s="41" t="s">
        <v>539</v>
      </c>
      <c r="B16" s="41" t="s">
        <v>538</v>
      </c>
      <c r="C16" s="39" t="s">
        <v>508</v>
      </c>
    </row>
    <row r="17" spans="1:3">
      <c r="A17" s="41" t="s">
        <v>542</v>
      </c>
      <c r="B17" s="41" t="s">
        <v>541</v>
      </c>
      <c r="C17" s="39" t="s">
        <v>508</v>
      </c>
    </row>
    <row r="18" spans="1:3">
      <c r="A18" s="43" t="s">
        <v>543</v>
      </c>
      <c r="B18" s="41" t="s">
        <v>541</v>
      </c>
      <c r="C18" s="39" t="s">
        <v>508</v>
      </c>
    </row>
    <row r="19" spans="1:3">
      <c r="A19" s="43" t="s">
        <v>544</v>
      </c>
      <c r="B19" s="44" t="s">
        <v>541</v>
      </c>
      <c r="C19" s="39" t="s">
        <v>508</v>
      </c>
    </row>
    <row r="20" spans="1:3">
      <c r="A20" s="43" t="s">
        <v>546</v>
      </c>
      <c r="B20" s="44" t="s">
        <v>139</v>
      </c>
      <c r="C20" s="39" t="s">
        <v>508</v>
      </c>
    </row>
    <row r="21" spans="1:3">
      <c r="A21" s="43" t="s">
        <v>547</v>
      </c>
      <c r="B21" s="44" t="s">
        <v>113</v>
      </c>
      <c r="C21" s="39" t="s">
        <v>508</v>
      </c>
    </row>
    <row r="22" spans="1:3">
      <c r="A22" s="43" t="s">
        <v>548</v>
      </c>
      <c r="B22" s="44" t="s">
        <v>161</v>
      </c>
      <c r="C22" s="39" t="s">
        <v>508</v>
      </c>
    </row>
    <row r="23" spans="1:3">
      <c r="A23" s="43" t="s">
        <v>549</v>
      </c>
      <c r="B23" s="44" t="s">
        <v>163</v>
      </c>
      <c r="C23" s="39" t="s">
        <v>508</v>
      </c>
    </row>
    <row r="24" spans="1:3">
      <c r="A24" s="44" t="s">
        <v>552</v>
      </c>
      <c r="B24" s="44" t="s">
        <v>551</v>
      </c>
      <c r="C24" s="39" t="s">
        <v>508</v>
      </c>
    </row>
    <row r="25" spans="1:3">
      <c r="A25" s="43" t="s">
        <v>553</v>
      </c>
      <c r="B25" s="44" t="s">
        <v>180</v>
      </c>
      <c r="C25" s="39" t="s">
        <v>508</v>
      </c>
    </row>
    <row r="26" spans="1:3">
      <c r="A26" s="43" t="s">
        <v>555</v>
      </c>
      <c r="B26" s="44" t="s">
        <v>554</v>
      </c>
      <c r="C26" s="39" t="s">
        <v>508</v>
      </c>
    </row>
    <row r="27" spans="1:3">
      <c r="A27" s="43" t="s">
        <v>556</v>
      </c>
      <c r="B27" s="44" t="s">
        <v>554</v>
      </c>
      <c r="C27" s="39" t="s">
        <v>508</v>
      </c>
    </row>
    <row r="28" spans="1:3">
      <c r="A28" s="43" t="s">
        <v>557</v>
      </c>
      <c r="B28" s="44" t="s">
        <v>510</v>
      </c>
      <c r="C28" s="39" t="s">
        <v>508</v>
      </c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2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3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8" workbookViewId="0">
      <selection activeCell="B27" sqref="B27"/>
    </sheetView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116</v>
      </c>
      <c r="B4" t="s">
        <v>80</v>
      </c>
      <c r="C4" t="s">
        <v>80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221501</v>
      </c>
      <c r="F5">
        <v>280809</v>
      </c>
    </row>
    <row r="6" spans="1:6">
      <c r="A6" t="s">
        <v>376</v>
      </c>
      <c r="B6" t="s">
        <v>118</v>
      </c>
      <c r="C6" t="s">
        <v>118</v>
      </c>
      <c r="D6" t="s">
        <v>116</v>
      </c>
      <c r="E6">
        <v>15624</v>
      </c>
      <c r="F6">
        <v>13604</v>
      </c>
    </row>
    <row r="7" spans="1:6">
      <c r="A7" t="s">
        <v>377</v>
      </c>
      <c r="B7" t="s">
        <v>113</v>
      </c>
      <c r="C7" t="s">
        <v>113</v>
      </c>
      <c r="D7" t="s">
        <v>80</v>
      </c>
      <c r="E7">
        <v>11240</v>
      </c>
      <c r="F7">
        <v>11055</v>
      </c>
    </row>
    <row r="8" spans="1:6">
      <c r="A8" t="s">
        <v>378</v>
      </c>
      <c r="B8" t="s">
        <v>120</v>
      </c>
      <c r="C8" t="s">
        <v>120</v>
      </c>
      <c r="D8" t="s">
        <v>116</v>
      </c>
      <c r="E8">
        <v>269320</v>
      </c>
      <c r="F8">
        <v>194478</v>
      </c>
    </row>
    <row r="9" spans="1:6">
      <c r="A9" t="s">
        <v>379</v>
      </c>
      <c r="B9" t="s">
        <v>380</v>
      </c>
      <c r="C9" t="s">
        <v>137</v>
      </c>
      <c r="D9" t="s">
        <v>116</v>
      </c>
      <c r="E9">
        <v>1040</v>
      </c>
      <c r="F9">
        <v>13346</v>
      </c>
    </row>
    <row r="10" spans="1:6">
      <c r="A10" t="s">
        <v>381</v>
      </c>
      <c r="B10" t="s">
        <v>134</v>
      </c>
      <c r="C10" t="s">
        <v>134</v>
      </c>
      <c r="D10" t="s">
        <v>116</v>
      </c>
      <c r="E10">
        <v>111106</v>
      </c>
      <c r="F10">
        <v>74294</v>
      </c>
    </row>
    <row r="11" spans="1:6">
      <c r="A11" t="s">
        <v>382</v>
      </c>
      <c r="B11" t="s">
        <v>115</v>
      </c>
      <c r="C11" t="s">
        <v>115</v>
      </c>
      <c r="D11" t="s">
        <v>116</v>
      </c>
      <c r="E11">
        <v>629831</v>
      </c>
      <c r="F11">
        <v>587586</v>
      </c>
    </row>
    <row r="12" spans="1:6">
      <c r="A12" t="s">
        <v>383</v>
      </c>
      <c r="B12" t="s">
        <v>383</v>
      </c>
      <c r="C12" t="s">
        <v>84</v>
      </c>
      <c r="D12" t="s">
        <v>80</v>
      </c>
    </row>
    <row r="13" spans="1:6">
      <c r="A13" t="s">
        <v>384</v>
      </c>
      <c r="B13" t="s">
        <v>84</v>
      </c>
      <c r="C13" t="s">
        <v>84</v>
      </c>
      <c r="D13" t="s">
        <v>80</v>
      </c>
      <c r="E13">
        <v>5213734</v>
      </c>
      <c r="F13">
        <v>4447097</v>
      </c>
    </row>
    <row r="14" spans="1:6">
      <c r="A14" t="s">
        <v>385</v>
      </c>
      <c r="B14" t="s">
        <v>84</v>
      </c>
      <c r="C14" t="s">
        <v>84</v>
      </c>
      <c r="D14" t="s">
        <v>80</v>
      </c>
      <c r="E14">
        <v>75939</v>
      </c>
      <c r="F14">
        <v>70951</v>
      </c>
    </row>
    <row r="15" spans="1:6">
      <c r="A15" t="s">
        <v>386</v>
      </c>
      <c r="B15" t="s">
        <v>89</v>
      </c>
      <c r="C15" t="s">
        <v>89</v>
      </c>
      <c r="D15" t="s">
        <v>80</v>
      </c>
      <c r="E15">
        <v>-860354</v>
      </c>
      <c r="F15">
        <v>-701249</v>
      </c>
    </row>
    <row r="16" spans="1:6">
      <c r="A16" t="s">
        <v>387</v>
      </c>
      <c r="B16" t="s">
        <v>84</v>
      </c>
      <c r="C16" t="s">
        <v>84</v>
      </c>
      <c r="D16" t="s">
        <v>80</v>
      </c>
      <c r="E16">
        <v>32916</v>
      </c>
      <c r="F16">
        <v>186302</v>
      </c>
    </row>
    <row r="17" spans="1:6">
      <c r="A17" t="s">
        <v>388</v>
      </c>
      <c r="B17" t="s">
        <v>383</v>
      </c>
      <c r="C17" t="s">
        <v>84</v>
      </c>
      <c r="D17" t="s">
        <v>80</v>
      </c>
      <c r="E17">
        <v>4462235</v>
      </c>
      <c r="F17">
        <v>4003101</v>
      </c>
    </row>
    <row r="18" spans="1:6">
      <c r="A18" t="s">
        <v>389</v>
      </c>
      <c r="B18" t="s">
        <v>113</v>
      </c>
      <c r="C18" t="s">
        <v>113</v>
      </c>
      <c r="D18" t="s">
        <v>80</v>
      </c>
    </row>
    <row r="19" spans="1:6">
      <c r="A19" t="s">
        <v>390</v>
      </c>
      <c r="B19" t="s">
        <v>103</v>
      </c>
      <c r="C19" t="s">
        <v>103</v>
      </c>
      <c r="D19" t="s">
        <v>80</v>
      </c>
      <c r="E19">
        <v>635</v>
      </c>
      <c r="F19">
        <v>15371</v>
      </c>
    </row>
    <row r="20" spans="1:6">
      <c r="A20" t="s">
        <v>391</v>
      </c>
      <c r="B20" t="s">
        <v>114</v>
      </c>
      <c r="C20" t="s">
        <v>114</v>
      </c>
      <c r="D20" t="s">
        <v>80</v>
      </c>
      <c r="E20">
        <v>344402</v>
      </c>
      <c r="F20">
        <v>242919</v>
      </c>
    </row>
    <row r="21" spans="1:6">
      <c r="A21" t="s">
        <v>392</v>
      </c>
      <c r="B21" t="s">
        <v>393</v>
      </c>
      <c r="C21" t="s">
        <v>92</v>
      </c>
      <c r="D21" t="s">
        <v>80</v>
      </c>
      <c r="E21">
        <v>97689</v>
      </c>
      <c r="F21">
        <v>106485</v>
      </c>
    </row>
    <row r="22" spans="1:6">
      <c r="A22" t="s">
        <v>16</v>
      </c>
      <c r="D22" t="s">
        <v>80</v>
      </c>
      <c r="E22">
        <v>5534792</v>
      </c>
      <c r="F22">
        <v>4955462</v>
      </c>
    </row>
    <row r="23" spans="1:6">
      <c r="A23" t="s">
        <v>394</v>
      </c>
      <c r="D23" t="s">
        <v>80</v>
      </c>
    </row>
    <row r="24" spans="1:6">
      <c r="A24" t="s">
        <v>141</v>
      </c>
      <c r="B24" t="s">
        <v>141</v>
      </c>
      <c r="C24" t="s">
        <v>141</v>
      </c>
      <c r="D24" t="s">
        <v>141</v>
      </c>
    </row>
    <row r="25" spans="1:6">
      <c r="A25" t="s">
        <v>395</v>
      </c>
      <c r="B25" t="s">
        <v>395</v>
      </c>
      <c r="C25" t="s">
        <v>163</v>
      </c>
      <c r="D25" t="s">
        <v>141</v>
      </c>
      <c r="E25">
        <v>87229</v>
      </c>
      <c r="F25">
        <v>65740</v>
      </c>
    </row>
    <row r="26" spans="1:6">
      <c r="A26" t="s">
        <v>396</v>
      </c>
      <c r="B26" t="s">
        <v>151</v>
      </c>
      <c r="C26" t="s">
        <v>151</v>
      </c>
      <c r="D26" t="s">
        <v>141</v>
      </c>
      <c r="E26">
        <v>465669</v>
      </c>
      <c r="F26">
        <v>454843</v>
      </c>
    </row>
    <row r="27" spans="1:6">
      <c r="A27" t="s">
        <v>397</v>
      </c>
      <c r="B27" t="s">
        <v>170</v>
      </c>
      <c r="C27" t="s">
        <v>170</v>
      </c>
      <c r="D27" t="s">
        <v>165</v>
      </c>
      <c r="E27">
        <v>264835</v>
      </c>
      <c r="F27">
        <v>218013</v>
      </c>
    </row>
    <row r="28" spans="1:6">
      <c r="A28" t="s">
        <v>398</v>
      </c>
      <c r="B28" t="s">
        <v>13</v>
      </c>
      <c r="C28" t="s">
        <v>13</v>
      </c>
      <c r="D28" t="s">
        <v>141</v>
      </c>
      <c r="E28">
        <v>817733</v>
      </c>
      <c r="F28">
        <v>738596</v>
      </c>
    </row>
    <row r="29" spans="1:6">
      <c r="A29" t="s">
        <v>399</v>
      </c>
      <c r="B29" t="s">
        <v>164</v>
      </c>
      <c r="C29" t="s">
        <v>164</v>
      </c>
      <c r="D29" t="s">
        <v>141</v>
      </c>
    </row>
    <row r="30" spans="1:6">
      <c r="A30" t="s">
        <v>400</v>
      </c>
      <c r="B30" t="s">
        <v>170</v>
      </c>
      <c r="C30" t="s">
        <v>170</v>
      </c>
      <c r="D30" t="s">
        <v>165</v>
      </c>
      <c r="E30">
        <v>2205005</v>
      </c>
      <c r="F30">
        <v>2008986</v>
      </c>
    </row>
    <row r="31" spans="1:6">
      <c r="A31" t="s">
        <v>401</v>
      </c>
      <c r="B31" t="s">
        <v>178</v>
      </c>
      <c r="C31" t="s">
        <v>178</v>
      </c>
      <c r="D31" t="s">
        <v>165</v>
      </c>
      <c r="E31">
        <v>256970</v>
      </c>
      <c r="F31">
        <v>214694</v>
      </c>
    </row>
    <row r="32" spans="1:6">
      <c r="A32" t="s">
        <v>402</v>
      </c>
      <c r="B32" t="s">
        <v>163</v>
      </c>
      <c r="C32" t="s">
        <v>163</v>
      </c>
      <c r="D32" t="s">
        <v>141</v>
      </c>
      <c r="E32">
        <v>187120</v>
      </c>
      <c r="F32">
        <v>203330</v>
      </c>
    </row>
    <row r="33" spans="1:6">
      <c r="A33" t="s">
        <v>403</v>
      </c>
      <c r="B33" t="s">
        <v>164</v>
      </c>
      <c r="C33" t="s">
        <v>164</v>
      </c>
      <c r="D33" t="s">
        <v>165</v>
      </c>
      <c r="E33">
        <v>2649095</v>
      </c>
      <c r="F33">
        <v>2427010</v>
      </c>
    </row>
    <row r="34" spans="1:6">
      <c r="A34" t="s">
        <v>404</v>
      </c>
      <c r="B34" t="s">
        <v>180</v>
      </c>
      <c r="C34" t="s">
        <v>180</v>
      </c>
      <c r="D34" t="s">
        <v>165</v>
      </c>
    </row>
    <row r="35" spans="1:6">
      <c r="A35" t="s">
        <v>181</v>
      </c>
      <c r="B35" t="s">
        <v>181</v>
      </c>
      <c r="C35" t="s">
        <v>181</v>
      </c>
      <c r="D35" t="s">
        <v>181</v>
      </c>
    </row>
    <row r="36" spans="1:6">
      <c r="A36" t="s">
        <v>405</v>
      </c>
      <c r="B36" t="s">
        <v>181</v>
      </c>
      <c r="C36" t="s">
        <v>181</v>
      </c>
      <c r="D36" t="s">
        <v>181</v>
      </c>
    </row>
    <row r="37" spans="1:6">
      <c r="A37" t="s">
        <v>406</v>
      </c>
      <c r="B37" t="s">
        <v>182</v>
      </c>
      <c r="C37" t="s">
        <v>182</v>
      </c>
      <c r="D37" t="s">
        <v>181</v>
      </c>
    </row>
    <row r="38" spans="1:6">
      <c r="A38" t="s">
        <v>407</v>
      </c>
      <c r="B38" t="s">
        <v>182</v>
      </c>
      <c r="C38" t="s">
        <v>182</v>
      </c>
      <c r="D38" t="s">
        <v>181</v>
      </c>
    </row>
    <row r="39" spans="1:6">
      <c r="A39" t="s">
        <v>408</v>
      </c>
      <c r="D39" t="s">
        <v>181</v>
      </c>
    </row>
    <row r="40" spans="1:6">
      <c r="A40" t="s">
        <v>409</v>
      </c>
      <c r="B40" t="s">
        <v>189</v>
      </c>
      <c r="C40" t="s">
        <v>189</v>
      </c>
      <c r="D40" t="s">
        <v>181</v>
      </c>
      <c r="E40">
        <v>306</v>
      </c>
      <c r="F40">
        <v>301</v>
      </c>
    </row>
    <row r="41" spans="1:6">
      <c r="A41" t="s">
        <v>410</v>
      </c>
      <c r="B41" t="s">
        <v>182</v>
      </c>
      <c r="C41" t="s">
        <v>182</v>
      </c>
      <c r="D41" t="s">
        <v>181</v>
      </c>
      <c r="E41">
        <v>736035</v>
      </c>
      <c r="F41">
        <v>715735</v>
      </c>
    </row>
    <row r="42" spans="1:6">
      <c r="A42" t="s">
        <v>411</v>
      </c>
      <c r="B42" t="s">
        <v>412</v>
      </c>
      <c r="C42" t="s">
        <v>192</v>
      </c>
      <c r="D42" t="s">
        <v>181</v>
      </c>
      <c r="E42">
        <v>-204501</v>
      </c>
      <c r="F42">
        <v>-193732</v>
      </c>
    </row>
    <row r="43" spans="1:6">
      <c r="A43" t="s">
        <v>413</v>
      </c>
      <c r="B43" t="s">
        <v>189</v>
      </c>
      <c r="C43" t="s">
        <v>189</v>
      </c>
      <c r="D43" t="s">
        <v>181</v>
      </c>
      <c r="E43">
        <v>-3832</v>
      </c>
      <c r="F43">
        <v>-3993</v>
      </c>
    </row>
    <row r="44" spans="1:6">
      <c r="A44" t="s">
        <v>414</v>
      </c>
      <c r="B44" t="s">
        <v>187</v>
      </c>
      <c r="C44" t="s">
        <v>187</v>
      </c>
      <c r="D44" t="s">
        <v>181</v>
      </c>
      <c r="E44">
        <v>1539956</v>
      </c>
      <c r="F44">
        <v>1271545</v>
      </c>
    </row>
    <row r="45" spans="1:6">
      <c r="A45" t="s">
        <v>415</v>
      </c>
      <c r="B45" t="s">
        <v>195</v>
      </c>
      <c r="C45" t="s">
        <v>195</v>
      </c>
      <c r="D45" t="s">
        <v>181</v>
      </c>
      <c r="E45">
        <v>2067964</v>
      </c>
      <c r="F45">
        <v>1789856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workbookViewId="0">
      <selection activeCell="A23" sqref="A23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416</v>
      </c>
      <c r="B3" t="s">
        <v>417</v>
      </c>
      <c r="C3" t="s">
        <v>26</v>
      </c>
      <c r="D3" t="s">
        <v>417</v>
      </c>
      <c r="E3">
        <v>2677724</v>
      </c>
      <c r="F3">
        <v>2156460</v>
      </c>
      <c r="G3">
        <v>1839627</v>
      </c>
    </row>
    <row r="4" spans="1:7">
      <c r="A4" t="s">
        <v>418</v>
      </c>
      <c r="B4" t="s">
        <v>58</v>
      </c>
      <c r="C4" t="s">
        <v>58</v>
      </c>
      <c r="D4" t="s">
        <v>417</v>
      </c>
    </row>
    <row r="5" spans="1:7">
      <c r="A5" t="s">
        <v>419</v>
      </c>
      <c r="B5" t="s">
        <v>34</v>
      </c>
      <c r="C5" t="s">
        <v>34</v>
      </c>
      <c r="D5" t="s">
        <v>417</v>
      </c>
      <c r="E5">
        <v>536120</v>
      </c>
      <c r="F5">
        <v>456075</v>
      </c>
      <c r="G5">
        <v>424332</v>
      </c>
    </row>
    <row r="6" spans="1:7">
      <c r="A6" t="s">
        <v>420</v>
      </c>
      <c r="D6" t="s">
        <v>417</v>
      </c>
      <c r="E6">
        <v>467569</v>
      </c>
      <c r="F6">
        <v>333046</v>
      </c>
      <c r="G6">
        <v>275113</v>
      </c>
    </row>
    <row r="7" spans="1:7">
      <c r="A7" t="s">
        <v>421</v>
      </c>
      <c r="B7" t="s">
        <v>38</v>
      </c>
      <c r="C7" t="s">
        <v>38</v>
      </c>
      <c r="D7" t="s">
        <v>417</v>
      </c>
      <c r="E7">
        <v>-359300</v>
      </c>
      <c r="F7">
        <v>-273676</v>
      </c>
      <c r="G7">
        <v>206106</v>
      </c>
    </row>
    <row r="8" spans="1:7">
      <c r="A8" t="s">
        <v>422</v>
      </c>
      <c r="B8" t="s">
        <v>42</v>
      </c>
      <c r="C8" t="s">
        <v>42</v>
      </c>
      <c r="D8" t="s">
        <v>417</v>
      </c>
      <c r="E8">
        <v>217340</v>
      </c>
      <c r="F8">
        <v>166713</v>
      </c>
      <c r="G8">
        <v>148876</v>
      </c>
    </row>
    <row r="9" spans="1:7">
      <c r="A9" t="s">
        <v>423</v>
      </c>
      <c r="D9" t="s">
        <v>417</v>
      </c>
      <c r="E9">
        <v>166487</v>
      </c>
      <c r="F9">
        <v>144699</v>
      </c>
      <c r="G9">
        <v>127748</v>
      </c>
    </row>
    <row r="10" spans="1:7">
      <c r="A10" t="s">
        <v>424</v>
      </c>
      <c r="D10" t="s">
        <v>417</v>
      </c>
      <c r="E10">
        <v>162444</v>
      </c>
      <c r="F10">
        <v>142945</v>
      </c>
      <c r="G10">
        <v>146110</v>
      </c>
    </row>
    <row r="11" spans="1:7">
      <c r="A11" t="s">
        <v>425</v>
      </c>
      <c r="D11" t="s">
        <v>417</v>
      </c>
      <c r="E11">
        <v>158911</v>
      </c>
      <c r="F11">
        <v>116318</v>
      </c>
      <c r="G11">
        <v>78441</v>
      </c>
    </row>
    <row r="12" spans="1:7">
      <c r="A12" t="s">
        <v>426</v>
      </c>
      <c r="D12" t="s">
        <v>417</v>
      </c>
      <c r="E12">
        <v>118973</v>
      </c>
      <c r="F12">
        <v>107787</v>
      </c>
      <c r="G12">
        <v>89657</v>
      </c>
    </row>
    <row r="13" spans="1:7">
      <c r="A13" t="s">
        <v>427</v>
      </c>
      <c r="B13" t="s">
        <v>47</v>
      </c>
      <c r="C13" t="s">
        <v>47</v>
      </c>
      <c r="D13" t="s">
        <v>417</v>
      </c>
      <c r="F13">
        <v>-31</v>
      </c>
      <c r="G13">
        <v>-11</v>
      </c>
    </row>
    <row r="14" spans="1:7">
      <c r="A14" t="s">
        <v>428</v>
      </c>
      <c r="D14" t="s">
        <v>417</v>
      </c>
      <c r="E14">
        <v>9374</v>
      </c>
      <c r="F14">
        <v>106</v>
      </c>
      <c r="G14">
        <v>10140</v>
      </c>
    </row>
    <row r="15" spans="1:7">
      <c r="A15" t="s">
        <v>429</v>
      </c>
      <c r="D15" t="s">
        <v>417</v>
      </c>
      <c r="E15">
        <v>2111</v>
      </c>
      <c r="F15">
        <v>4509</v>
      </c>
      <c r="G15">
        <v>22071</v>
      </c>
    </row>
    <row r="16" spans="1:7">
      <c r="A16" t="s">
        <v>430</v>
      </c>
      <c r="D16" t="s">
        <v>417</v>
      </c>
      <c r="E16">
        <v>195553</v>
      </c>
      <c r="F16">
        <v>168643</v>
      </c>
      <c r="G16">
        <v>142733</v>
      </c>
    </row>
    <row r="17" spans="1:7">
      <c r="A17" t="s">
        <v>45</v>
      </c>
      <c r="B17" t="s">
        <v>45</v>
      </c>
      <c r="C17" t="s">
        <v>45</v>
      </c>
      <c r="D17" t="s">
        <v>417</v>
      </c>
      <c r="E17">
        <v>2394182</v>
      </c>
      <c r="F17">
        <v>1914486</v>
      </c>
      <c r="G17">
        <v>1671316</v>
      </c>
    </row>
    <row r="18" spans="1:7">
      <c r="A18" t="s">
        <v>431</v>
      </c>
      <c r="B18" t="s">
        <v>417</v>
      </c>
      <c r="C18" t="s">
        <v>26</v>
      </c>
      <c r="D18" t="s">
        <v>417</v>
      </c>
      <c r="E18">
        <v>283542</v>
      </c>
      <c r="F18">
        <v>241974</v>
      </c>
      <c r="G18">
        <v>168311</v>
      </c>
    </row>
    <row r="19" spans="1:7">
      <c r="A19" t="s">
        <v>432</v>
      </c>
      <c r="B19" t="s">
        <v>58</v>
      </c>
      <c r="C19" t="s">
        <v>58</v>
      </c>
      <c r="D19" t="s">
        <v>417</v>
      </c>
    </row>
    <row r="20" spans="1:7">
      <c r="A20" t="s">
        <v>433</v>
      </c>
      <c r="B20" t="s">
        <v>54</v>
      </c>
      <c r="C20" t="s">
        <v>54</v>
      </c>
      <c r="D20" t="s">
        <v>417</v>
      </c>
      <c r="E20">
        <v>-6710</v>
      </c>
      <c r="F20">
        <v>-6009</v>
      </c>
      <c r="G20">
        <v>-5532</v>
      </c>
    </row>
    <row r="21" spans="1:7">
      <c r="A21" t="s">
        <v>434</v>
      </c>
      <c r="B21" t="s">
        <v>51</v>
      </c>
      <c r="C21" t="s">
        <v>51</v>
      </c>
      <c r="D21" t="s">
        <v>417</v>
      </c>
      <c r="E21">
        <v>119378</v>
      </c>
      <c r="F21">
        <v>99687</v>
      </c>
      <c r="G21">
        <v>84650</v>
      </c>
    </row>
    <row r="22" spans="1:7">
      <c r="A22" t="s">
        <v>435</v>
      </c>
      <c r="B22" t="s">
        <v>53</v>
      </c>
      <c r="C22" t="s">
        <v>53</v>
      </c>
      <c r="D22" t="s">
        <v>417</v>
      </c>
      <c r="E22">
        <v>-4727</v>
      </c>
      <c r="F22">
        <v>-7389</v>
      </c>
      <c r="G22">
        <v>-3313</v>
      </c>
    </row>
    <row r="23" spans="1:7">
      <c r="A23" t="s">
        <v>436</v>
      </c>
      <c r="B23" t="s">
        <v>437</v>
      </c>
      <c r="C23" t="s">
        <v>33</v>
      </c>
      <c r="D23" t="s">
        <v>417</v>
      </c>
      <c r="F23">
        <v>167</v>
      </c>
      <c r="G23">
        <v>132</v>
      </c>
    </row>
    <row r="24" spans="1:7">
      <c r="A24" t="s">
        <v>438</v>
      </c>
      <c r="B24" t="s">
        <v>48</v>
      </c>
      <c r="C24" t="s">
        <v>48</v>
      </c>
      <c r="D24" t="s">
        <v>417</v>
      </c>
      <c r="E24">
        <v>-123114</v>
      </c>
      <c r="F24">
        <v>12533</v>
      </c>
      <c r="G24">
        <v>2888</v>
      </c>
    </row>
    <row r="25" spans="1:7">
      <c r="A25" t="s">
        <v>439</v>
      </c>
      <c r="B25" t="s">
        <v>56</v>
      </c>
      <c r="C25" t="s">
        <v>56</v>
      </c>
      <c r="D25" t="s">
        <v>417</v>
      </c>
      <c r="E25">
        <v>-10659</v>
      </c>
      <c r="F25">
        <v>-387</v>
      </c>
      <c r="G25">
        <v>70</v>
      </c>
    </row>
    <row r="26" spans="1:7">
      <c r="A26" t="s">
        <v>440</v>
      </c>
      <c r="B26" t="s">
        <v>45</v>
      </c>
      <c r="C26" t="s">
        <v>45</v>
      </c>
      <c r="D26" t="s">
        <v>417</v>
      </c>
      <c r="E26">
        <v>-25832</v>
      </c>
      <c r="F26">
        <v>-98602</v>
      </c>
      <c r="G26">
        <v>78895</v>
      </c>
    </row>
    <row r="27" spans="1:7">
      <c r="A27" t="s">
        <v>441</v>
      </c>
      <c r="B27" t="s">
        <v>442</v>
      </c>
      <c r="C27" t="s">
        <v>61</v>
      </c>
      <c r="D27" t="s">
        <v>417</v>
      </c>
      <c r="E27">
        <v>309374</v>
      </c>
      <c r="F27">
        <v>143372</v>
      </c>
      <c r="G27">
        <v>89416</v>
      </c>
    </row>
    <row r="28" spans="1:7">
      <c r="A28" t="s">
        <v>443</v>
      </c>
      <c r="B28" t="s">
        <v>62</v>
      </c>
      <c r="C28" t="s">
        <v>62</v>
      </c>
      <c r="D28" t="s">
        <v>417</v>
      </c>
      <c r="E28">
        <v>38727</v>
      </c>
      <c r="F28">
        <v>-80966</v>
      </c>
      <c r="G28">
        <v>46791</v>
      </c>
    </row>
    <row r="29" spans="1:7">
      <c r="A29" t="s">
        <v>444</v>
      </c>
      <c r="B29" t="s">
        <v>442</v>
      </c>
      <c r="C29" t="s">
        <v>61</v>
      </c>
      <c r="D29" t="s">
        <v>417</v>
      </c>
      <c r="E29">
        <v>270647</v>
      </c>
      <c r="F29">
        <v>224338</v>
      </c>
      <c r="G29">
        <v>42625</v>
      </c>
    </row>
    <row r="30" spans="1:7">
      <c r="A30" t="s">
        <v>445</v>
      </c>
      <c r="B30" t="s">
        <v>58</v>
      </c>
      <c r="C30" t="s">
        <v>58</v>
      </c>
      <c r="D30" t="s">
        <v>417</v>
      </c>
      <c r="E30">
        <v>-80</v>
      </c>
      <c r="F30">
        <v>-865</v>
      </c>
      <c r="G30">
        <v>-1109</v>
      </c>
    </row>
    <row r="31" spans="1:7">
      <c r="A31" t="s">
        <v>446</v>
      </c>
      <c r="B31" t="s">
        <v>70</v>
      </c>
      <c r="C31" t="s">
        <v>70</v>
      </c>
      <c r="D31" t="s">
        <v>417</v>
      </c>
      <c r="E31">
        <v>270567</v>
      </c>
      <c r="F31">
        <v>223473</v>
      </c>
      <c r="G31">
        <v>41516</v>
      </c>
    </row>
    <row r="32" spans="1:7">
      <c r="A32" t="s">
        <v>447</v>
      </c>
      <c r="B32" t="s">
        <v>448</v>
      </c>
      <c r="C32" t="s">
        <v>46</v>
      </c>
      <c r="D32" t="s">
        <v>417</v>
      </c>
    </row>
    <row r="33" spans="1:7">
      <c r="A33" t="s">
        <v>449</v>
      </c>
      <c r="D33" t="s">
        <v>417</v>
      </c>
      <c r="E33">
        <v>1060</v>
      </c>
      <c r="F33">
        <v>889</v>
      </c>
      <c r="G33">
        <v>172</v>
      </c>
    </row>
    <row r="34" spans="1:7">
      <c r="A34" t="s">
        <v>450</v>
      </c>
      <c r="D34" t="s">
        <v>417</v>
      </c>
      <c r="E34">
        <v>522</v>
      </c>
      <c r="F34">
        <v>868</v>
      </c>
      <c r="G34">
        <v>170</v>
      </c>
    </row>
    <row r="35" spans="1:7">
      <c r="A35" t="s">
        <v>451</v>
      </c>
      <c r="B35" t="s">
        <v>58</v>
      </c>
      <c r="C35" t="s">
        <v>58</v>
      </c>
      <c r="D35" t="s">
        <v>417</v>
      </c>
    </row>
    <row r="36" spans="1:7">
      <c r="A36" t="s">
        <v>449</v>
      </c>
      <c r="D36" t="s">
        <v>417</v>
      </c>
      <c r="E36">
        <v>0</v>
      </c>
      <c r="F36">
        <v>-3</v>
      </c>
      <c r="G36">
        <v>-4</v>
      </c>
    </row>
    <row r="37" spans="1:7">
      <c r="A37" t="s">
        <v>450</v>
      </c>
      <c r="D37" t="s">
        <v>417</v>
      </c>
      <c r="E37">
        <v>0</v>
      </c>
      <c r="F37">
        <v>-3</v>
      </c>
      <c r="G37">
        <v>-4</v>
      </c>
    </row>
    <row r="38" spans="1:7">
      <c r="A38" t="s">
        <v>452</v>
      </c>
      <c r="D38" t="s">
        <v>417</v>
      </c>
    </row>
    <row r="39" spans="1:7">
      <c r="A39" t="s">
        <v>449</v>
      </c>
      <c r="D39" t="s">
        <v>417</v>
      </c>
      <c r="E39">
        <v>1060</v>
      </c>
      <c r="F39">
        <v>885</v>
      </c>
      <c r="G39">
        <v>167</v>
      </c>
    </row>
    <row r="40" spans="1:7">
      <c r="A40" t="s">
        <v>450</v>
      </c>
      <c r="D40" t="s">
        <v>417</v>
      </c>
      <c r="E40">
        <v>522</v>
      </c>
      <c r="F40">
        <v>864</v>
      </c>
      <c r="G40">
        <v>165</v>
      </c>
    </row>
    <row r="41" spans="1:7">
      <c r="A41" t="s">
        <v>453</v>
      </c>
      <c r="D41" t="s">
        <v>417</v>
      </c>
    </row>
    <row r="42" spans="1:7">
      <c r="A42" t="s">
        <v>449</v>
      </c>
      <c r="D42" t="s">
        <v>417</v>
      </c>
      <c r="E42">
        <v>25542</v>
      </c>
      <c r="F42">
        <v>25241</v>
      </c>
      <c r="G42">
        <v>24843</v>
      </c>
    </row>
    <row r="43" spans="1:7">
      <c r="D43" t="s">
        <v>417</v>
      </c>
    </row>
    <row r="44" spans="1:7">
      <c r="D44" t="s">
        <v>417</v>
      </c>
    </row>
    <row r="45" spans="1:7">
      <c r="A45" t="s">
        <v>454</v>
      </c>
      <c r="D45" t="s">
        <v>417</v>
      </c>
    </row>
    <row r="46" spans="1:7">
      <c r="D46" t="s">
        <v>417</v>
      </c>
    </row>
    <row r="47" spans="1:7">
      <c r="D47" t="s">
        <v>417</v>
      </c>
      <c r="E47">
        <v>2018</v>
      </c>
      <c r="F47">
        <v>2017</v>
      </c>
      <c r="G47">
        <v>2016</v>
      </c>
    </row>
    <row r="48" spans="1:7">
      <c r="A48" t="s">
        <v>446</v>
      </c>
      <c r="B48" t="s">
        <v>70</v>
      </c>
      <c r="C48" t="s">
        <v>70</v>
      </c>
      <c r="D48" t="s">
        <v>417</v>
      </c>
      <c r="E48">
        <v>270567</v>
      </c>
      <c r="F48">
        <v>223473</v>
      </c>
      <c r="G48">
        <v>41516</v>
      </c>
    </row>
    <row r="49" spans="1:7">
      <c r="A49" t="s">
        <v>455</v>
      </c>
      <c r="B49" t="s">
        <v>456</v>
      </c>
      <c r="C49" t="s">
        <v>456</v>
      </c>
      <c r="D49" t="s">
        <v>417</v>
      </c>
    </row>
    <row r="50" spans="1:7">
      <c r="A50" t="s">
        <v>457</v>
      </c>
      <c r="D50" t="s">
        <v>417</v>
      </c>
      <c r="E50">
        <v>1485</v>
      </c>
      <c r="F50">
        <v>1621</v>
      </c>
      <c r="G50">
        <v>1770</v>
      </c>
    </row>
    <row r="51" spans="1:7">
      <c r="A51" t="s">
        <v>458</v>
      </c>
      <c r="B51" t="s">
        <v>56</v>
      </c>
      <c r="C51" t="s">
        <v>56</v>
      </c>
      <c r="D51" t="s">
        <v>417</v>
      </c>
      <c r="E51">
        <v>-354</v>
      </c>
      <c r="F51">
        <v>-621</v>
      </c>
      <c r="G51">
        <v>-700</v>
      </c>
    </row>
    <row r="52" spans="1:7">
      <c r="A52" t="s">
        <v>459</v>
      </c>
      <c r="B52" t="s">
        <v>456</v>
      </c>
      <c r="C52" t="s">
        <v>456</v>
      </c>
      <c r="D52" t="s">
        <v>417</v>
      </c>
      <c r="E52">
        <v>1131</v>
      </c>
      <c r="F52">
        <v>1000</v>
      </c>
      <c r="G52">
        <v>1070</v>
      </c>
    </row>
    <row r="53" spans="1:7">
      <c r="A53" t="s">
        <v>460</v>
      </c>
      <c r="B53" t="s">
        <v>456</v>
      </c>
      <c r="C53" t="s">
        <v>456</v>
      </c>
      <c r="D53" t="s">
        <v>417</v>
      </c>
      <c r="E53">
        <v>271698</v>
      </c>
      <c r="F53">
        <v>224473</v>
      </c>
      <c r="G53">
        <v>42586</v>
      </c>
    </row>
    <row r="54" spans="1:7">
      <c r="D54" t="s">
        <v>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461</v>
      </c>
      <c r="B3" t="s">
        <v>231</v>
      </c>
      <c r="C3" t="s">
        <v>231</v>
      </c>
      <c r="D3" t="s">
        <v>462</v>
      </c>
    </row>
    <row r="4" spans="1:7">
      <c r="A4" t="s">
        <v>444</v>
      </c>
      <c r="B4" t="s">
        <v>233</v>
      </c>
      <c r="C4" t="s">
        <v>233</v>
      </c>
      <c r="D4" t="s">
        <v>462</v>
      </c>
      <c r="E4">
        <v>270647</v>
      </c>
      <c r="F4">
        <v>224338</v>
      </c>
      <c r="G4">
        <v>42625</v>
      </c>
    </row>
    <row r="5" spans="1:7">
      <c r="A5" t="s">
        <v>463</v>
      </c>
      <c r="D5" t="s">
        <v>462</v>
      </c>
      <c r="E5">
        <v>-80</v>
      </c>
      <c r="F5">
        <v>-865</v>
      </c>
      <c r="G5">
        <v>-1109</v>
      </c>
    </row>
    <row r="6" spans="1:7">
      <c r="A6" t="s">
        <v>446</v>
      </c>
      <c r="B6" t="s">
        <v>232</v>
      </c>
      <c r="C6" t="s">
        <v>232</v>
      </c>
      <c r="D6" t="s">
        <v>462</v>
      </c>
      <c r="E6">
        <v>270567</v>
      </c>
      <c r="F6">
        <v>223473</v>
      </c>
      <c r="G6">
        <v>41516</v>
      </c>
    </row>
    <row r="7" spans="1:7">
      <c r="A7" t="s">
        <v>464</v>
      </c>
      <c r="D7" t="s">
        <v>462</v>
      </c>
    </row>
    <row r="8" spans="1:7">
      <c r="A8" t="s">
        <v>422</v>
      </c>
      <c r="B8" t="s">
        <v>236</v>
      </c>
      <c r="C8" t="s">
        <v>236</v>
      </c>
      <c r="D8" t="s">
        <v>462</v>
      </c>
      <c r="E8">
        <v>265553</v>
      </c>
      <c r="F8">
        <v>197463</v>
      </c>
      <c r="G8">
        <v>168721</v>
      </c>
    </row>
    <row r="9" spans="1:7">
      <c r="A9" t="s">
        <v>465</v>
      </c>
      <c r="D9" t="s">
        <v>462</v>
      </c>
      <c r="E9">
        <v>-888</v>
      </c>
      <c r="F9">
        <v>-1172</v>
      </c>
      <c r="G9">
        <v>-1277</v>
      </c>
    </row>
    <row r="10" spans="1:7">
      <c r="A10" t="s">
        <v>466</v>
      </c>
      <c r="D10" t="s">
        <v>462</v>
      </c>
      <c r="E10">
        <v>12</v>
      </c>
      <c r="F10">
        <v>198</v>
      </c>
      <c r="G10">
        <v>508</v>
      </c>
    </row>
    <row r="11" spans="1:7">
      <c r="A11" t="s">
        <v>467</v>
      </c>
      <c r="D11" t="s">
        <v>462</v>
      </c>
      <c r="E11">
        <v>9374</v>
      </c>
      <c r="F11">
        <v>106</v>
      </c>
      <c r="G11">
        <v>10140</v>
      </c>
    </row>
    <row r="12" spans="1:7">
      <c r="A12" t="s">
        <v>436</v>
      </c>
      <c r="B12" t="s">
        <v>241</v>
      </c>
      <c r="C12" t="s">
        <v>241</v>
      </c>
      <c r="D12" t="s">
        <v>462</v>
      </c>
      <c r="F12">
        <v>167</v>
      </c>
      <c r="G12">
        <v>132</v>
      </c>
    </row>
    <row r="13" spans="1:7">
      <c r="A13" t="s">
        <v>438</v>
      </c>
      <c r="D13" t="s">
        <v>462</v>
      </c>
      <c r="E13">
        <v>-123114</v>
      </c>
      <c r="F13">
        <v>12533</v>
      </c>
      <c r="G13">
        <v>2888</v>
      </c>
    </row>
    <row r="14" spans="1:7">
      <c r="A14" t="s">
        <v>427</v>
      </c>
      <c r="D14" t="s">
        <v>462</v>
      </c>
      <c r="F14">
        <v>-31</v>
      </c>
      <c r="G14">
        <v>-11</v>
      </c>
    </row>
    <row r="15" spans="1:7">
      <c r="A15" t="s">
        <v>401</v>
      </c>
      <c r="D15" t="s">
        <v>462</v>
      </c>
      <c r="E15">
        <v>42580</v>
      </c>
      <c r="F15">
        <v>-81330</v>
      </c>
      <c r="G15">
        <v>47381</v>
      </c>
    </row>
    <row r="16" spans="1:7">
      <c r="A16" t="s">
        <v>468</v>
      </c>
      <c r="B16" t="s">
        <v>248</v>
      </c>
      <c r="C16" t="s">
        <v>248</v>
      </c>
      <c r="D16" t="s">
        <v>462</v>
      </c>
      <c r="E16">
        <v>20305</v>
      </c>
      <c r="F16">
        <v>22319</v>
      </c>
      <c r="G16">
        <v>32724</v>
      </c>
    </row>
    <row r="17" spans="1:7">
      <c r="A17" t="s">
        <v>469</v>
      </c>
      <c r="D17" t="s">
        <v>462</v>
      </c>
    </row>
    <row r="18" spans="1:7">
      <c r="A18" t="s">
        <v>470</v>
      </c>
      <c r="B18" t="s">
        <v>265</v>
      </c>
      <c r="C18" t="s">
        <v>265</v>
      </c>
      <c r="D18" t="s">
        <v>462</v>
      </c>
      <c r="E18">
        <v>-74038</v>
      </c>
      <c r="F18">
        <v>-33201</v>
      </c>
      <c r="G18">
        <v>22974</v>
      </c>
    </row>
    <row r="19" spans="1:7">
      <c r="A19" t="s">
        <v>471</v>
      </c>
      <c r="B19" t="s">
        <v>264</v>
      </c>
      <c r="C19" t="s">
        <v>264</v>
      </c>
      <c r="D19" t="s">
        <v>462</v>
      </c>
      <c r="E19">
        <v>-57081</v>
      </c>
      <c r="F19">
        <v>-67341</v>
      </c>
      <c r="G19">
        <v>-29455</v>
      </c>
    </row>
    <row r="20" spans="1:7">
      <c r="A20" t="s">
        <v>472</v>
      </c>
      <c r="B20" t="s">
        <v>273</v>
      </c>
      <c r="C20" t="s">
        <v>273</v>
      </c>
      <c r="D20" t="s">
        <v>462</v>
      </c>
      <c r="E20">
        <v>72310</v>
      </c>
      <c r="F20">
        <v>58535</v>
      </c>
      <c r="G20">
        <v>-64059</v>
      </c>
    </row>
    <row r="21" spans="1:7">
      <c r="A21" t="s">
        <v>473</v>
      </c>
      <c r="B21" t="s">
        <v>285</v>
      </c>
      <c r="C21" t="s">
        <v>285</v>
      </c>
      <c r="D21" t="s">
        <v>462</v>
      </c>
      <c r="E21">
        <v>425580</v>
      </c>
      <c r="F21">
        <v>331719</v>
      </c>
      <c r="G21">
        <v>232182</v>
      </c>
    </row>
    <row r="22" spans="1:7">
      <c r="A22" t="s">
        <v>474</v>
      </c>
      <c r="B22" t="s">
        <v>286</v>
      </c>
      <c r="C22" t="s">
        <v>286</v>
      </c>
      <c r="D22" t="s">
        <v>475</v>
      </c>
    </row>
    <row r="23" spans="1:7">
      <c r="A23" t="s">
        <v>476</v>
      </c>
      <c r="B23" t="s">
        <v>287</v>
      </c>
      <c r="C23" t="s">
        <v>287</v>
      </c>
      <c r="D23" t="s">
        <v>475</v>
      </c>
      <c r="E23">
        <v>-114415</v>
      </c>
      <c r="F23">
        <v>-87555</v>
      </c>
      <c r="G23">
        <v>-46717</v>
      </c>
    </row>
    <row r="24" spans="1:7">
      <c r="A24" t="s">
        <v>477</v>
      </c>
      <c r="D24" t="s">
        <v>475</v>
      </c>
      <c r="E24">
        <v>-599401</v>
      </c>
      <c r="F24">
        <v>-458464</v>
      </c>
      <c r="G24">
        <v>-316993</v>
      </c>
    </row>
    <row r="25" spans="1:7">
      <c r="A25" t="s">
        <v>478</v>
      </c>
      <c r="B25" t="s">
        <v>287</v>
      </c>
      <c r="C25" t="s">
        <v>287</v>
      </c>
      <c r="D25" t="s">
        <v>475</v>
      </c>
      <c r="G25">
        <v>-105392</v>
      </c>
    </row>
    <row r="26" spans="1:7">
      <c r="A26" t="s">
        <v>479</v>
      </c>
      <c r="B26" t="s">
        <v>295</v>
      </c>
      <c r="C26" t="s">
        <v>295</v>
      </c>
      <c r="D26" t="s">
        <v>475</v>
      </c>
      <c r="E26">
        <v>-1050</v>
      </c>
    </row>
    <row r="27" spans="1:7">
      <c r="A27" t="s">
        <v>480</v>
      </c>
      <c r="B27" t="s">
        <v>291</v>
      </c>
      <c r="C27" t="s">
        <v>291</v>
      </c>
      <c r="D27" t="s">
        <v>475</v>
      </c>
      <c r="E27">
        <v>13604</v>
      </c>
      <c r="F27">
        <v>4462</v>
      </c>
      <c r="G27">
        <v>11714</v>
      </c>
    </row>
    <row r="28" spans="1:7">
      <c r="A28" t="s">
        <v>481</v>
      </c>
      <c r="B28" t="s">
        <v>296</v>
      </c>
      <c r="C28" t="s">
        <v>296</v>
      </c>
      <c r="D28" t="s">
        <v>475</v>
      </c>
      <c r="E28">
        <v>-701262</v>
      </c>
      <c r="F28">
        <v>-541557</v>
      </c>
      <c r="G28">
        <v>-457388</v>
      </c>
    </row>
    <row r="29" spans="1:7">
      <c r="A29" t="s">
        <v>482</v>
      </c>
      <c r="B29" t="s">
        <v>297</v>
      </c>
      <c r="C29" t="s">
        <v>297</v>
      </c>
      <c r="D29" t="s">
        <v>483</v>
      </c>
    </row>
    <row r="30" spans="1:7">
      <c r="A30" t="s">
        <v>484</v>
      </c>
      <c r="B30" t="s">
        <v>299</v>
      </c>
      <c r="C30" t="s">
        <v>299</v>
      </c>
      <c r="D30" t="s">
        <v>483</v>
      </c>
      <c r="E30">
        <v>471625</v>
      </c>
      <c r="F30">
        <v>620568</v>
      </c>
      <c r="G30">
        <v>103492</v>
      </c>
    </row>
    <row r="31" spans="1:7">
      <c r="A31" t="s">
        <v>485</v>
      </c>
      <c r="B31" t="s">
        <v>486</v>
      </c>
      <c r="C31" t="s">
        <v>486</v>
      </c>
      <c r="D31" t="s">
        <v>483</v>
      </c>
      <c r="E31">
        <v>-9622</v>
      </c>
      <c r="F31">
        <v>-14664</v>
      </c>
      <c r="G31">
        <v>-4034</v>
      </c>
    </row>
    <row r="32" spans="1:7">
      <c r="A32" t="s">
        <v>487</v>
      </c>
      <c r="B32" t="s">
        <v>300</v>
      </c>
      <c r="C32" t="s">
        <v>300</v>
      </c>
      <c r="D32" t="s">
        <v>483</v>
      </c>
      <c r="E32">
        <v>-250015</v>
      </c>
      <c r="F32">
        <v>-207093</v>
      </c>
      <c r="G32">
        <v>-179153</v>
      </c>
    </row>
    <row r="33" spans="1:7">
      <c r="A33" t="s">
        <v>488</v>
      </c>
      <c r="D33" t="s">
        <v>483</v>
      </c>
      <c r="E33">
        <v>135000</v>
      </c>
      <c r="F33">
        <v>150000</v>
      </c>
    </row>
    <row r="34" spans="1:7">
      <c r="A34" t="s">
        <v>489</v>
      </c>
      <c r="B34" t="s">
        <v>302</v>
      </c>
      <c r="C34" t="s">
        <v>302</v>
      </c>
      <c r="D34" t="s">
        <v>483</v>
      </c>
      <c r="E34">
        <v>-135000</v>
      </c>
      <c r="F34">
        <v>-150000</v>
      </c>
    </row>
    <row r="35" spans="1:7">
      <c r="A35" t="s">
        <v>490</v>
      </c>
      <c r="D35" t="s">
        <v>483</v>
      </c>
      <c r="E35">
        <v>15590</v>
      </c>
      <c r="F35">
        <v>25784</v>
      </c>
      <c r="G35">
        <v>15105</v>
      </c>
    </row>
    <row r="36" spans="1:7">
      <c r="A36" t="s">
        <v>491</v>
      </c>
      <c r="D36" t="s">
        <v>483</v>
      </c>
      <c r="E36">
        <v>-250</v>
      </c>
      <c r="F36">
        <v>-18538</v>
      </c>
    </row>
    <row r="37" spans="1:7">
      <c r="A37" t="s">
        <v>492</v>
      </c>
      <c r="B37" t="s">
        <v>299</v>
      </c>
      <c r="C37" t="s">
        <v>299</v>
      </c>
      <c r="D37" t="s">
        <v>483</v>
      </c>
      <c r="F37">
        <v>38148</v>
      </c>
    </row>
    <row r="38" spans="1:7">
      <c r="A38" t="s">
        <v>493</v>
      </c>
      <c r="D38" t="s">
        <v>483</v>
      </c>
      <c r="F38">
        <v>-70140</v>
      </c>
    </row>
    <row r="39" spans="1:7">
      <c r="A39" t="s">
        <v>494</v>
      </c>
      <c r="B39" t="s">
        <v>298</v>
      </c>
      <c r="C39" t="s">
        <v>298</v>
      </c>
      <c r="D39" t="s">
        <v>483</v>
      </c>
      <c r="E39">
        <v>-10769</v>
      </c>
      <c r="F39">
        <v>-10613</v>
      </c>
      <c r="G39">
        <v>-11275</v>
      </c>
    </row>
    <row r="40" spans="1:7">
      <c r="A40" t="s">
        <v>495</v>
      </c>
      <c r="B40" t="s">
        <v>251</v>
      </c>
      <c r="C40" t="s">
        <v>251</v>
      </c>
      <c r="D40" t="s">
        <v>462</v>
      </c>
      <c r="G40">
        <v>390</v>
      </c>
    </row>
    <row r="41" spans="1:7">
      <c r="A41" t="s">
        <v>496</v>
      </c>
      <c r="B41" t="s">
        <v>311</v>
      </c>
      <c r="C41" t="s">
        <v>311</v>
      </c>
      <c r="D41" t="s">
        <v>483</v>
      </c>
      <c r="E41">
        <v>216559</v>
      </c>
      <c r="F41">
        <v>363452</v>
      </c>
      <c r="G41">
        <v>-75475</v>
      </c>
    </row>
    <row r="42" spans="1:7">
      <c r="A42" t="s">
        <v>497</v>
      </c>
      <c r="B42" t="s">
        <v>498</v>
      </c>
      <c r="C42" t="s">
        <v>312</v>
      </c>
      <c r="D42" t="s">
        <v>483</v>
      </c>
      <c r="E42">
        <v>-59123</v>
      </c>
      <c r="F42">
        <v>153614</v>
      </c>
      <c r="G42">
        <v>-300681</v>
      </c>
    </row>
    <row r="43" spans="1:7">
      <c r="A43" t="s">
        <v>499</v>
      </c>
      <c r="B43" t="s">
        <v>500</v>
      </c>
      <c r="C43" t="s">
        <v>315</v>
      </c>
      <c r="D43" t="s">
        <v>483</v>
      </c>
      <c r="E43">
        <v>291864</v>
      </c>
      <c r="F43">
        <v>138250</v>
      </c>
      <c r="G43">
        <v>438931</v>
      </c>
    </row>
    <row r="44" spans="1:7">
      <c r="A44" t="s">
        <v>501</v>
      </c>
      <c r="B44" t="s">
        <v>316</v>
      </c>
      <c r="C44" t="s">
        <v>316</v>
      </c>
      <c r="D44" t="s">
        <v>483</v>
      </c>
      <c r="E44">
        <v>232741</v>
      </c>
      <c r="F44">
        <v>291864</v>
      </c>
      <c r="G44">
        <v>138250</v>
      </c>
    </row>
    <row r="45" spans="1:7">
      <c r="A45" t="s">
        <v>502</v>
      </c>
      <c r="D45" t="s">
        <v>483</v>
      </c>
    </row>
    <row r="46" spans="1:7">
      <c r="A46" t="s">
        <v>503</v>
      </c>
      <c r="D46" t="s">
        <v>483</v>
      </c>
      <c r="E46">
        <v>23498</v>
      </c>
      <c r="F46">
        <v>68732</v>
      </c>
      <c r="G46">
        <v>14345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ABA31-BF63-4E8E-8CD2-22EF0B372E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B684A0-8B5B-4DC5-9985-99513F82C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4CB014-A63A-44B5-BDF0-0DF6A55634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2021-10-13T06:24:21Z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