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F212" i="1" l="1"/>
  <c r="G197" i="1"/>
  <c r="F197" i="1"/>
  <c r="G184" i="1"/>
  <c r="F184" i="1"/>
  <c r="G94" i="1"/>
  <c r="G92" i="1"/>
  <c r="F94" i="1"/>
  <c r="F92" i="1"/>
  <c r="F25" i="1"/>
  <c r="F24" i="1"/>
  <c r="G432" i="1" l="1"/>
  <c r="G433" i="1" s="1"/>
  <c r="F432" i="1"/>
  <c r="F433" i="1" s="1"/>
  <c r="F418" i="1"/>
  <c r="G417" i="1"/>
  <c r="G418" i="1" s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G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G44" i="1" s="1"/>
  <c r="G378" i="1" s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G8" i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383" i="1" l="1"/>
  <c r="H373" i="1"/>
  <c r="G366" i="1"/>
  <c r="G353" i="1"/>
  <c r="G355" i="1" s="1"/>
  <c r="G357" i="1" s="1"/>
  <c r="G385" i="1"/>
  <c r="F384" i="1"/>
  <c r="F13" i="1"/>
  <c r="F14" i="1" s="1"/>
  <c r="F377" i="1"/>
  <c r="F376" i="1"/>
  <c r="F353" i="1"/>
  <c r="F355" i="1" s="1"/>
  <c r="F357" i="1" s="1"/>
  <c r="F385" i="1"/>
  <c r="F383" i="1"/>
  <c r="F382" i="1"/>
  <c r="F366" i="1"/>
  <c r="L366" i="1"/>
  <c r="J368" i="1"/>
  <c r="J372" i="1"/>
  <c r="J377" i="1"/>
  <c r="H378" i="1"/>
  <c r="L382" i="1"/>
  <c r="J383" i="1"/>
  <c r="H384" i="1"/>
  <c r="G59" i="1"/>
  <c r="G67" i="1" s="1"/>
  <c r="G71" i="1" s="1"/>
  <c r="K368" i="1"/>
  <c r="G370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72" i="1"/>
  <c r="I365" i="1"/>
  <c r="M368" i="1"/>
  <c r="M372" i="1"/>
  <c r="I375" i="1"/>
  <c r="G376" i="1"/>
  <c r="O376" i="1"/>
  <c r="M377" i="1"/>
  <c r="K378" i="1"/>
  <c r="I381" i="1"/>
  <c r="G382" i="1"/>
  <c r="O382" i="1"/>
  <c r="K384" i="1"/>
  <c r="H375" i="1"/>
  <c r="J384" i="1"/>
  <c r="F363" i="1"/>
  <c r="N368" i="1"/>
  <c r="J370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H381" i="1"/>
  <c r="F44" i="1"/>
  <c r="H363" i="1"/>
  <c r="G13" i="1"/>
  <c r="G14" i="1" s="1"/>
  <c r="I363" i="1"/>
  <c r="G373" i="1" l="1"/>
  <c r="G83" i="1"/>
  <c r="G372" i="1"/>
  <c r="G6" i="1"/>
  <c r="F378" i="1"/>
  <c r="F370" i="1"/>
  <c r="F59" i="1"/>
  <c r="F67" i="1" s="1"/>
  <c r="F71" i="1" s="1"/>
  <c r="F373" i="1" l="1"/>
  <c r="F83" i="1"/>
  <c r="F6" i="1"/>
  <c r="F372" i="1"/>
  <c r="G371" i="1"/>
  <c r="G365" i="1"/>
  <c r="F371" i="1" l="1"/>
  <c r="F365" i="1"/>
</calcChain>
</file>

<file path=xl/sharedStrings.xml><?xml version="1.0" encoding="utf-8"?>
<sst xmlns="http://schemas.openxmlformats.org/spreadsheetml/2006/main" count="853" uniqueCount="526">
  <si>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</si>
  <si>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</si>
  <si>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</si>
  <si>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</si>
  <si>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</si>
  <si>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</si>
  <si>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</si>
  <si>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</si>
  <si>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</si>
  <si>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</si>
  <si>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</si>
  <si>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</si>
  <si>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</si>
  <si>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</si>
  <si>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</si>
  <si>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</si>
  <si>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</si>
  <si>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</si>
  <si>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</si>
  <si>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</si>
  <si>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</si>
  <si>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</si>
  <si>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</si>
  <si>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</si>
  <si>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</si>
  <si>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</si>
  <si>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</si>
  <si>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</si>
  <si>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</si>
  <si>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</si>
  <si>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</si>
  <si>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</si>
  <si>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</si>
  <si>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</si>
  <si>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</si>
  <si>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</si>
  <si>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</si>
  <si>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</si>
  <si>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</si>
  <si>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</si>
  <si>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</si>
  <si>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</si>
  <si>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</si>
  <si>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</si>
  <si>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</si>
  <si>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</si>
  <si>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</si>
  <si>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</si>
  <si>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</si>
  <si>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</si>
  <si>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</si>
  <si>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</si>
  <si>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</si>
  <si>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</si>
  <si>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</si>
  <si>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</si>
  <si>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</si>
  <si>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</si>
  <si>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</si>
  <si>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</si>
  <si>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</si>
  <si>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</si>
  <si>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</si>
  <si>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</si>
  <si>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</si>
  <si>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</si>
  <si>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</si>
  <si>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</si>
  <si>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</si>
  <si>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</si>
  <si>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</si>
  <si>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</si>
  <si>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</si>
  <si>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</si>
  <si>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</si>
  <si>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</si>
  <si>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</si>
  <si>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</si>
  <si>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</si>
  <si>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</si>
  <si>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</si>
  <si>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</si>
  <si>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</si>
  <si>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</si>
  <si>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</si>
  <si>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</si>
  <si>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</si>
  <si>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</si>
  <si>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</si>
  <si>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</si>
  <si>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</si>
  <si>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</si>
  <si>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</si>
  <si>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</si>
  <si>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</si>
  <si>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</si>
  <si>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</si>
  <si>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</si>
  <si>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</si>
  <si>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</si>
  <si>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</si>
  <si>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</si>
  <si>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</si>
  <si>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</si>
  <si>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</si>
  <si>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</si>
  <si>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</si>
  <si>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</si>
  <si>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</si>
  <si>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</si>
  <si>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</si>
  <si>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</si>
  <si>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</si>
  <si>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</si>
  <si>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</si>
  <si>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</si>
  <si>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</si>
  <si>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</si>
  <si>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</si>
  <si>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</si>
  <si>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</si>
  <si>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</si>
  <si>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</si>
  <si>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</si>
  <si>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</si>
  <si>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</si>
  <si>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</si>
  <si>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</si>
  <si>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</si>
  <si>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</si>
  <si>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</si>
  <si>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</si>
  <si>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</si>
  <si>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</si>
  <si>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</si>
  <si>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</si>
  <si>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</si>
  <si>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</si>
  <si>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</si>
  <si>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</si>
  <si>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</si>
  <si>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</si>
  <si>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</si>
  <si>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</si>
  <si>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</si>
  <si>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</si>
  <si>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</si>
  <si>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</si>
  <si>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</si>
  <si>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</si>
  <si>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</si>
  <si>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</si>
  <si>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</si>
  <si>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</si>
  <si>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</si>
  <si>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</si>
  <si>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</si>
  <si>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</si>
  <si>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</si>
  <si>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</si>
  <si>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</si>
  <si>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</si>
  <si>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</si>
  <si>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</si>
  <si>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</si>
  <si>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</si>
  <si>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</si>
  <si>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</si>
  <si>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</si>
  <si>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</si>
  <si>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</si>
  <si>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</si>
  <si>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</si>
  <si>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</si>
  <si>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</si>
  <si>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</si>
  <si>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</si>
  <si>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</si>
  <si>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</si>
  <si>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</si>
  <si>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</si>
  <si>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</si>
  <si>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</si>
  <si>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</si>
  <si>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</si>
  <si>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</si>
  <si>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</si>
  <si>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</si>
  <si>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</si>
  <si>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</si>
  <si>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</si>
  <si>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</si>
  <si>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</si>
  <si>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</si>
  <si>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</si>
  <si>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</si>
  <si>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</si>
  <si>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</si>
  <si>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</si>
  <si>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</si>
  <si>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</si>
  <si>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</si>
  <si>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</si>
  <si>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</si>
  <si>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</si>
  <si>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</si>
  <si>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</si>
  <si>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</si>
  <si>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</si>
  <si>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</si>
  <si>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</si>
  <si>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</si>
  <si>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</si>
  <si>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</si>
  <si>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</si>
  <si>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</si>
  <si>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</si>
  <si>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</si>
  <si>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</si>
  <si>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</si>
  <si>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</si>
  <si>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</si>
  <si>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</si>
  <si>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</si>
  <si>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</si>
  <si>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</si>
  <si>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</si>
  <si>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</si>
  <si>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</si>
  <si>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</si>
  <si>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</si>
  <si>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</si>
  <si>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</si>
  <si>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</si>
  <si>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</si>
  <si>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</si>
  <si>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</si>
  <si>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</si>
  <si>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</si>
  <si>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</si>
  <si>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</si>
  <si>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</si>
  <si>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</si>
  <si>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</si>
  <si>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</si>
  <si>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</si>
  <si>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</si>
  <si>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</si>
  <si>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</si>
  <si>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</si>
  <si>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</si>
  <si>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</si>
  <si>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</si>
  <si>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</si>
  <si>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</si>
  <si>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</si>
  <si>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</si>
  <si>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</si>
  <si>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</si>
  <si>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</si>
  <si>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</si>
  <si>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</si>
  <si>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</si>
  <si>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</si>
  <si>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</si>
  <si>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</si>
  <si>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</si>
  <si>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</si>
  <si>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</si>
  <si>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</si>
  <si>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</si>
  <si>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</si>
  <si>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</si>
  <si>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</si>
  <si>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</si>
  <si>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</si>
  <si>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</si>
  <si>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</si>
  <si>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</si>
  <si>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</si>
  <si>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</si>
  <si>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</si>
  <si>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</si>
  <si>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</si>
  <si>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</si>
  <si>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</si>
  <si>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</si>
  <si>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</si>
  <si>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</si>
  <si>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</si>
  <si>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</si>
  <si>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</si>
  <si>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</si>
  <si>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</si>
  <si>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</si>
  <si>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</si>
  <si>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</si>
  <si>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</si>
  <si>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</si>
  <si>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</si>
  <si>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</si>
  <si>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</si>
  <si>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</si>
  <si>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</si>
  <si>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</si>
  <si>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</si>
  <si>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</si>
  <si>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</si>
  <si>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</si>
  <si>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</si>
  <si>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</si>
  <si>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</si>
  <si>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</si>
  <si>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</si>
  <si>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</si>
  <si>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</si>
  <si>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</si>
  <si>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</si>
  <si>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</si>
  <si>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</si>
  <si>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</si>
  <si>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</si>
  <si>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</si>
  <si>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</si>
  <si>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</si>
  <si>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</si>
  <si>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</si>
  <si>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</si>
  <si>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</si>
  <si>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</si>
  <si>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</si>
  <si>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</si>
  <si>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</si>
  <si>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</si>
  <si>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</si>
  <si>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</si>
  <si>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</si>
  <si>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</si>
  <si>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</si>
  <si>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</si>
  <si>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</si>
  <si>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</si>
  <si>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</si>
  <si>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</si>
  <si>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</si>
  <si>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</si>
  <si>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</si>
  <si>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</si>
  <si>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</si>
  <si>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</si>
  <si>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</si>
  <si>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</si>
  <si>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</si>
  <si>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</si>
  <si>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</si>
  <si>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</si>
  <si>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</si>
  <si>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</si>
  <si>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</si>
  <si>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</si>
  <si>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</si>
  <si>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</si>
  <si>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</si>
  <si>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</si>
  <si>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</si>
  <si>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</si>
  <si>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</si>
  <si>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</si>
  <si>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</si>
  <si>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</si>
  <si>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</si>
  <si>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</si>
  <si>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</si>
  <si>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</si>
  <si>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share and per share data)</t>
  </si>
  <si>
    <t>Assets</t>
  </si>
  <si>
    <t>Current assets:</t>
  </si>
  <si>
    <t>Cash and cash equivalents</t>
  </si>
  <si>
    <t>Available for sale securities</t>
  </si>
  <si>
    <t>Inventory</t>
  </si>
  <si>
    <t>Accounts receivable</t>
  </si>
  <si>
    <t>Prepaid expenses and other current assets</t>
  </si>
  <si>
    <t>Total current assets</t>
  </si>
  <si>
    <t>Property and equipment, net</t>
  </si>
  <si>
    <t>Property and Equipment</t>
  </si>
  <si>
    <t>Goodwill</t>
  </si>
  <si>
    <t>Other intangible assets, net</t>
  </si>
  <si>
    <t>Other Intangibles</t>
  </si>
  <si>
    <t>Other assets</t>
  </si>
  <si>
    <t>Total assets</t>
  </si>
  <si>
    <t>Liabilities and stockholders' equity</t>
  </si>
  <si>
    <t>Current liabilities:</t>
  </si>
  <si>
    <t>Accounts payable</t>
  </si>
  <si>
    <t>Accruals</t>
  </si>
  <si>
    <t>Debt</t>
  </si>
  <si>
    <t>Short-term deferred revenue</t>
  </si>
  <si>
    <t>Total current liabilities</t>
  </si>
  <si>
    <t>Deferred rent, net of current portion</t>
  </si>
  <si>
    <t>Deferred revenue, net of current portion</t>
  </si>
  <si>
    <t>Deferred tax liabilities</t>
  </si>
  <si>
    <t>Other non-current liabilities</t>
  </si>
  <si>
    <t>Total liabilities</t>
  </si>
  <si>
    <t>Commitments and contingencies (Note 10)</t>
  </si>
  <si>
    <t>Stockholders' equity:</t>
  </si>
  <si>
    <t>Preferred stock $0.00001 par value, 25,000,000 shares authorized at December 31,</t>
  </si>
  <si>
    <t>2018 and 2017; 0 shares issued and outstanding at December 31, 2018 and 2017</t>
  </si>
  <si>
    <t>Common stock: $0.00001 par value; 175,000,000 shares authorized at December 31,</t>
  </si>
  <si>
    <t>2018 and 2017; 116,887,518 and 47,612,619 shares issued and outstanding at</t>
  </si>
  <si>
    <t>December 31, 2018 and 2017, respectively</t>
  </si>
  <si>
    <t>Additional paid-in capital</t>
  </si>
  <si>
    <t>Accumulated other comprehensive loss</t>
  </si>
  <si>
    <t>Accumulated deficit</t>
  </si>
  <si>
    <t>Total stockholders' equity</t>
  </si>
  <si>
    <t>Revenues:</t>
  </si>
  <si>
    <t>Revenue</t>
  </si>
  <si>
    <t>Product revenue, net</t>
  </si>
  <si>
    <t>License, collaboration and other revenue</t>
  </si>
  <si>
    <t>Total revenues</t>
  </si>
  <si>
    <t>Cost of goods sold:</t>
  </si>
  <si>
    <t>Product</t>
  </si>
  <si>
    <t>Amortization of intangibles</t>
  </si>
  <si>
    <t>Amortisation of assets</t>
  </si>
  <si>
    <t>Total cost of goods sold</t>
  </si>
  <si>
    <t>Operating expenses:</t>
  </si>
  <si>
    <t>Research and development</t>
  </si>
  <si>
    <t>Selling, general and administrative</t>
  </si>
  <si>
    <t>License expense</t>
  </si>
  <si>
    <t>Total operating expenses</t>
  </si>
  <si>
    <t>Operating loss</t>
  </si>
  <si>
    <t>Operating Loss</t>
  </si>
  <si>
    <t>Other income (expense):</t>
  </si>
  <si>
    <t>Interest income</t>
  </si>
  <si>
    <t>Other income/(expense)</t>
  </si>
  <si>
    <t>Net loss before income taxes</t>
  </si>
  <si>
    <t>Profit before Zakat</t>
  </si>
  <si>
    <t>Benefit for income taxes</t>
  </si>
  <si>
    <t>Net loss</t>
  </si>
  <si>
    <t>Net loss per share - basic and diluted</t>
  </si>
  <si>
    <t>Weighted-average number of common shares - basic and diluted</t>
  </si>
  <si>
    <t>Comprehensive loss:</t>
  </si>
  <si>
    <t>Total Other Comprehensive Loss</t>
  </si>
  <si>
    <t>Total Other Comprehensive Income</t>
  </si>
  <si>
    <t>Other comprehensive gain (loss) - unrealized gain (loss) on securities</t>
  </si>
  <si>
    <t>Total Other Comprehensive Income (Loss)</t>
  </si>
  <si>
    <t>Total comprehensive loss</t>
  </si>
  <si>
    <t>Total Comprehensive Loss</t>
  </si>
  <si>
    <t>Total Comprehensive Income</t>
  </si>
  <si>
    <t>Operating activities:</t>
  </si>
  <si>
    <t>Operating Activities</t>
  </si>
  <si>
    <t>Adjustments to reconcile net loss to net cash used in operating activities:</t>
  </si>
  <si>
    <t>Depreciation and amortization</t>
  </si>
  <si>
    <t>Amortization of premium/discount on investments</t>
  </si>
  <si>
    <t>Non-cash interest expense</t>
  </si>
  <si>
    <t>Non-cash merger expense(1)</t>
  </si>
  <si>
    <t>Loss on disposal of property and equipment</t>
  </si>
  <si>
    <t>Fair value write-up of inventory sold</t>
  </si>
  <si>
    <t>Stock-based compensation</t>
  </si>
  <si>
    <t>Deferred income taxes</t>
  </si>
  <si>
    <t>Fair value of warrants issued for license</t>
  </si>
  <si>
    <t>Changes in operating assets and liabilities:</t>
  </si>
  <si>
    <t>Other long-term assets</t>
  </si>
  <si>
    <t>Accrued expense</t>
  </si>
  <si>
    <t>Deferred revenue</t>
  </si>
  <si>
    <t>Deferred rent</t>
  </si>
  <si>
    <t>Net cash provided by (used in) operating activities</t>
  </si>
  <si>
    <t>Investing activities:</t>
  </si>
  <si>
    <t>Investing Activities</t>
  </si>
  <si>
    <t>Acquisition of business, net of acquired cash and restricted cash</t>
  </si>
  <si>
    <t>Purchase of equipment</t>
  </si>
  <si>
    <t>Proceeds from the maturities of available for sale securities</t>
  </si>
  <si>
    <t>Proceeds from sales of available for sale securities</t>
  </si>
  <si>
    <t>Purchase of available for sale securities</t>
  </si>
  <si>
    <t>Net cash provided by (used in) investing activities</t>
  </si>
  <si>
    <t>Financing activities:</t>
  </si>
  <si>
    <t>Financing Activities</t>
  </si>
  <si>
    <t>Proceeds from the issuance of common stock, net of issuance costs</t>
  </si>
  <si>
    <t>Proceeds from the sale of stock under employee stock purchase plan</t>
  </si>
  <si>
    <t>Proceeds from the exercise of stock options</t>
  </si>
  <si>
    <t>Payments on capital lease obligations</t>
  </si>
  <si>
    <t>Finance Costs</t>
  </si>
  <si>
    <t>Net cash provided by financing activities</t>
  </si>
  <si>
    <t>Increase (decrease) in cash, cash equivalents, and restricted cash</t>
  </si>
  <si>
    <t>Net increase (decrease) in cash and cash equivalents</t>
  </si>
  <si>
    <t>Cash, cash equivalents, and restricted cash at beginning of the period</t>
  </si>
  <si>
    <t>Cash and cash equivalents at beginning of period</t>
  </si>
  <si>
    <t>Cash, cash equivalents, and restricted cash at end of the period</t>
  </si>
  <si>
    <t>Non-cash financing activities</t>
  </si>
  <si>
    <t>Fair value of shares and equity awards issued in acquisition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</si>
  <si>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</si>
  <si>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</si>
  <si>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</si>
  <si>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</si>
  <si>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</si>
  <si>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cost of goods sold</t>
  </si>
  <si>
    <t>other operating expenses</t>
  </si>
  <si>
    <t>other income (expenses)</t>
  </si>
  <si>
    <t>property, plant and equipment</t>
  </si>
  <si>
    <t>furniture and fixtures</t>
  </si>
  <si>
    <t>leasehold improvements</t>
  </si>
  <si>
    <t>leased assets</t>
  </si>
  <si>
    <t>accumulated depreciation and amortisation</t>
  </si>
  <si>
    <t>accrued expenses</t>
  </si>
  <si>
    <t>ordinary shares</t>
  </si>
  <si>
    <t>additional paid-in capital</t>
  </si>
  <si>
    <t>wrong value, changed</t>
  </si>
  <si>
    <t>changed value</t>
  </si>
  <si>
    <t>product revenue, net</t>
  </si>
  <si>
    <t>license, collaboration and other revenue</t>
  </si>
  <si>
    <t>product</t>
  </si>
  <si>
    <t>amortization of intangibles</t>
  </si>
  <si>
    <t>deleted this value</t>
  </si>
  <si>
    <t>added value</t>
  </si>
  <si>
    <t>license expense</t>
  </si>
  <si>
    <t>deleted this value and changed it</t>
  </si>
  <si>
    <t>other income, net</t>
  </si>
  <si>
    <t>computer equipment and software</t>
  </si>
  <si>
    <t>equipment</t>
  </si>
  <si>
    <t>office equipment under capital lease</t>
  </si>
  <si>
    <t>less accumulated depreciation</t>
  </si>
  <si>
    <t>other creditors</t>
  </si>
  <si>
    <t>debt</t>
  </si>
  <si>
    <t>short-term deferred revenue</t>
  </si>
  <si>
    <t>long term accruals</t>
  </si>
  <si>
    <t>deferred rent, net of current portion</t>
  </si>
  <si>
    <t>deferred revenue, net of current portion</t>
  </si>
  <si>
    <t>common stock: $0.00001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</si>
</sst>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4" fillId="12" borderId="0" xfId="0" applyFont="1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24-43F4-8539-8656E54873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48-45D2-A1ED-8B18485BC4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7B2-46F4-B748-21AC2D88BF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07-4036-BDA2-3391C06825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C9-4282-87E0-CA398476F0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D3-4AAF-B741-806538D91B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2-40C0-9AE1-B481894014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26-4AEB-BA58-5CC0C922DC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01-4D2E-9FA8-6406A9628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56-44CC-92F1-81A99F24CA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785-45E2-9775-5D207B416B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2E-459E-8708-8AB139CBBD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48-4F6F-B126-DD7FDF0B47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CB6-40A5-8BF4-174F0015D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82-479D-B571-6BFA1AA890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-143588</v>
      </c>
      <c r="G6" s="7">
        <f t="shared" ref="G6:O6" si="1">IF(G4=$BF$1,"",G71)</f>
        <v>-73671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528265</v>
      </c>
      <c r="G7" s="7">
        <f t="shared" ref="G7:O7" si="2">IF(G4=$BF$1,"",G128)</f>
        <v>5891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468275</v>
      </c>
      <c r="G8" s="7">
        <f t="shared" ref="G8:O8" si="3">IF(G4=$BF$1,"",G161)</f>
        <v>358356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265693</v>
      </c>
      <c r="G9" s="7">
        <f t="shared" ref="G9:O9" si="4">IF(G4=$BF$1,"",G189)</f>
        <v>141106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94919</v>
      </c>
      <c r="G10" s="7">
        <f t="shared" ref="G10:O10" si="5">IF(G4=$BF$1,"",G210)</f>
        <v>100567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635928</v>
      </c>
      <c r="G11" s="7">
        <f t="shared" ref="G11:O11" si="6">IF(G4=$BF$1,"",G227)</f>
        <v>122574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996540</v>
      </c>
      <c r="G12" s="35">
        <f t="shared" ref="G12:O12" si="7">IF(G4=$BF$1,"",SUM(G7:G8))</f>
        <v>364247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996540</v>
      </c>
      <c r="G13" s="35">
        <f t="shared" ref="G13:O13" si="8">IF(G4=$BF$1,"",SUM(G9:G11))</f>
        <v>364247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6824+200918</f>
        <v>207742</v>
      </c>
      <c r="G24">
        <v>181227</v>
      </c>
      <c r="H24">
        <v>1535</v>
      </c>
      <c r="P24" s="45" t="s">
        <v>504</v>
      </c>
    </row>
    <row r="25" spans="5:16">
      <c r="E25" s="1" t="s">
        <v>27</v>
      </c>
      <c r="F25">
        <f>6251+1517</f>
        <v>7768</v>
      </c>
      <c r="G25">
        <v>0</v>
      </c>
      <c r="H25">
        <v>0</v>
      </c>
      <c r="P25" s="45" t="s">
        <v>505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199974</v>
      </c>
      <c r="G30" s="7">
        <f>IF(G4=$BF$1,"",G24-G25+ABS(G26)-G27-G28-G29)</f>
        <v>181227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87061</v>
      </c>
      <c r="G34">
        <v>27008</v>
      </c>
      <c r="H34">
        <v>22210</v>
      </c>
    </row>
    <row r="35" spans="5:16">
      <c r="E35" s="1" t="s">
        <v>37</v>
      </c>
      <c r="F35">
        <v>291007</v>
      </c>
      <c r="G35">
        <v>230893</v>
      </c>
      <c r="H35">
        <v>115785</v>
      </c>
    </row>
    <row r="36" spans="5:16">
      <c r="E36" s="1" t="s">
        <v>38</v>
      </c>
      <c r="F36" s="38">
        <v>67</v>
      </c>
      <c r="P36" s="45" t="s">
        <v>511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/>
      <c r="G41"/>
      <c r="H41">
        <v>0</v>
      </c>
      <c r="P41" s="45" t="s">
        <v>510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378135</v>
      </c>
      <c r="G43" s="7">
        <f>G32+G33+G34+G35+G36+G37+G38+G39+G40+G41+G42</f>
        <v>257901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6"/>
    </row>
    <row r="44" spans="5:16">
      <c r="E44" s="6" t="s">
        <v>46</v>
      </c>
      <c r="F44" s="7">
        <f>F30+F31-F43</f>
        <v>-178161</v>
      </c>
      <c r="G44" s="7">
        <f>IF(G4=$BF$1,"",G30+G31-G43)</f>
        <v>-76674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6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45" t="s">
        <v>510</v>
      </c>
    </row>
    <row r="53" spans="5:16">
      <c r="E53" s="1" t="s">
        <v>55</v>
      </c>
    </row>
    <row r="54" spans="5:16">
      <c r="E54" s="1" t="s">
        <v>56</v>
      </c>
      <c r="F54">
        <v>6235</v>
      </c>
      <c r="G54">
        <v>3003</v>
      </c>
      <c r="P54" s="45" t="s">
        <v>513</v>
      </c>
    </row>
    <row r="55" spans="5:16">
      <c r="E55" s="1" t="s">
        <v>57</v>
      </c>
    </row>
    <row r="56" spans="5:16">
      <c r="E56" s="1" t="s">
        <v>58</v>
      </c>
      <c r="F56"/>
      <c r="G56"/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-171926</v>
      </c>
      <c r="G59" s="7">
        <f>IF(G4=$BF$1,"",G44+G45+G46+G47+G48-G49-G50-G51+G52-G53+G54+G55-G56+G57+G58)</f>
        <v>-73671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6"/>
    </row>
    <row r="60" spans="5:16">
      <c r="E60" s="1" t="s">
        <v>62</v>
      </c>
      <c r="F60">
        <v>-28338</v>
      </c>
      <c r="G60">
        <v>0</v>
      </c>
      <c r="H60">
        <v>0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-143588</v>
      </c>
      <c r="G67" s="7">
        <f>IF(G4=$BF$1,"",SUM(G59,-G60,-ABS(G61),-G62,-G66))</f>
        <v>-73671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6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-143588</v>
      </c>
      <c r="G71" s="7">
        <f t="shared" ref="G71:O71" si="14">IF(G4=$BF$1,"",SUM(G67:G70))</f>
        <v>-73671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-143588</v>
      </c>
      <c r="G83" s="7">
        <f t="shared" ref="G83:O83" si="15">IF(G4=$BF$1,"",SUM(G71:G82))</f>
        <v>-73671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1593+1170+1780</f>
        <v>4543</v>
      </c>
      <c r="G92">
        <f>630+800+628</f>
        <v>2058</v>
      </c>
      <c r="P92" s="45" t="s">
        <v>513</v>
      </c>
    </row>
    <row r="93" spans="5:16">
      <c r="E93" s="1" t="s">
        <v>85</v>
      </c>
    </row>
    <row r="94" spans="5:16">
      <c r="E94" s="1" t="s">
        <v>86</v>
      </c>
      <c r="F94" s="38">
        <f>5324+114</f>
        <v>5438</v>
      </c>
      <c r="G94" s="38">
        <f>2582+36</f>
        <v>2618</v>
      </c>
      <c r="P94" s="45" t="s">
        <v>511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9981</v>
      </c>
      <c r="G98" s="7">
        <f>IF(G4=$BF$1,"",G89+G90+G91+G92+G93+G94+G95+G96)</f>
        <v>4676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6"/>
    </row>
    <row r="99" spans="5:16">
      <c r="E99" s="1" t="s">
        <v>89</v>
      </c>
      <c r="F99" s="38">
        <v>-1958</v>
      </c>
      <c r="G99" s="38">
        <v>-1059</v>
      </c>
    </row>
    <row r="100" spans="5:16">
      <c r="E100" s="6" t="s">
        <v>90</v>
      </c>
      <c r="F100" s="7">
        <f>F98+F99</f>
        <v>8023</v>
      </c>
      <c r="G100" s="7">
        <f t="shared" ref="G100:O100" si="17">IF(G4=$BF$1,"",G98+G99)</f>
        <v>3617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6"/>
    </row>
    <row r="101" spans="5:16">
      <c r="E101" s="1" t="s">
        <v>91</v>
      </c>
      <c r="F101">
        <v>55053</v>
      </c>
      <c r="G101">
        <v>0</v>
      </c>
    </row>
    <row r="102" spans="5:16">
      <c r="E102" s="1" t="s">
        <v>92</v>
      </c>
      <c r="F102">
        <v>328153</v>
      </c>
      <c r="G102">
        <v>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383206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  <c r="P104" s="46"/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137036</v>
      </c>
      <c r="G126">
        <v>2274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528265</v>
      </c>
      <c r="G128" s="7">
        <f t="shared" ref="G128:O128" si="19">IF(G4=$BF$1,"",G100+SUM(G104:G126))</f>
        <v>5891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6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104644</v>
      </c>
      <c r="G130">
        <v>70156</v>
      </c>
    </row>
    <row r="131" spans="5:15">
      <c r="E131" s="1" t="s">
        <v>118</v>
      </c>
      <c r="F131">
        <v>216996</v>
      </c>
      <c r="G131">
        <v>247636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321640</v>
      </c>
      <c r="G140" s="7">
        <f t="shared" ref="G140:O140" si="20">IF(G4=$BF$1,"",G130+G131+G132+G133+G134+G135+G136+G139)</f>
        <v>317792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114245</v>
      </c>
      <c r="G144">
        <v>0</v>
      </c>
    </row>
    <row r="145" spans="5:15">
      <c r="E145" s="6" t="s">
        <v>127</v>
      </c>
      <c r="F145" s="7">
        <f>F141+F142+F143+F144</f>
        <v>114245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15724</v>
      </c>
      <c r="G154">
        <v>6348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16666</v>
      </c>
      <c r="G157">
        <v>34216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32390</v>
      </c>
      <c r="G160" s="7">
        <f>IF(G4=$BF$1,"",G146+G147+G148+G149+G150+G151+G152+G153+G154+G155+G156+G157+G158+G159)</f>
        <v>40564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468275</v>
      </c>
      <c r="G161" s="7">
        <f t="shared" ref="G161:O161" si="22">IF(G4=$BF$1,"",G140+G145+G160)</f>
        <v>358356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6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  <c r="F183" s="38">
        <v>15000</v>
      </c>
      <c r="P183" s="45" t="s">
        <v>511</v>
      </c>
    </row>
    <row r="184" spans="5:16">
      <c r="E184" s="12" t="s">
        <v>161</v>
      </c>
      <c r="F184">
        <f>150917+56980</f>
        <v>207897</v>
      </c>
      <c r="G184">
        <f>52441+81667</f>
        <v>134108</v>
      </c>
      <c r="P184" s="45" t="s">
        <v>505</v>
      </c>
    </row>
    <row r="185" spans="5:16">
      <c r="E185" s="12" t="s">
        <v>162</v>
      </c>
    </row>
    <row r="187" spans="5:16">
      <c r="E187" s="1" t="s">
        <v>163</v>
      </c>
      <c r="F187">
        <v>42796</v>
      </c>
      <c r="G187">
        <v>6998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265693</v>
      </c>
      <c r="G189" s="7">
        <f t="shared" ref="G189:O189" si="23">IF(G4=$BF$1,"",SUM(G163:G188))</f>
        <v>141106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6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/>
      <c r="G193"/>
      <c r="P193" s="45" t="s">
        <v>510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>
        <f>3006+55709</f>
        <v>58715</v>
      </c>
      <c r="G197">
        <f>2588+97957</f>
        <v>100545</v>
      </c>
      <c r="P197" s="45" t="s">
        <v>505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6631</v>
      </c>
      <c r="G203">
        <v>0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29573</v>
      </c>
      <c r="G209">
        <v>22</v>
      </c>
    </row>
    <row r="210" spans="5:16">
      <c r="E210" s="6" t="s">
        <v>14</v>
      </c>
      <c r="F210" s="7">
        <f>SUM(F191:F209)</f>
        <v>94919</v>
      </c>
      <c r="G210" s="7">
        <f t="shared" ref="G210:O210" si="24">IF(G4=$BF$1,"",SUM(G191:G209))</f>
        <v>100567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6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1150583+1</f>
        <v>1150584</v>
      </c>
      <c r="G212">
        <v>493823</v>
      </c>
      <c r="P212" s="45" t="s">
        <v>505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-514395</v>
      </c>
      <c r="G217">
        <v>-370807</v>
      </c>
    </row>
    <row r="218" spans="5:16">
      <c r="E218" s="1" t="s">
        <v>188</v>
      </c>
    </row>
    <row r="219" spans="5:16">
      <c r="E219" s="1" t="s">
        <v>189</v>
      </c>
      <c r="F219">
        <v>-261</v>
      </c>
      <c r="G219">
        <v>-442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635928</v>
      </c>
      <c r="G227" s="7">
        <f t="shared" ref="G227:O227" si="25">IF(G4=$BF$1,"",SUM(G212:G226))</f>
        <v>122574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6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-143588</v>
      </c>
      <c r="G267">
        <v>-73671</v>
      </c>
      <c r="H267">
        <v>-135747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899</v>
      </c>
      <c r="G271">
        <v>617</v>
      </c>
      <c r="H271">
        <v>296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290</v>
      </c>
      <c r="G275">
        <v>610</v>
      </c>
      <c r="H275">
        <v>494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13414</v>
      </c>
      <c r="G278">
        <v>0</v>
      </c>
      <c r="H278">
        <v>0</v>
      </c>
    </row>
    <row r="279" spans="5:8">
      <c r="E279" s="1" t="s">
        <v>244</v>
      </c>
    </row>
    <row r="280" spans="5:8" ht="25.5" customHeight="1">
      <c r="E280" s="1" t="s">
        <v>245</v>
      </c>
      <c r="F280">
        <v>0</v>
      </c>
      <c r="G280">
        <v>0</v>
      </c>
      <c r="H280">
        <v>306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19040</v>
      </c>
      <c r="G285">
        <v>8867</v>
      </c>
      <c r="H285">
        <v>5825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33643</v>
      </c>
      <c r="G296" s="7">
        <f>IF(G4=$BF$1,"",G271+G272+G273+G274+G275+G276+G277+G278+G279+G280+G281+G282+G283+G284+G285+G286+G287+G288+G289+G290+G291+G292+G293+G294+G295)</f>
        <v>10094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-109945</v>
      </c>
      <c r="G297" s="7">
        <f t="shared" ref="G297:O297" si="27">IF(G4=$BF$1,"",MIN(F267,F268,F269)+F296)</f>
        <v>-109945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26</v>
      </c>
      <c r="G299">
        <v>0</v>
      </c>
      <c r="H299">
        <v>0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-977</v>
      </c>
      <c r="G302">
        <v>-4193</v>
      </c>
      <c r="H302">
        <v>428</v>
      </c>
    </row>
    <row r="303" spans="5:15">
      <c r="E303" s="1" t="s">
        <v>265</v>
      </c>
      <c r="F303">
        <v>33384</v>
      </c>
      <c r="G303">
        <v>-393</v>
      </c>
      <c r="H303">
        <v>-33823</v>
      </c>
    </row>
    <row r="305" spans="5:15">
      <c r="E305" s="1" t="s">
        <v>266</v>
      </c>
      <c r="F305">
        <v>903</v>
      </c>
      <c r="G305">
        <v>-991</v>
      </c>
      <c r="H305">
        <v>-2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-66517</v>
      </c>
      <c r="G309">
        <v>-17351</v>
      </c>
      <c r="H309">
        <v>199700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13717</v>
      </c>
      <c r="G315">
        <v>4959</v>
      </c>
      <c r="H315">
        <v>-274</v>
      </c>
    </row>
    <row r="316" spans="5:15">
      <c r="E316" s="1" t="s">
        <v>276</v>
      </c>
    </row>
    <row r="317" spans="5:15">
      <c r="E317" s="1" t="s">
        <v>277</v>
      </c>
      <c r="F317">
        <v>55482</v>
      </c>
      <c r="G317">
        <v>21974</v>
      </c>
      <c r="H317">
        <v>20703</v>
      </c>
    </row>
    <row r="318" spans="5:15">
      <c r="E318" s="6" t="s">
        <v>278</v>
      </c>
      <c r="F318" s="7">
        <f>F299+F300+F301+F302+F303+F304+F305+F306+F307+F308+F309+F310+F311+F312+F313+F314+F315+F316+F317</f>
        <v>36018</v>
      </c>
      <c r="G318" s="7">
        <f>IF(G4=$BF$1,"",G299+G300+G301+G302+G303+G304+G305+G306+G307+G308+G309+G310+G311+G312+G313+G314+G315+G316+G317)</f>
        <v>4005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-73927</v>
      </c>
      <c r="G319" s="7">
        <f t="shared" ref="G319:O319" si="28">IF(G4=$BF$1,"",G297+G318)</f>
        <v>-105940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-73927</v>
      </c>
      <c r="G326" s="7">
        <f t="shared" ref="G326:O326" si="30">IF(G4=$BF$1,"",G325+G319)</f>
        <v>-105940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4541</v>
      </c>
      <c r="G328">
        <v>-1622</v>
      </c>
      <c r="H328">
        <v>-2662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-224216</v>
      </c>
      <c r="G331">
        <v>-330636</v>
      </c>
      <c r="H331">
        <v>-147009</v>
      </c>
    </row>
    <row r="332" spans="5:15">
      <c r="E332" s="12" t="s">
        <v>291</v>
      </c>
      <c r="F332">
        <v>256269</v>
      </c>
      <c r="G332">
        <v>154998</v>
      </c>
      <c r="H332">
        <v>162376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36594</v>
      </c>
      <c r="G337" s="7">
        <f>IF(G4=$BF$1,"",SUM(G328:G336))</f>
        <v>-177260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96581</v>
      </c>
      <c r="G339">
        <v>116245</v>
      </c>
      <c r="H339">
        <v>66966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-19</v>
      </c>
      <c r="G349">
        <v>-5</v>
      </c>
      <c r="H349">
        <v>-20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96562</v>
      </c>
      <c r="G352" s="7">
        <f>IF(G4=$BF$1,"",SUM(G339:G351))</f>
        <v>116240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59229</v>
      </c>
      <c r="G353" s="7">
        <f t="shared" ref="G353:O353" si="33">IF(G4=$BF$1,"",G326+G337+G352)</f>
        <v>-166960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59229</v>
      </c>
      <c r="G355" s="7">
        <f t="shared" ref="G355:O355" si="34">IF(G4=$BF$1,"",G353+G354)</f>
        <v>-166960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71437</v>
      </c>
      <c r="G356">
        <v>188616</v>
      </c>
      <c r="H356">
        <v>51059</v>
      </c>
    </row>
    <row r="357" spans="5:15">
      <c r="E357" s="6" t="s">
        <v>316</v>
      </c>
      <c r="F357" s="7">
        <f>F355+F356</f>
        <v>130666</v>
      </c>
      <c r="G357" s="7">
        <f t="shared" ref="G357:O357" si="35">IF(G4=$BF$1,"",G355+G356)</f>
        <v>21656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0.14630822118117057</v>
      </c>
      <c r="G364" s="24">
        <f t="shared" si="37"/>
        <v>117.06319218241042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0.94904372141005278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1.7358907554489125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0.96260746502873762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-0.85760703179905839</v>
      </c>
      <c r="G370" s="27">
        <f t="shared" si="42"/>
        <v>-0.4230826532470327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-0.69118425739619338</v>
      </c>
      <c r="G371" s="28">
        <f t="shared" si="43"/>
        <v>-0.40651227466106044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-0.14408653942641539</v>
      </c>
      <c r="G372" s="27">
        <f t="shared" si="44"/>
        <v>-0.20225561226310718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-0.2257928570529997</v>
      </c>
      <c r="G373" s="27">
        <f t="shared" si="45"/>
        <v>-0.60103284546478042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0.36186404961165636</v>
      </c>
      <c r="G376" s="30">
        <f t="shared" si="47"/>
        <v>0.66348659014350153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0.56706419594671098</v>
      </c>
      <c r="G377" s="30">
        <f t="shared" si="48"/>
        <v>1.9716497789090672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1.7624664556461782</v>
      </c>
      <c r="G382" s="32">
        <f t="shared" si="51"/>
        <v>2.5396226949952516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1.3324777092358473</v>
      </c>
      <c r="G383" s="32">
        <f t="shared" si="52"/>
        <v>2.5396226949952516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1.2105700940559216</v>
      </c>
      <c r="G384" s="32">
        <f t="shared" si="53"/>
        <v>2.2521508653069322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-0.27824218176617377</v>
      </c>
      <c r="G385" s="32">
        <f t="shared" si="54"/>
        <v>-0.75078309923036579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104644</v>
      </c>
      <c r="G418" s="17">
        <f>G130-G417</f>
        <v>70156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488</v>
      </c>
      <c r="B1" s="39" t="s">
        <v>489</v>
      </c>
      <c r="C1" s="39" t="s">
        <v>490</v>
      </c>
      <c r="D1" s="39"/>
    </row>
    <row r="2" spans="1:4">
      <c r="A2" s="41" t="s">
        <v>506</v>
      </c>
      <c r="B2" s="41" t="s">
        <v>491</v>
      </c>
      <c r="C2" s="39" t="s">
        <v>492</v>
      </c>
      <c r="D2" s="39"/>
    </row>
    <row r="3" spans="1:4">
      <c r="A3" s="41" t="s">
        <v>507</v>
      </c>
      <c r="B3" s="41" t="s">
        <v>491</v>
      </c>
      <c r="C3" s="39" t="s">
        <v>492</v>
      </c>
    </row>
    <row r="4" spans="1:4">
      <c r="A4" s="41" t="s">
        <v>508</v>
      </c>
      <c r="B4" s="41" t="s">
        <v>493</v>
      </c>
      <c r="C4" s="39" t="s">
        <v>492</v>
      </c>
    </row>
    <row r="5" spans="1:4">
      <c r="A5" s="42" t="s">
        <v>509</v>
      </c>
      <c r="B5" s="41" t="s">
        <v>493</v>
      </c>
      <c r="C5" s="39" t="s">
        <v>492</v>
      </c>
    </row>
    <row r="6" spans="1:4">
      <c r="A6" s="42" t="s">
        <v>512</v>
      </c>
      <c r="B6" s="41" t="s">
        <v>494</v>
      </c>
      <c r="C6" s="39" t="s">
        <v>492</v>
      </c>
    </row>
    <row r="7" spans="1:4">
      <c r="A7" s="41" t="s">
        <v>514</v>
      </c>
      <c r="B7" s="41" t="s">
        <v>495</v>
      </c>
      <c r="C7" s="39" t="s">
        <v>492</v>
      </c>
    </row>
    <row r="8" spans="1:4">
      <c r="A8" s="41" t="s">
        <v>515</v>
      </c>
      <c r="B8" s="41" t="s">
        <v>496</v>
      </c>
      <c r="C8" s="39" t="s">
        <v>492</v>
      </c>
    </row>
    <row r="9" spans="1:4">
      <c r="A9" s="41" t="s">
        <v>497</v>
      </c>
      <c r="B9" s="41" t="s">
        <v>496</v>
      </c>
      <c r="C9" s="39" t="s">
        <v>492</v>
      </c>
    </row>
    <row r="10" spans="1:4">
      <c r="A10" s="41" t="s">
        <v>516</v>
      </c>
      <c r="B10" s="41" t="s">
        <v>496</v>
      </c>
      <c r="C10" s="39" t="s">
        <v>492</v>
      </c>
    </row>
    <row r="11" spans="1:4">
      <c r="A11" s="41" t="s">
        <v>498</v>
      </c>
      <c r="B11" s="41" t="s">
        <v>499</v>
      </c>
      <c r="C11" s="39" t="s">
        <v>492</v>
      </c>
    </row>
    <row r="12" spans="1:4">
      <c r="A12" s="41" t="s">
        <v>517</v>
      </c>
      <c r="B12" s="41" t="s">
        <v>499</v>
      </c>
      <c r="C12" s="39" t="s">
        <v>492</v>
      </c>
    </row>
    <row r="13" spans="1:4">
      <c r="A13" s="42" t="s">
        <v>518</v>
      </c>
      <c r="B13" s="41" t="s">
        <v>500</v>
      </c>
      <c r="C13" s="39" t="s">
        <v>492</v>
      </c>
    </row>
    <row r="14" spans="1:4">
      <c r="A14" s="41" t="s">
        <v>520</v>
      </c>
      <c r="B14" s="41" t="s">
        <v>519</v>
      </c>
      <c r="C14" s="39" t="s">
        <v>492</v>
      </c>
    </row>
    <row r="15" spans="1:4">
      <c r="A15" s="41" t="s">
        <v>501</v>
      </c>
      <c r="B15" s="41" t="s">
        <v>161</v>
      </c>
      <c r="C15" s="39" t="s">
        <v>492</v>
      </c>
    </row>
    <row r="16" spans="1:4">
      <c r="A16" s="42" t="s">
        <v>521</v>
      </c>
      <c r="B16" s="41" t="s">
        <v>161</v>
      </c>
      <c r="C16" s="39" t="s">
        <v>492</v>
      </c>
    </row>
    <row r="17" spans="1:3">
      <c r="A17" s="42" t="s">
        <v>523</v>
      </c>
      <c r="B17" s="41" t="s">
        <v>522</v>
      </c>
      <c r="C17" s="39" t="s">
        <v>492</v>
      </c>
    </row>
    <row r="18" spans="1:3">
      <c r="A18" s="42" t="s">
        <v>524</v>
      </c>
      <c r="B18" s="41" t="s">
        <v>522</v>
      </c>
      <c r="C18" s="39" t="s">
        <v>492</v>
      </c>
    </row>
    <row r="19" spans="1:3">
      <c r="A19" s="43" t="s">
        <v>525</v>
      </c>
      <c r="B19" s="44" t="s">
        <v>502</v>
      </c>
      <c r="C19" s="39" t="s">
        <v>492</v>
      </c>
    </row>
    <row r="20" spans="1:3">
      <c r="A20" s="43" t="s">
        <v>503</v>
      </c>
      <c r="B20" s="43" t="s">
        <v>502</v>
      </c>
      <c r="C20" s="39" t="s">
        <v>492</v>
      </c>
    </row>
    <row r="21" spans="1:3">
      <c r="A21" s="43"/>
      <c r="B21" s="44"/>
      <c r="C21" s="39"/>
    </row>
    <row r="22" spans="1:3">
      <c r="A22" s="43"/>
      <c r="B22" s="44"/>
      <c r="C22" s="39"/>
    </row>
    <row r="23" spans="1:3">
      <c r="A23" s="43"/>
      <c r="B23" s="44"/>
      <c r="C23" s="39"/>
    </row>
    <row r="24" spans="1:3">
      <c r="A24" s="44"/>
      <c r="B24" s="44"/>
      <c r="C24" s="39"/>
    </row>
    <row r="25" spans="1:3">
      <c r="A25" s="42"/>
      <c r="B25" s="44"/>
      <c r="C25" s="39"/>
    </row>
    <row r="26" spans="1:3">
      <c r="A26" s="43"/>
      <c r="B26" s="44"/>
      <c r="C26" s="39"/>
    </row>
    <row r="27" spans="1:3">
      <c r="A27" s="43"/>
      <c r="B27" s="44"/>
      <c r="C27" s="39"/>
    </row>
    <row r="28" spans="1:3">
      <c r="A28" s="43"/>
      <c r="B28" s="44"/>
      <c r="C28" s="39"/>
    </row>
    <row r="29" spans="1:3">
      <c r="A29" s="43"/>
      <c r="B29" s="44"/>
      <c r="C29" s="39"/>
    </row>
    <row r="30" spans="1:3">
      <c r="A30" s="44"/>
      <c r="B30" s="44"/>
      <c r="C30" s="39"/>
    </row>
    <row r="31" spans="1:3">
      <c r="A31" s="44"/>
      <c r="B31" s="44"/>
      <c r="C31" s="39"/>
    </row>
    <row r="32" spans="1:3">
      <c r="A32" s="44"/>
      <c r="B32" s="44"/>
      <c r="C32" s="39"/>
    </row>
    <row r="33" spans="1:3">
      <c r="A33" s="42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4"/>
      <c r="B38" s="44"/>
      <c r="C38" s="39"/>
    </row>
    <row r="39" spans="1:3">
      <c r="A39" s="43"/>
      <c r="B39" s="44"/>
      <c r="C39" s="39"/>
    </row>
    <row r="40" spans="1:3">
      <c r="A40" s="43"/>
      <c r="B40" s="44"/>
      <c r="C40" s="39"/>
    </row>
    <row r="41" spans="1:3">
      <c r="A41" s="43"/>
      <c r="B41" s="44"/>
      <c r="C41" s="39"/>
    </row>
    <row r="42" spans="1:3">
      <c r="A42" s="43"/>
      <c r="B42" s="44"/>
      <c r="C42" s="39"/>
    </row>
    <row r="43" spans="1:3">
      <c r="A43" s="43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  <c r="C47" s="39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  <row r="64" spans="1:2">
      <c r="A64" s="44"/>
      <c r="B64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3" workbookViewId="0">
      <selection activeCell="A25" sqref="A25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5" spans="1:6">
      <c r="A5" t="s">
        <v>375</v>
      </c>
    </row>
    <row r="6" spans="1:6">
      <c r="A6" t="s">
        <v>376</v>
      </c>
      <c r="B6" t="s">
        <v>80</v>
      </c>
      <c r="C6" t="s">
        <v>80</v>
      </c>
      <c r="D6" t="s">
        <v>116</v>
      </c>
    </row>
    <row r="7" spans="1:6">
      <c r="A7" t="s">
        <v>377</v>
      </c>
      <c r="B7" t="s">
        <v>117</v>
      </c>
      <c r="C7" t="s">
        <v>117</v>
      </c>
      <c r="D7" t="s">
        <v>116</v>
      </c>
      <c r="E7">
        <v>104644</v>
      </c>
      <c r="F7">
        <v>70156</v>
      </c>
    </row>
    <row r="8" spans="1:6">
      <c r="A8" t="s">
        <v>378</v>
      </c>
      <c r="B8" t="s">
        <v>118</v>
      </c>
      <c r="C8" t="s">
        <v>118</v>
      </c>
      <c r="D8" t="s">
        <v>116</v>
      </c>
      <c r="E8">
        <v>216996</v>
      </c>
      <c r="F8">
        <v>247636</v>
      </c>
    </row>
    <row r="9" spans="1:6">
      <c r="A9" t="s">
        <v>379</v>
      </c>
      <c r="B9" t="s">
        <v>126</v>
      </c>
      <c r="C9" t="s">
        <v>126</v>
      </c>
      <c r="D9" t="s">
        <v>116</v>
      </c>
      <c r="E9">
        <v>114245</v>
      </c>
    </row>
    <row r="10" spans="1:6">
      <c r="A10" t="s">
        <v>380</v>
      </c>
      <c r="B10" t="s">
        <v>352</v>
      </c>
      <c r="C10" t="s">
        <v>137</v>
      </c>
      <c r="D10" t="s">
        <v>116</v>
      </c>
      <c r="E10">
        <v>16666</v>
      </c>
      <c r="F10">
        <v>34216</v>
      </c>
    </row>
    <row r="11" spans="1:6">
      <c r="A11" t="s">
        <v>381</v>
      </c>
      <c r="B11" t="s">
        <v>134</v>
      </c>
      <c r="C11" t="s">
        <v>134</v>
      </c>
      <c r="D11" t="s">
        <v>116</v>
      </c>
      <c r="E11">
        <v>15724</v>
      </c>
      <c r="F11">
        <v>6348</v>
      </c>
    </row>
    <row r="12" spans="1:6">
      <c r="A12" t="s">
        <v>382</v>
      </c>
      <c r="B12" t="s">
        <v>115</v>
      </c>
      <c r="C12" t="s">
        <v>115</v>
      </c>
      <c r="D12" t="s">
        <v>116</v>
      </c>
      <c r="E12">
        <v>468275</v>
      </c>
      <c r="F12">
        <v>358356</v>
      </c>
    </row>
    <row r="13" spans="1:6">
      <c r="A13" t="s">
        <v>383</v>
      </c>
      <c r="B13" t="s">
        <v>384</v>
      </c>
      <c r="C13" t="s">
        <v>84</v>
      </c>
      <c r="D13" t="s">
        <v>80</v>
      </c>
      <c r="E13">
        <v>8023</v>
      </c>
      <c r="F13">
        <v>3617</v>
      </c>
    </row>
    <row r="14" spans="1:6">
      <c r="A14" t="s">
        <v>385</v>
      </c>
      <c r="B14" t="s">
        <v>385</v>
      </c>
      <c r="C14" t="s">
        <v>91</v>
      </c>
      <c r="D14" t="s">
        <v>80</v>
      </c>
      <c r="E14">
        <v>55053</v>
      </c>
    </row>
    <row r="15" spans="1:6">
      <c r="A15" t="s">
        <v>386</v>
      </c>
      <c r="B15" t="s">
        <v>387</v>
      </c>
      <c r="C15" t="s">
        <v>92</v>
      </c>
      <c r="D15" t="s">
        <v>80</v>
      </c>
      <c r="E15">
        <v>328153</v>
      </c>
    </row>
    <row r="16" spans="1:6">
      <c r="A16" t="s">
        <v>388</v>
      </c>
      <c r="B16" t="s">
        <v>113</v>
      </c>
      <c r="C16" t="s">
        <v>113</v>
      </c>
      <c r="D16" t="s">
        <v>80</v>
      </c>
      <c r="E16">
        <v>137036</v>
      </c>
      <c r="F16">
        <v>2274</v>
      </c>
    </row>
    <row r="17" spans="1:6">
      <c r="A17" t="s">
        <v>389</v>
      </c>
      <c r="D17" t="s">
        <v>80</v>
      </c>
      <c r="E17">
        <v>996540</v>
      </c>
      <c r="F17">
        <v>364247</v>
      </c>
    </row>
    <row r="18" spans="1:6">
      <c r="A18" t="s">
        <v>390</v>
      </c>
      <c r="D18" t="s">
        <v>80</v>
      </c>
    </row>
    <row r="19" spans="1:6">
      <c r="A19" t="s">
        <v>391</v>
      </c>
      <c r="B19" t="s">
        <v>141</v>
      </c>
      <c r="C19" t="s">
        <v>141</v>
      </c>
      <c r="D19" t="s">
        <v>141</v>
      </c>
    </row>
    <row r="20" spans="1:6">
      <c r="A20" t="s">
        <v>392</v>
      </c>
      <c r="B20" t="s">
        <v>392</v>
      </c>
      <c r="C20" t="s">
        <v>163</v>
      </c>
      <c r="D20" t="s">
        <v>141</v>
      </c>
      <c r="E20">
        <v>42796</v>
      </c>
      <c r="F20">
        <v>6998</v>
      </c>
    </row>
    <row r="21" spans="1:6">
      <c r="A21" t="s">
        <v>364</v>
      </c>
      <c r="B21" t="s">
        <v>393</v>
      </c>
      <c r="C21" t="s">
        <v>161</v>
      </c>
      <c r="D21" t="s">
        <v>141</v>
      </c>
      <c r="E21">
        <v>150917</v>
      </c>
      <c r="F21">
        <v>52441</v>
      </c>
    </row>
    <row r="22" spans="1:6">
      <c r="A22" t="s">
        <v>394</v>
      </c>
      <c r="B22" t="s">
        <v>169</v>
      </c>
      <c r="C22" t="s">
        <v>168</v>
      </c>
      <c r="D22" t="s">
        <v>165</v>
      </c>
      <c r="E22">
        <v>15000</v>
      </c>
    </row>
    <row r="23" spans="1:6">
      <c r="A23" t="s">
        <v>395</v>
      </c>
      <c r="B23" t="s">
        <v>172</v>
      </c>
      <c r="C23" t="s">
        <v>172</v>
      </c>
      <c r="D23" t="s">
        <v>141</v>
      </c>
      <c r="E23">
        <v>56980</v>
      </c>
      <c r="F23">
        <v>81667</v>
      </c>
    </row>
    <row r="24" spans="1:6">
      <c r="A24" t="s">
        <v>396</v>
      </c>
      <c r="B24" t="s">
        <v>13</v>
      </c>
      <c r="C24" t="s">
        <v>13</v>
      </c>
      <c r="D24" t="s">
        <v>141</v>
      </c>
      <c r="E24">
        <v>265693</v>
      </c>
      <c r="F24">
        <v>141106</v>
      </c>
    </row>
    <row r="25" spans="1:6">
      <c r="A25" t="s">
        <v>397</v>
      </c>
      <c r="B25" t="s">
        <v>172</v>
      </c>
      <c r="C25" t="s">
        <v>172</v>
      </c>
      <c r="D25" t="s">
        <v>165</v>
      </c>
      <c r="E25">
        <v>3006</v>
      </c>
      <c r="F25">
        <v>2588</v>
      </c>
    </row>
    <row r="26" spans="1:6">
      <c r="A26" t="s">
        <v>398</v>
      </c>
      <c r="B26" t="s">
        <v>172</v>
      </c>
      <c r="C26" t="s">
        <v>172</v>
      </c>
      <c r="D26" t="s">
        <v>165</v>
      </c>
      <c r="E26">
        <v>55709</v>
      </c>
      <c r="F26">
        <v>97957</v>
      </c>
    </row>
    <row r="27" spans="1:6">
      <c r="A27" t="s">
        <v>399</v>
      </c>
      <c r="B27" t="s">
        <v>178</v>
      </c>
      <c r="C27" t="s">
        <v>178</v>
      </c>
      <c r="D27" t="s">
        <v>165</v>
      </c>
      <c r="E27">
        <v>6631</v>
      </c>
    </row>
    <row r="28" spans="1:6">
      <c r="A28" t="s">
        <v>400</v>
      </c>
      <c r="B28" t="s">
        <v>180</v>
      </c>
      <c r="C28" t="s">
        <v>180</v>
      </c>
      <c r="D28" t="s">
        <v>165</v>
      </c>
      <c r="E28">
        <v>29573</v>
      </c>
      <c r="F28">
        <v>22</v>
      </c>
    </row>
    <row r="29" spans="1:6">
      <c r="A29" t="s">
        <v>401</v>
      </c>
      <c r="B29" t="s">
        <v>164</v>
      </c>
      <c r="C29" t="s">
        <v>164</v>
      </c>
      <c r="D29" t="s">
        <v>165</v>
      </c>
      <c r="E29">
        <v>360612</v>
      </c>
      <c r="F29">
        <v>241673</v>
      </c>
    </row>
    <row r="30" spans="1:6">
      <c r="A30" t="s">
        <v>402</v>
      </c>
      <c r="B30" t="s">
        <v>180</v>
      </c>
      <c r="C30" t="s">
        <v>180</v>
      </c>
      <c r="D30" t="s">
        <v>165</v>
      </c>
    </row>
    <row r="31" spans="1:6">
      <c r="A31" t="s">
        <v>403</v>
      </c>
      <c r="B31" t="s">
        <v>181</v>
      </c>
      <c r="C31" t="s">
        <v>181</v>
      </c>
      <c r="D31" t="s">
        <v>165</v>
      </c>
    </row>
    <row r="32" spans="1:6">
      <c r="A32" t="s">
        <v>404</v>
      </c>
      <c r="D32" t="s">
        <v>165</v>
      </c>
    </row>
    <row r="33" spans="1:6">
      <c r="A33" t="s">
        <v>405</v>
      </c>
      <c r="D33" t="s">
        <v>165</v>
      </c>
    </row>
    <row r="34" spans="1:6">
      <c r="A34" t="s">
        <v>406</v>
      </c>
      <c r="B34" t="s">
        <v>182</v>
      </c>
      <c r="C34" t="s">
        <v>182</v>
      </c>
      <c r="D34" t="s">
        <v>181</v>
      </c>
    </row>
    <row r="35" spans="1:6">
      <c r="A35" t="s">
        <v>407</v>
      </c>
      <c r="D35" t="s">
        <v>181</v>
      </c>
    </row>
    <row r="36" spans="1:6">
      <c r="A36" t="s">
        <v>408</v>
      </c>
      <c r="D36" t="s">
        <v>181</v>
      </c>
      <c r="E36">
        <v>1</v>
      </c>
    </row>
    <row r="37" spans="1:6">
      <c r="A37" t="s">
        <v>409</v>
      </c>
      <c r="B37" t="s">
        <v>182</v>
      </c>
      <c r="C37" t="s">
        <v>182</v>
      </c>
      <c r="D37" t="s">
        <v>181</v>
      </c>
      <c r="E37">
        <v>1150583</v>
      </c>
      <c r="F37">
        <v>493823</v>
      </c>
    </row>
    <row r="38" spans="1:6">
      <c r="A38" t="s">
        <v>410</v>
      </c>
      <c r="B38" t="s">
        <v>189</v>
      </c>
      <c r="C38" t="s">
        <v>189</v>
      </c>
      <c r="D38" t="s">
        <v>181</v>
      </c>
      <c r="E38">
        <v>-261</v>
      </c>
      <c r="F38">
        <v>-442</v>
      </c>
    </row>
    <row r="39" spans="1:6">
      <c r="A39" t="s">
        <v>411</v>
      </c>
      <c r="B39" t="s">
        <v>187</v>
      </c>
      <c r="C39" t="s">
        <v>187</v>
      </c>
      <c r="D39" t="s">
        <v>181</v>
      </c>
      <c r="E39">
        <v>-514395</v>
      </c>
      <c r="F39">
        <v>-370807</v>
      </c>
    </row>
    <row r="40" spans="1:6">
      <c r="A40" t="s">
        <v>412</v>
      </c>
      <c r="B40" t="s">
        <v>195</v>
      </c>
      <c r="C40" t="s">
        <v>195</v>
      </c>
      <c r="D40" t="s">
        <v>181</v>
      </c>
      <c r="E40">
        <v>635928</v>
      </c>
      <c r="F40">
        <v>122574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2.75"/>
  <cols>
    <col min="1" max="4" width="25.7109375" customWidth="1"/>
  </cols>
  <sheetData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5" spans="1:7">
      <c r="A5" t="s">
        <v>413</v>
      </c>
      <c r="B5" t="s">
        <v>414</v>
      </c>
      <c r="C5" t="s">
        <v>26</v>
      </c>
      <c r="D5" t="s">
        <v>414</v>
      </c>
    </row>
    <row r="6" spans="1:7">
      <c r="A6" t="s">
        <v>415</v>
      </c>
      <c r="B6" t="s">
        <v>414</v>
      </c>
      <c r="C6" t="s">
        <v>26</v>
      </c>
      <c r="D6" t="s">
        <v>414</v>
      </c>
      <c r="E6">
        <v>6824</v>
      </c>
    </row>
    <row r="7" spans="1:7">
      <c r="A7" t="s">
        <v>416</v>
      </c>
      <c r="B7" t="s">
        <v>414</v>
      </c>
      <c r="C7" t="s">
        <v>26</v>
      </c>
      <c r="D7" t="s">
        <v>414</v>
      </c>
      <c r="E7">
        <v>200918</v>
      </c>
      <c r="F7">
        <v>181227</v>
      </c>
      <c r="G7">
        <v>1535</v>
      </c>
    </row>
    <row r="8" spans="1:7">
      <c r="A8" t="s">
        <v>417</v>
      </c>
      <c r="B8" t="s">
        <v>45</v>
      </c>
      <c r="C8" t="s">
        <v>45</v>
      </c>
      <c r="D8" t="s">
        <v>414</v>
      </c>
      <c r="E8">
        <v>-207742</v>
      </c>
      <c r="F8">
        <v>-181227</v>
      </c>
      <c r="G8">
        <v>1535</v>
      </c>
    </row>
    <row r="9" spans="1:7">
      <c r="A9" t="s">
        <v>418</v>
      </c>
      <c r="B9" t="s">
        <v>27</v>
      </c>
      <c r="C9" t="s">
        <v>27</v>
      </c>
      <c r="D9" t="s">
        <v>414</v>
      </c>
    </row>
    <row r="10" spans="1:7">
      <c r="A10" t="s">
        <v>419</v>
      </c>
      <c r="B10" t="s">
        <v>414</v>
      </c>
      <c r="C10" t="s">
        <v>26</v>
      </c>
      <c r="D10" t="s">
        <v>414</v>
      </c>
      <c r="E10">
        <v>6251</v>
      </c>
    </row>
    <row r="11" spans="1:7">
      <c r="A11" t="s">
        <v>420</v>
      </c>
      <c r="B11" t="s">
        <v>421</v>
      </c>
      <c r="C11" t="s">
        <v>43</v>
      </c>
      <c r="D11" t="s">
        <v>414</v>
      </c>
      <c r="E11">
        <v>-1517</v>
      </c>
    </row>
    <row r="12" spans="1:7">
      <c r="A12" t="s">
        <v>422</v>
      </c>
      <c r="B12" t="s">
        <v>27</v>
      </c>
      <c r="C12" t="s">
        <v>27</v>
      </c>
      <c r="D12" t="s">
        <v>414</v>
      </c>
      <c r="E12">
        <v>7768</v>
      </c>
    </row>
    <row r="13" spans="1:7">
      <c r="A13" t="s">
        <v>423</v>
      </c>
      <c r="B13" t="s">
        <v>58</v>
      </c>
      <c r="C13" t="s">
        <v>58</v>
      </c>
      <c r="D13" t="s">
        <v>414</v>
      </c>
    </row>
    <row r="14" spans="1:7">
      <c r="A14" t="s">
        <v>424</v>
      </c>
      <c r="B14" t="s">
        <v>37</v>
      </c>
      <c r="C14" t="s">
        <v>37</v>
      </c>
      <c r="D14" t="s">
        <v>414</v>
      </c>
      <c r="E14">
        <v>291007</v>
      </c>
      <c r="F14">
        <v>230893</v>
      </c>
      <c r="G14">
        <v>115785</v>
      </c>
    </row>
    <row r="15" spans="1:7">
      <c r="A15" t="s">
        <v>425</v>
      </c>
      <c r="B15" t="s">
        <v>36</v>
      </c>
      <c r="C15" t="s">
        <v>36</v>
      </c>
      <c r="D15" t="s">
        <v>414</v>
      </c>
      <c r="E15">
        <v>87061</v>
      </c>
      <c r="F15">
        <v>27008</v>
      </c>
      <c r="G15">
        <v>22210</v>
      </c>
    </row>
    <row r="16" spans="1:7">
      <c r="A16" t="s">
        <v>426</v>
      </c>
      <c r="D16" t="s">
        <v>414</v>
      </c>
      <c r="E16">
        <v>67</v>
      </c>
    </row>
    <row r="17" spans="1:7">
      <c r="A17" t="s">
        <v>427</v>
      </c>
      <c r="B17" t="s">
        <v>45</v>
      </c>
      <c r="C17" t="s">
        <v>45</v>
      </c>
      <c r="D17" t="s">
        <v>414</v>
      </c>
      <c r="E17">
        <v>378135</v>
      </c>
      <c r="F17">
        <v>257901</v>
      </c>
      <c r="G17">
        <v>137995</v>
      </c>
    </row>
    <row r="18" spans="1:7">
      <c r="A18" t="s">
        <v>428</v>
      </c>
      <c r="B18" t="s">
        <v>429</v>
      </c>
      <c r="C18" t="s">
        <v>46</v>
      </c>
      <c r="D18" t="s">
        <v>414</v>
      </c>
      <c r="E18">
        <v>-178161</v>
      </c>
      <c r="F18">
        <v>-76674</v>
      </c>
      <c r="G18">
        <v>-136460</v>
      </c>
    </row>
    <row r="19" spans="1:7">
      <c r="A19" t="s">
        <v>430</v>
      </c>
      <c r="B19" t="s">
        <v>56</v>
      </c>
      <c r="C19" t="s">
        <v>56</v>
      </c>
      <c r="D19" t="s">
        <v>414</v>
      </c>
    </row>
    <row r="20" spans="1:7">
      <c r="A20" t="s">
        <v>431</v>
      </c>
      <c r="B20" t="s">
        <v>54</v>
      </c>
      <c r="C20" t="s">
        <v>54</v>
      </c>
      <c r="D20" t="s">
        <v>414</v>
      </c>
      <c r="E20">
        <v>6154</v>
      </c>
      <c r="F20">
        <v>2799</v>
      </c>
      <c r="G20">
        <v>901</v>
      </c>
    </row>
    <row r="21" spans="1:7">
      <c r="A21" t="s">
        <v>432</v>
      </c>
      <c r="B21" t="s">
        <v>56</v>
      </c>
      <c r="C21" t="s">
        <v>56</v>
      </c>
      <c r="D21" t="s">
        <v>414</v>
      </c>
      <c r="E21">
        <v>81</v>
      </c>
      <c r="F21">
        <v>204</v>
      </c>
      <c r="G21">
        <v>-188</v>
      </c>
    </row>
    <row r="22" spans="1:7">
      <c r="A22" t="s">
        <v>433</v>
      </c>
      <c r="B22" t="s">
        <v>434</v>
      </c>
      <c r="C22" t="s">
        <v>61</v>
      </c>
      <c r="D22" t="s">
        <v>414</v>
      </c>
      <c r="E22">
        <v>-171926</v>
      </c>
      <c r="F22">
        <v>-73671</v>
      </c>
      <c r="G22">
        <v>-135747</v>
      </c>
    </row>
    <row r="23" spans="1:7">
      <c r="A23" t="s">
        <v>435</v>
      </c>
      <c r="B23" t="s">
        <v>62</v>
      </c>
      <c r="C23" t="s">
        <v>62</v>
      </c>
      <c r="D23" t="s">
        <v>414</v>
      </c>
      <c r="E23">
        <v>-28338</v>
      </c>
    </row>
    <row r="24" spans="1:7">
      <c r="A24" t="s">
        <v>436</v>
      </c>
      <c r="B24" t="s">
        <v>66</v>
      </c>
      <c r="C24" t="s">
        <v>66</v>
      </c>
      <c r="D24" t="s">
        <v>414</v>
      </c>
      <c r="E24">
        <v>-143588</v>
      </c>
      <c r="F24">
        <v>-73671</v>
      </c>
      <c r="G24">
        <v>-135747</v>
      </c>
    </row>
    <row r="25" spans="1:7">
      <c r="A25" t="s">
        <v>437</v>
      </c>
      <c r="D25" t="s">
        <v>414</v>
      </c>
      <c r="E25">
        <v>-247</v>
      </c>
      <c r="F25">
        <v>-169</v>
      </c>
      <c r="G25">
        <v>-360</v>
      </c>
    </row>
    <row r="26" spans="1:7">
      <c r="A26" t="s">
        <v>438</v>
      </c>
      <c r="D26" t="s">
        <v>414</v>
      </c>
      <c r="E26">
        <v>58038252</v>
      </c>
      <c r="F26">
        <v>43500795</v>
      </c>
      <c r="G26">
        <v>37716949</v>
      </c>
    </row>
    <row r="27" spans="1:7">
      <c r="A27" t="s">
        <v>439</v>
      </c>
      <c r="B27" t="s">
        <v>440</v>
      </c>
      <c r="C27" t="s">
        <v>441</v>
      </c>
      <c r="D27" t="s">
        <v>414</v>
      </c>
    </row>
    <row r="28" spans="1:7">
      <c r="A28" t="s">
        <v>436</v>
      </c>
      <c r="B28" t="s">
        <v>66</v>
      </c>
      <c r="C28" t="s">
        <v>66</v>
      </c>
      <c r="D28" t="s">
        <v>414</v>
      </c>
      <c r="E28">
        <v>-143588</v>
      </c>
      <c r="F28">
        <v>-73671</v>
      </c>
      <c r="G28">
        <v>-135747</v>
      </c>
    </row>
    <row r="29" spans="1:7">
      <c r="A29" t="s">
        <v>442</v>
      </c>
      <c r="B29" t="s">
        <v>443</v>
      </c>
      <c r="C29" t="s">
        <v>441</v>
      </c>
      <c r="D29" t="s">
        <v>414</v>
      </c>
      <c r="E29">
        <v>181</v>
      </c>
      <c r="F29">
        <v>-400</v>
      </c>
      <c r="G29">
        <v>-42</v>
      </c>
    </row>
    <row r="30" spans="1:7">
      <c r="A30" t="s">
        <v>444</v>
      </c>
      <c r="B30" t="s">
        <v>445</v>
      </c>
      <c r="C30" t="s">
        <v>446</v>
      </c>
      <c r="D30" t="s">
        <v>414</v>
      </c>
      <c r="E30">
        <v>-143407</v>
      </c>
      <c r="F30">
        <v>-74071</v>
      </c>
      <c r="G30">
        <v>-135789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447</v>
      </c>
      <c r="B4" t="s">
        <v>231</v>
      </c>
      <c r="C4" t="s">
        <v>231</v>
      </c>
      <c r="D4" t="s">
        <v>448</v>
      </c>
    </row>
    <row r="5" spans="1:7">
      <c r="A5" t="s">
        <v>436</v>
      </c>
      <c r="B5" t="s">
        <v>232</v>
      </c>
      <c r="C5" t="s">
        <v>232</v>
      </c>
      <c r="D5" t="s">
        <v>448</v>
      </c>
      <c r="E5">
        <v>-143588</v>
      </c>
      <c r="F5">
        <v>-73671</v>
      </c>
      <c r="G5">
        <v>-135747</v>
      </c>
    </row>
    <row r="6" spans="1:7">
      <c r="A6" t="s">
        <v>449</v>
      </c>
      <c r="D6" t="s">
        <v>448</v>
      </c>
    </row>
    <row r="7" spans="1:7">
      <c r="A7" t="s">
        <v>450</v>
      </c>
      <c r="B7" t="s">
        <v>236</v>
      </c>
      <c r="C7" t="s">
        <v>236</v>
      </c>
      <c r="D7" t="s">
        <v>448</v>
      </c>
      <c r="E7">
        <v>899</v>
      </c>
      <c r="F7">
        <v>617</v>
      </c>
      <c r="G7">
        <v>296</v>
      </c>
    </row>
    <row r="8" spans="1:7">
      <c r="A8" t="s">
        <v>420</v>
      </c>
      <c r="B8" t="s">
        <v>240</v>
      </c>
      <c r="C8" t="s">
        <v>240</v>
      </c>
      <c r="D8" t="s">
        <v>448</v>
      </c>
      <c r="E8">
        <v>1522</v>
      </c>
    </row>
    <row r="9" spans="1:7">
      <c r="A9" t="s">
        <v>451</v>
      </c>
      <c r="B9" t="s">
        <v>240</v>
      </c>
      <c r="C9" t="s">
        <v>240</v>
      </c>
      <c r="D9" t="s">
        <v>448</v>
      </c>
      <c r="E9">
        <v>-1232</v>
      </c>
      <c r="F9">
        <v>610</v>
      </c>
      <c r="G9">
        <v>494</v>
      </c>
    </row>
    <row r="10" spans="1:7">
      <c r="A10" t="s">
        <v>452</v>
      </c>
      <c r="B10" t="s">
        <v>243</v>
      </c>
      <c r="C10" t="s">
        <v>243</v>
      </c>
      <c r="D10" t="s">
        <v>448</v>
      </c>
      <c r="E10">
        <v>28</v>
      </c>
    </row>
    <row r="11" spans="1:7">
      <c r="A11" t="s">
        <v>453</v>
      </c>
      <c r="B11" t="s">
        <v>243</v>
      </c>
      <c r="C11" t="s">
        <v>243</v>
      </c>
      <c r="D11" t="s">
        <v>448</v>
      </c>
      <c r="E11">
        <v>13386</v>
      </c>
    </row>
    <row r="12" spans="1:7">
      <c r="A12" t="s">
        <v>454</v>
      </c>
      <c r="B12" t="s">
        <v>245</v>
      </c>
      <c r="C12" t="s">
        <v>245</v>
      </c>
      <c r="D12" t="s">
        <v>448</v>
      </c>
      <c r="G12">
        <v>306</v>
      </c>
    </row>
    <row r="13" spans="1:7">
      <c r="A13" t="s">
        <v>455</v>
      </c>
      <c r="D13" t="s">
        <v>448</v>
      </c>
      <c r="E13">
        <v>4771</v>
      </c>
    </row>
    <row r="14" spans="1:7">
      <c r="A14" t="s">
        <v>456</v>
      </c>
      <c r="B14" t="s">
        <v>248</v>
      </c>
      <c r="C14" t="s">
        <v>248</v>
      </c>
      <c r="D14" t="s">
        <v>448</v>
      </c>
      <c r="E14">
        <v>19040</v>
      </c>
      <c r="F14">
        <v>8867</v>
      </c>
      <c r="G14">
        <v>5825</v>
      </c>
    </row>
    <row r="15" spans="1:7">
      <c r="A15" t="s">
        <v>457</v>
      </c>
      <c r="D15" t="s">
        <v>448</v>
      </c>
      <c r="E15">
        <v>-28338</v>
      </c>
    </row>
    <row r="16" spans="1:7">
      <c r="A16" t="s">
        <v>458</v>
      </c>
      <c r="D16" t="s">
        <v>448</v>
      </c>
      <c r="F16">
        <v>3413</v>
      </c>
    </row>
    <row r="17" spans="1:7">
      <c r="A17" t="s">
        <v>459</v>
      </c>
      <c r="B17" t="s">
        <v>251</v>
      </c>
      <c r="C17" t="s">
        <v>251</v>
      </c>
      <c r="D17" t="s">
        <v>448</v>
      </c>
    </row>
    <row r="18" spans="1:7">
      <c r="A18" t="s">
        <v>380</v>
      </c>
      <c r="B18" t="s">
        <v>265</v>
      </c>
      <c r="C18" t="s">
        <v>265</v>
      </c>
      <c r="D18" t="s">
        <v>448</v>
      </c>
      <c r="E18">
        <v>33384</v>
      </c>
      <c r="F18">
        <v>-393</v>
      </c>
      <c r="G18">
        <v>-33823</v>
      </c>
    </row>
    <row r="19" spans="1:7">
      <c r="A19" t="s">
        <v>379</v>
      </c>
      <c r="B19" t="s">
        <v>261</v>
      </c>
      <c r="C19" t="s">
        <v>261</v>
      </c>
      <c r="D19" t="s">
        <v>448</v>
      </c>
      <c r="E19">
        <v>26</v>
      </c>
    </row>
    <row r="20" spans="1:7">
      <c r="A20" t="s">
        <v>381</v>
      </c>
      <c r="B20" t="s">
        <v>264</v>
      </c>
      <c r="C20" t="s">
        <v>264</v>
      </c>
      <c r="D20" t="s">
        <v>448</v>
      </c>
      <c r="E20">
        <v>-977</v>
      </c>
      <c r="F20">
        <v>-4193</v>
      </c>
      <c r="G20">
        <v>428</v>
      </c>
    </row>
    <row r="21" spans="1:7">
      <c r="A21" t="s">
        <v>460</v>
      </c>
      <c r="B21" t="s">
        <v>266</v>
      </c>
      <c r="C21" t="s">
        <v>266</v>
      </c>
      <c r="D21" t="s">
        <v>448</v>
      </c>
      <c r="E21">
        <v>903</v>
      </c>
      <c r="F21">
        <v>-991</v>
      </c>
      <c r="G21">
        <v>-2</v>
      </c>
    </row>
    <row r="22" spans="1:7">
      <c r="A22" t="s">
        <v>392</v>
      </c>
      <c r="B22" t="s">
        <v>275</v>
      </c>
      <c r="C22" t="s">
        <v>275</v>
      </c>
      <c r="D22" t="s">
        <v>448</v>
      </c>
      <c r="E22">
        <v>13717</v>
      </c>
      <c r="F22">
        <v>4959</v>
      </c>
      <c r="G22">
        <v>-274</v>
      </c>
    </row>
    <row r="23" spans="1:7">
      <c r="A23" t="s">
        <v>461</v>
      </c>
      <c r="B23" t="s">
        <v>277</v>
      </c>
      <c r="C23" t="s">
        <v>277</v>
      </c>
      <c r="D23" t="s">
        <v>448</v>
      </c>
      <c r="E23">
        <v>55482</v>
      </c>
      <c r="F23">
        <v>21974</v>
      </c>
      <c r="G23">
        <v>20703</v>
      </c>
    </row>
    <row r="24" spans="1:7">
      <c r="A24" t="s">
        <v>462</v>
      </c>
      <c r="B24" t="s">
        <v>269</v>
      </c>
      <c r="C24" t="s">
        <v>269</v>
      </c>
      <c r="D24" t="s">
        <v>448</v>
      </c>
      <c r="E24">
        <v>-66935</v>
      </c>
      <c r="F24">
        <v>-17665</v>
      </c>
      <c r="G24">
        <v>197289</v>
      </c>
    </row>
    <row r="25" spans="1:7">
      <c r="A25" t="s">
        <v>463</v>
      </c>
      <c r="B25" t="s">
        <v>269</v>
      </c>
      <c r="C25" t="s">
        <v>269</v>
      </c>
      <c r="D25" t="s">
        <v>448</v>
      </c>
      <c r="E25">
        <v>418</v>
      </c>
      <c r="F25">
        <v>314</v>
      </c>
      <c r="G25">
        <v>2411</v>
      </c>
    </row>
    <row r="26" spans="1:7">
      <c r="A26" t="s">
        <v>464</v>
      </c>
      <c r="B26" t="s">
        <v>285</v>
      </c>
      <c r="C26" t="s">
        <v>285</v>
      </c>
      <c r="D26" t="s">
        <v>448</v>
      </c>
      <c r="E26">
        <v>-97494</v>
      </c>
      <c r="F26">
        <v>-56159</v>
      </c>
      <c r="G26">
        <v>57906</v>
      </c>
    </row>
    <row r="27" spans="1:7">
      <c r="A27" t="s">
        <v>465</v>
      </c>
      <c r="B27" t="s">
        <v>286</v>
      </c>
      <c r="C27" t="s">
        <v>286</v>
      </c>
      <c r="D27" t="s">
        <v>466</v>
      </c>
    </row>
    <row r="28" spans="1:7">
      <c r="A28" t="s">
        <v>467</v>
      </c>
      <c r="B28" t="s">
        <v>287</v>
      </c>
      <c r="C28" t="s">
        <v>287</v>
      </c>
      <c r="D28" t="s">
        <v>466</v>
      </c>
      <c r="E28">
        <v>6147</v>
      </c>
    </row>
    <row r="29" spans="1:7">
      <c r="A29" t="s">
        <v>468</v>
      </c>
      <c r="B29" t="s">
        <v>287</v>
      </c>
      <c r="C29" t="s">
        <v>287</v>
      </c>
      <c r="D29" t="s">
        <v>466</v>
      </c>
      <c r="E29">
        <v>-1606</v>
      </c>
      <c r="F29">
        <v>-1622</v>
      </c>
      <c r="G29">
        <v>-2662</v>
      </c>
    </row>
    <row r="30" spans="1:7">
      <c r="A30" t="s">
        <v>469</v>
      </c>
      <c r="B30" t="s">
        <v>291</v>
      </c>
      <c r="C30" t="s">
        <v>291</v>
      </c>
      <c r="D30" t="s">
        <v>466</v>
      </c>
      <c r="E30">
        <v>243269</v>
      </c>
      <c r="F30">
        <v>149998</v>
      </c>
      <c r="G30">
        <v>162376</v>
      </c>
    </row>
    <row r="31" spans="1:7">
      <c r="A31" t="s">
        <v>470</v>
      </c>
      <c r="B31" t="s">
        <v>291</v>
      </c>
      <c r="C31" t="s">
        <v>291</v>
      </c>
      <c r="D31" t="s">
        <v>466</v>
      </c>
      <c r="E31">
        <v>13000</v>
      </c>
      <c r="F31">
        <v>5000</v>
      </c>
    </row>
    <row r="32" spans="1:7">
      <c r="A32" t="s">
        <v>471</v>
      </c>
      <c r="B32" t="s">
        <v>290</v>
      </c>
      <c r="C32" t="s">
        <v>290</v>
      </c>
      <c r="D32" t="s">
        <v>466</v>
      </c>
      <c r="E32">
        <v>-224216</v>
      </c>
      <c r="F32">
        <v>-330636</v>
      </c>
      <c r="G32">
        <v>-147009</v>
      </c>
    </row>
    <row r="33" spans="1:7">
      <c r="A33" t="s">
        <v>472</v>
      </c>
      <c r="B33" t="s">
        <v>296</v>
      </c>
      <c r="C33" t="s">
        <v>296</v>
      </c>
      <c r="D33" t="s">
        <v>466</v>
      </c>
      <c r="E33">
        <v>36594</v>
      </c>
      <c r="F33">
        <v>-177260</v>
      </c>
      <c r="G33">
        <v>12705</v>
      </c>
    </row>
    <row r="34" spans="1:7">
      <c r="A34" t="s">
        <v>473</v>
      </c>
      <c r="B34" t="s">
        <v>297</v>
      </c>
      <c r="C34" t="s">
        <v>297</v>
      </c>
      <c r="D34" t="s">
        <v>474</v>
      </c>
    </row>
    <row r="35" spans="1:7">
      <c r="A35" t="s">
        <v>475</v>
      </c>
      <c r="B35" t="s">
        <v>298</v>
      </c>
      <c r="C35" t="s">
        <v>298</v>
      </c>
      <c r="D35" t="s">
        <v>474</v>
      </c>
      <c r="E35">
        <v>95452</v>
      </c>
      <c r="F35">
        <v>114580</v>
      </c>
      <c r="G35">
        <v>66736</v>
      </c>
    </row>
    <row r="36" spans="1:7">
      <c r="A36" t="s">
        <v>476</v>
      </c>
      <c r="B36" t="s">
        <v>298</v>
      </c>
      <c r="C36" t="s">
        <v>298</v>
      </c>
      <c r="D36" t="s">
        <v>474</v>
      </c>
      <c r="E36">
        <v>482</v>
      </c>
      <c r="F36">
        <v>353</v>
      </c>
      <c r="G36">
        <v>106</v>
      </c>
    </row>
    <row r="37" spans="1:7">
      <c r="A37" t="s">
        <v>477</v>
      </c>
      <c r="B37" t="s">
        <v>298</v>
      </c>
      <c r="C37" t="s">
        <v>298</v>
      </c>
      <c r="D37" t="s">
        <v>474</v>
      </c>
      <c r="E37">
        <v>647</v>
      </c>
      <c r="F37">
        <v>1312</v>
      </c>
      <c r="G37">
        <v>124</v>
      </c>
    </row>
    <row r="38" spans="1:7">
      <c r="A38" t="s">
        <v>478</v>
      </c>
      <c r="B38" t="s">
        <v>479</v>
      </c>
      <c r="C38" t="s">
        <v>479</v>
      </c>
      <c r="D38" t="s">
        <v>474</v>
      </c>
      <c r="E38">
        <v>-19</v>
      </c>
      <c r="F38">
        <v>-5</v>
      </c>
      <c r="G38">
        <v>-20</v>
      </c>
    </row>
    <row r="39" spans="1:7">
      <c r="A39" t="s">
        <v>480</v>
      </c>
      <c r="B39" t="s">
        <v>311</v>
      </c>
      <c r="C39" t="s">
        <v>311</v>
      </c>
      <c r="D39" t="s">
        <v>474</v>
      </c>
      <c r="E39">
        <v>96562</v>
      </c>
      <c r="F39">
        <v>116240</v>
      </c>
      <c r="G39">
        <v>66946</v>
      </c>
    </row>
    <row r="40" spans="1:7">
      <c r="A40" t="s">
        <v>481</v>
      </c>
      <c r="B40" t="s">
        <v>482</v>
      </c>
      <c r="C40" t="s">
        <v>312</v>
      </c>
      <c r="D40" t="s">
        <v>474</v>
      </c>
      <c r="E40">
        <v>35662</v>
      </c>
      <c r="F40">
        <v>-117179</v>
      </c>
      <c r="G40">
        <v>137557</v>
      </c>
    </row>
    <row r="41" spans="1:7">
      <c r="A41" t="s">
        <v>483</v>
      </c>
      <c r="B41" t="s">
        <v>484</v>
      </c>
      <c r="C41" t="s">
        <v>315</v>
      </c>
      <c r="D41" t="s">
        <v>474</v>
      </c>
      <c r="E41">
        <v>71437</v>
      </c>
      <c r="F41">
        <v>188616</v>
      </c>
      <c r="G41">
        <v>51059</v>
      </c>
    </row>
    <row r="42" spans="1:7">
      <c r="A42" t="s">
        <v>485</v>
      </c>
      <c r="B42" t="s">
        <v>316</v>
      </c>
      <c r="C42" t="s">
        <v>316</v>
      </c>
      <c r="D42" t="s">
        <v>474</v>
      </c>
      <c r="E42">
        <v>107099</v>
      </c>
      <c r="F42">
        <v>71437</v>
      </c>
      <c r="G42">
        <v>188616</v>
      </c>
    </row>
    <row r="43" spans="1:7">
      <c r="A43" t="s">
        <v>486</v>
      </c>
      <c r="B43" t="s">
        <v>311</v>
      </c>
      <c r="C43" t="s">
        <v>311</v>
      </c>
      <c r="D43" t="s">
        <v>474</v>
      </c>
    </row>
    <row r="44" spans="1:7">
      <c r="A44" t="s">
        <v>487</v>
      </c>
      <c r="D44" t="s">
        <v>474</v>
      </c>
      <c r="E44">
        <v>527754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F4318B-6AC2-4485-AB75-014F0603E7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3F8CBA-7C90-48A3-A15D-2FDEEA62A9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356911-02AC-4341-984A-A76BDF95A3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2021-10-14T06:31:32Z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