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050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F209" i="1"/>
  <c r="G184" i="1"/>
  <c r="F184" i="1"/>
  <c r="F189" i="1" s="1"/>
  <c r="F9" i="1" s="1"/>
  <c r="G89" i="1"/>
  <c r="G98" i="1" s="1"/>
  <c r="G100" i="1" s="1"/>
  <c r="G128" i="1" s="1"/>
  <c r="G7" i="1" s="1"/>
  <c r="F89" i="1"/>
  <c r="F98" i="1" s="1"/>
  <c r="F100" i="1" s="1"/>
  <c r="F128" i="1" s="1"/>
  <c r="F7" i="1" s="1"/>
  <c r="G54" i="1"/>
  <c r="F54" i="1"/>
  <c r="G433" i="1"/>
  <c r="F433" i="1"/>
  <c r="G432" i="1"/>
  <c r="F432" i="1"/>
  <c r="G418" i="1"/>
  <c r="F418" i="1"/>
  <c r="G417" i="1"/>
  <c r="F417" i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K369" i="1"/>
  <c r="J369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66" i="1" s="1"/>
  <c r="F161" i="1"/>
  <c r="F8" i="1" s="1"/>
  <c r="F382" i="1" s="1"/>
  <c r="F384" i="1"/>
  <c r="F13" i="1"/>
  <c r="F377" i="1"/>
  <c r="G384" i="1"/>
  <c r="G13" i="1"/>
  <c r="G377" i="1"/>
  <c r="F383" i="1"/>
  <c r="F326" i="1"/>
  <c r="G383" i="1"/>
  <c r="G382" i="1"/>
  <c r="G326" i="1"/>
  <c r="F297" i="1"/>
  <c r="F319" i="1" s="1"/>
  <c r="J368" i="1"/>
  <c r="N370" i="1"/>
  <c r="J372" i="1"/>
  <c r="H373" i="1"/>
  <c r="F375" i="1"/>
  <c r="L376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G14" i="1" l="1"/>
  <c r="G376" i="1"/>
  <c r="F12" i="1"/>
  <c r="F376" i="1" s="1"/>
  <c r="G353" i="1"/>
  <c r="G355" i="1" s="1"/>
  <c r="G357" i="1" s="1"/>
  <c r="G385" i="1"/>
  <c r="G378" i="1"/>
  <c r="G370" i="1"/>
  <c r="G59" i="1"/>
  <c r="G67" i="1" s="1"/>
  <c r="G71" i="1" s="1"/>
  <c r="F353" i="1"/>
  <c r="F355" i="1" s="1"/>
  <c r="F357" i="1" s="1"/>
  <c r="F385" i="1"/>
  <c r="F378" i="1"/>
  <c r="F59" i="1"/>
  <c r="F67" i="1" s="1"/>
  <c r="F71" i="1" s="1"/>
  <c r="F370" i="1"/>
  <c r="F366" i="1" l="1"/>
  <c r="F14" i="1"/>
  <c r="G373" i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<sst xmlns="http://schemas.openxmlformats.org/spreadsheetml/2006/main" count="907" uniqueCount="552">
  <si>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</si>
  <si>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</si>
  <si>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</si>
  <si>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</si>
  <si>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</si>
  <si>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</si>
  <si>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</si>
  <si>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</si>
  <si>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</si>
  <si>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</si>
  <si>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</si>
  <si>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</si>
  <si>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</si>
  <si>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</si>
  <si>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</si>
  <si>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</si>
  <si>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</si>
  <si>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</si>
  <si>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</si>
  <si>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</si>
  <si>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</si>
  <si>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</si>
  <si>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</si>
  <si>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</si>
  <si>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</si>
  <si>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</si>
  <si>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</si>
  <si>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</si>
  <si>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</si>
  <si>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</si>
  <si>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</si>
  <si>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</si>
  <si>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</si>
  <si>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</si>
  <si>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</si>
  <si>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</si>
  <si>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</si>
  <si>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</si>
  <si>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</si>
  <si>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</si>
  <si>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</si>
  <si>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</si>
  <si>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</si>
  <si>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</si>
  <si>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</si>
  <si>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</si>
  <si>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</si>
  <si>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</si>
  <si>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</si>
  <si>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</si>
  <si>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</si>
  <si>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</si>
  <si>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</si>
  <si>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</si>
  <si>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</si>
  <si>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</si>
  <si>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</si>
  <si>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</si>
  <si>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</si>
  <si>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</si>
  <si>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</si>
  <si>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</si>
  <si>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</si>
  <si>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</si>
  <si>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</si>
  <si>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</si>
  <si>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</si>
  <si>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</si>
  <si>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</si>
  <si>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</si>
  <si>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</si>
  <si>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</si>
  <si>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</si>
  <si>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</si>
  <si>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</si>
  <si>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</si>
  <si>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</si>
  <si>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</si>
  <si>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</si>
  <si>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</si>
  <si>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</si>
  <si>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</si>
  <si>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</si>
  <si>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</si>
  <si>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</si>
  <si>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</si>
  <si>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</si>
  <si>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</si>
  <si>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</si>
  <si>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</si>
  <si>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</si>
  <si>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</si>
  <si>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</si>
  <si>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</si>
  <si>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</si>
  <si>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</si>
  <si>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</si>
  <si>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</si>
  <si>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</si>
  <si>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</si>
  <si>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</si>
  <si>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</si>
  <si>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</si>
  <si>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</si>
  <si>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</si>
  <si>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</si>
  <si>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</si>
  <si>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</si>
  <si>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</si>
  <si>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</si>
  <si>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</si>
  <si>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</si>
  <si>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</si>
  <si>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</si>
  <si>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</si>
  <si>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</si>
  <si>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</si>
  <si>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</si>
  <si>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</si>
  <si>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</si>
  <si>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</si>
  <si>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</si>
  <si>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</si>
  <si>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</si>
  <si>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</si>
  <si>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</si>
  <si>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</si>
  <si>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</si>
  <si>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</si>
  <si>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</si>
  <si>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</si>
  <si>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</si>
  <si>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</si>
  <si>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</si>
  <si>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</si>
  <si>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</si>
  <si>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</si>
  <si>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</si>
  <si>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</si>
  <si>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</si>
  <si>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</si>
  <si>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</si>
  <si>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</si>
  <si>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</si>
  <si>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</si>
  <si>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</si>
  <si>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</si>
  <si>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</si>
  <si>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</si>
  <si>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</si>
  <si>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</si>
  <si>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</si>
  <si>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</si>
  <si>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</si>
  <si>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</si>
  <si>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</si>
  <si>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</si>
  <si>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</si>
  <si>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</si>
  <si>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</si>
  <si>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</si>
  <si>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</si>
  <si>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</si>
  <si>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</si>
  <si>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</si>
  <si>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</si>
  <si>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</si>
  <si>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</si>
  <si>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</si>
  <si>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</si>
  <si>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</si>
  <si>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</si>
  <si>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</si>
  <si>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</si>
  <si>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</si>
  <si>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</si>
  <si>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</si>
  <si>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</si>
  <si>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</si>
  <si>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</si>
  <si>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</si>
  <si>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</si>
  <si>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</si>
  <si>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</si>
  <si>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</si>
  <si>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</si>
  <si>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</si>
  <si>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</si>
  <si>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</si>
  <si>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</si>
  <si>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</si>
  <si>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</si>
  <si>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</si>
  <si>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</si>
  <si>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</si>
  <si>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</si>
  <si>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</si>
  <si>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</si>
  <si>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</si>
  <si>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</si>
  <si>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</si>
  <si>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</si>
  <si>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</si>
  <si>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</si>
  <si>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</si>
  <si>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</si>
  <si>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</si>
  <si>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</si>
  <si>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</si>
  <si>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</si>
  <si>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</si>
  <si>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</si>
  <si>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</si>
  <si>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</si>
  <si>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</si>
  <si>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</si>
  <si>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</si>
  <si>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</si>
  <si>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</si>
  <si>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</si>
  <si>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</si>
  <si>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</si>
  <si>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</si>
  <si>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</si>
  <si>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</si>
  <si>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</si>
  <si>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</si>
  <si>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</si>
  <si>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</si>
  <si>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</si>
  <si>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</si>
  <si>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</si>
  <si>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</si>
  <si>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</si>
  <si>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</si>
  <si>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</si>
  <si>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</si>
  <si>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</si>
  <si>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</si>
  <si>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</si>
  <si>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</si>
  <si>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</si>
  <si>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</si>
  <si>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</si>
  <si>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</si>
  <si>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</si>
  <si>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</si>
  <si>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</si>
  <si>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</si>
  <si>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</si>
  <si>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</si>
  <si>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</si>
  <si>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</si>
  <si>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</si>
  <si>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</si>
  <si>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</si>
  <si>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</si>
  <si>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</si>
  <si>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</si>
  <si>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</si>
  <si>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</si>
  <si>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</si>
  <si>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</si>
  <si>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</si>
  <si>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</si>
  <si>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</si>
  <si>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</si>
  <si>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</si>
  <si>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</si>
  <si>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</si>
  <si>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</si>
  <si>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</si>
  <si>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</si>
  <si>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</si>
  <si>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</si>
  <si>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</si>
  <si>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</si>
  <si>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</si>
  <si>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</si>
  <si>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</si>
  <si>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</si>
  <si>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</si>
  <si>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</si>
  <si>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</si>
  <si>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</si>
  <si>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</si>
  <si>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</si>
  <si>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</si>
  <si>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</si>
  <si>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</si>
  <si>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</si>
  <si>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</si>
  <si>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</si>
  <si>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</si>
  <si>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</si>
  <si>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</si>
  <si>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</si>
  <si>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</si>
  <si>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</si>
  <si>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</si>
  <si>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</si>
  <si>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</si>
  <si>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</si>
  <si>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</si>
  <si>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</si>
  <si>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</si>
  <si>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</si>
  <si>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</si>
  <si>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</si>
  <si>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</si>
  <si>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</si>
  <si>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</si>
  <si>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</si>
  <si>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</si>
  <si>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</si>
  <si>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</si>
  <si>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</si>
  <si>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</si>
  <si>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</si>
  <si>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</si>
  <si>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</si>
  <si>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</si>
  <si>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</si>
  <si>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</si>
  <si>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</si>
  <si>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</si>
  <si>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</si>
  <si>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</si>
  <si>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</si>
  <si>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</si>
  <si>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</si>
  <si>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</si>
  <si>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</si>
  <si>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</si>
  <si>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</si>
  <si>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</si>
  <si>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</si>
  <si>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</si>
  <si>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</si>
  <si>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</si>
  <si>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</si>
  <si>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</si>
  <si>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</si>
  <si>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</si>
  <si>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</si>
  <si>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</si>
  <si>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</si>
  <si>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</si>
  <si>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</si>
  <si>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</si>
  <si>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</si>
  <si>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</si>
  <si>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</si>
  <si>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</si>
  <si>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</si>
  <si>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</si>
  <si>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</si>
  <si>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</si>
  <si>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</si>
  <si>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</si>
  <si>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</si>
  <si>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</si>
  <si>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</si>
  <si>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</si>
  <si>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</si>
  <si>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</si>
  <si>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</si>
  <si>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</si>
  <si>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</si>
  <si>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</si>
  <si>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</si>
  <si>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</si>
  <si>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</si>
  <si>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</si>
  <si>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</si>
  <si>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</si>
  <si>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</si>
  <si>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Trade receivables, less allowance for doubtful accounts of $5,628 and $4,542 at</t>
  </si>
  <si>
    <t>December 31, 2018 and 2017, respectively</t>
  </si>
  <si>
    <t>Inventories</t>
  </si>
  <si>
    <t>Income tax receivable</t>
  </si>
  <si>
    <t>Prepaid expenses and other current assets</t>
  </si>
  <si>
    <t>Assets held for sale</t>
  </si>
  <si>
    <t>Total current assets</t>
  </si>
  <si>
    <t>Property, plant and equipment, net</t>
  </si>
  <si>
    <t>Intangible assets, net</t>
  </si>
  <si>
    <t>Other Intangibles</t>
  </si>
  <si>
    <t>Goodwill</t>
  </si>
  <si>
    <t>Deferred income taxes</t>
  </si>
  <si>
    <t>Other non-current assets, net</t>
  </si>
  <si>
    <t>Total assets</t>
  </si>
  <si>
    <t>LIABILITIES AND STOCKHOLDERS EQUITY</t>
  </si>
  <si>
    <t>Current liabilities:</t>
  </si>
  <si>
    <t>Accounts payable</t>
  </si>
  <si>
    <t>Accrued payroll</t>
  </si>
  <si>
    <t>Accruals</t>
  </si>
  <si>
    <t>Accruals and other current liabilities</t>
  </si>
  <si>
    <t>Income tax payable</t>
  </si>
  <si>
    <t>Current portion of long-term debt</t>
  </si>
  <si>
    <t>Total current liabilities</t>
  </si>
  <si>
    <t>Long-term debt - less current portion</t>
  </si>
  <si>
    <t>Pension liabilities</t>
  </si>
  <si>
    <t>Long-term taxes payable</t>
  </si>
  <si>
    <t>Other long-term liabilities</t>
  </si>
  <si>
    <t>Commitments and Contingencies (See Note 15)</t>
  </si>
  <si>
    <t>Stockholders equity:</t>
  </si>
  <si>
    <t>Common stock ($0.001 par value, 120,000,000 shares authorized, 64,186,308 and 29,058,117 issued and outstanding at December 31, 2018 and 2017, respectively)</t>
  </si>
  <si>
    <t>Additional paid-in capital</t>
  </si>
  <si>
    <t>Retained earnings</t>
  </si>
  <si>
    <t>Accumulated other comprehensive loss</t>
  </si>
  <si>
    <t>Total stockholders equity</t>
  </si>
  <si>
    <t>Net sales</t>
  </si>
  <si>
    <t>Net revenue</t>
  </si>
  <si>
    <t>Revenue</t>
  </si>
  <si>
    <t>Cost of sales</t>
  </si>
  <si>
    <t>Gross profit</t>
  </si>
  <si>
    <t>Gross Profit</t>
  </si>
  <si>
    <t>Operating expenses:</t>
  </si>
  <si>
    <t>Selling, general and administrative expenses</t>
  </si>
  <si>
    <t>Research and development expenses</t>
  </si>
  <si>
    <t>Impairment of intangible assets</t>
  </si>
  <si>
    <t>Restructuring costs</t>
  </si>
  <si>
    <t>Income from operations</t>
  </si>
  <si>
    <t>Other non-operating income and expense:</t>
  </si>
  <si>
    <t>Other Income - net</t>
  </si>
  <si>
    <t>Loss on partial settlement of pension plan</t>
  </si>
  <si>
    <t>Interest expense, net</t>
  </si>
  <si>
    <t>Loss on write-off of deferred financing and extinguishment of convertible debt</t>
  </si>
  <si>
    <t>Other non-operating (income) expense, net</t>
  </si>
  <si>
    <t>Income before income taxes</t>
  </si>
  <si>
    <t>Profit before Zakat</t>
  </si>
  <si>
    <t>Provision for income taxes</t>
  </si>
  <si>
    <t>Net income</t>
  </si>
  <si>
    <t>Weighted average shares, basic</t>
  </si>
  <si>
    <t>Weighted average shares, diluted</t>
  </si>
  <si>
    <t>Net income per share:</t>
  </si>
  <si>
    <t>Basic</t>
  </si>
  <si>
    <t>Diluted</t>
  </si>
  <si>
    <t>Reclassification adjustment from loss on partial settlement of pension plan, net of tax</t>
  </si>
  <si>
    <t>Pension liability adjustment, net of tax</t>
  </si>
  <si>
    <t>Change in fair value of derivative financial instrument, net of tax</t>
  </si>
  <si>
    <t>Foreign currency translation adjustment, net of tax</t>
  </si>
  <si>
    <t>Total other comprehensive (loss) income:</t>
  </si>
  <si>
    <t>Total Other Comprehensive Income (Loss)</t>
  </si>
  <si>
    <t>Total Other Comprehensive Income</t>
  </si>
  <si>
    <t>Cash flows from operating activities</t>
  </si>
  <si>
    <t>Operating Activities</t>
  </si>
  <si>
    <t>Adjustments to reconcile net income to net cash flows:</t>
  </si>
  <si>
    <t>Amortization of intangible assets</t>
  </si>
  <si>
    <t>Amortization of deferred financing costs</t>
  </si>
  <si>
    <t>Amortization of inventory fair value adjustment</t>
  </si>
  <si>
    <t>Accretion of debt discount, net</t>
  </si>
  <si>
    <t>Loss on disposals, impairments and other</t>
  </si>
  <si>
    <t>Loss on extinguishment of debt</t>
  </si>
  <si>
    <t>Loss on partial settlement of pension plans</t>
  </si>
  <si>
    <t>Gain on settlement of cross currency swap</t>
  </si>
  <si>
    <t>(Benefit) provision for deferred taxes</t>
  </si>
  <si>
    <t>Stock based compensation</t>
  </si>
  <si>
    <t>Changes in assets and liabilities, net of assets acquired:</t>
  </si>
  <si>
    <t>Trade receivables</t>
  </si>
  <si>
    <t>Accounts payable and accrued liabilities</t>
  </si>
  <si>
    <t>Other current assets and liabilities</t>
  </si>
  <si>
    <t>Other operating assets and liabilities</t>
  </si>
  <si>
    <t>Net cash provided by operating activities</t>
  </si>
  <si>
    <t>Cash flows from investing activities</t>
  </si>
  <si>
    <t>Investing Activities</t>
  </si>
  <si>
    <t>Purchase of property, plant and equipment</t>
  </si>
  <si>
    <t>Proceeds from sale of property</t>
  </si>
  <si>
    <t>Acquisition of Stromag and Guardian businesses, net of cash acquired</t>
  </si>
  <si>
    <t>Acquisition of Aluminium Die Casting, net of cash acquired</t>
  </si>
  <si>
    <t>Acquisition of Automation and Specialty, net of cash acquired</t>
  </si>
  <si>
    <t>Net cash used in investing activities</t>
  </si>
  <si>
    <t>Cash flows from financing activities</t>
  </si>
  <si>
    <t>Financing Activities</t>
  </si>
  <si>
    <t>Payments of debt issuance costs</t>
  </si>
  <si>
    <t>Finance Costs</t>
  </si>
  <si>
    <t>Payments on term loan facility</t>
  </si>
  <si>
    <t>Payments on Revolving Credit Facility</t>
  </si>
  <si>
    <t>Dividend payments</t>
  </si>
  <si>
    <t xml:space="preserve">Dividend paid to shareholders to parent on minority interests </t>
  </si>
  <si>
    <t>Cash paid for redemption of convertible debt</t>
  </si>
  <si>
    <t>Borrowing under term loan facility</t>
  </si>
  <si>
    <t>Borrowing under Revolving Credit Facility</t>
  </si>
  <si>
    <t>Payments of equipment, working capital notes, mortgages and other debt</t>
  </si>
  <si>
    <t>Proceeds from equipment, working capital notes, mortgages and other debt</t>
  </si>
  <si>
    <t>Shares surrendered for tax withholding</t>
  </si>
  <si>
    <t>Settlement of cross currency swap</t>
  </si>
  <si>
    <t>Purchases of common stock under share repurchase program</t>
  </si>
  <si>
    <t>Net cash provided by (used in) by financing activities</t>
  </si>
  <si>
    <t>Effect of exchange rate changes on cash and cash equivalents</t>
  </si>
  <si>
    <t>Net change in cash and cash equivalents</t>
  </si>
  <si>
    <t>Cash and cash equivalents at beginning of year</t>
  </si>
  <si>
    <t>Cash and cash equivalents at beginning of period</t>
  </si>
  <si>
    <t>Cash and cash equivalents at end of period</t>
  </si>
  <si>
    <t>Cash paid during the period for:</t>
  </si>
  <si>
    <t>Interest paid on borrowings</t>
  </si>
  <si>
    <t>Income taxes paid</t>
  </si>
  <si>
    <t xml:space="preserve">Adjustment for Income Tax Paid </t>
  </si>
  <si>
    <t>Non-cash Financing and Investing:</t>
  </si>
  <si>
    <t>Acquisition of property, plant and equipment included in accounts payable</t>
  </si>
  <si>
    <t>Conversion of convertible senior notes to common stock</t>
  </si>
  <si>
    <t>Original Line Item in the pdf</t>
  </si>
  <si>
    <t>Line item in the accounts Template into which Original line item is mapped</t>
  </si>
  <si>
    <t xml:space="preserve">Person mapping </t>
  </si>
  <si>
    <t>cost of goods sold</t>
  </si>
  <si>
    <t>Niyoshi Aithal</t>
  </si>
  <si>
    <t>other income (expenses)</t>
  </si>
  <si>
    <t>buildings and improvements</t>
  </si>
  <si>
    <t>land and buildings</t>
  </si>
  <si>
    <t>property, plant and equipment</t>
  </si>
  <si>
    <t>long term debt</t>
  </si>
  <si>
    <t>turnover</t>
  </si>
  <si>
    <t>net sales</t>
  </si>
  <si>
    <t>cost of sales</t>
  </si>
  <si>
    <t>changed value</t>
  </si>
  <si>
    <t>changed sign</t>
  </si>
  <si>
    <t>research and development</t>
  </si>
  <si>
    <t>research and development expenses</t>
  </si>
  <si>
    <t>added value</t>
  </si>
  <si>
    <t>other operating expenses</t>
  </si>
  <si>
    <t>restructuring and consolidation costs</t>
  </si>
  <si>
    <t>deleted this value</t>
  </si>
  <si>
    <t>total operating expenses</t>
  </si>
  <si>
    <t>operating profit and (loss)</t>
  </si>
  <si>
    <t>operating expenses: total</t>
  </si>
  <si>
    <t>income from operations</t>
  </si>
  <si>
    <t>shifted value to row 49</t>
  </si>
  <si>
    <t>interest paid and financial costs</t>
  </si>
  <si>
    <t>interest expense, net</t>
  </si>
  <si>
    <t>loss on partial settlement of pension plan</t>
  </si>
  <si>
    <t>loss on extinguishment of convertible debt</t>
  </si>
  <si>
    <t>deleted this value &amp; added another one</t>
  </si>
  <si>
    <t>non-operating expense</t>
  </si>
  <si>
    <t>non-operating income</t>
  </si>
  <si>
    <t>other non-operating expense (income), net</t>
  </si>
  <si>
    <t>added value and changed sign</t>
  </si>
  <si>
    <t>deleted this value &amp; added another one (and changed sign)</t>
  </si>
  <si>
    <t>land</t>
  </si>
  <si>
    <t>machinery and equipment</t>
  </si>
  <si>
    <t>accumulated depreciation and amortisation</t>
  </si>
  <si>
    <t>less-accumulated depreciation</t>
  </si>
  <si>
    <t>accounts receivable and prepayments</t>
  </si>
  <si>
    <t>Trade receivables, less allowance for doubtful accounts of $5,628 and $4,542 at December 31, 2018 and 2017, respectively</t>
  </si>
  <si>
    <t>deferred tax asset</t>
  </si>
  <si>
    <t>deferred income taxes</t>
  </si>
  <si>
    <t>split values</t>
  </si>
  <si>
    <t>accrued payroll</t>
  </si>
  <si>
    <t>accruals and other current liabilities</t>
  </si>
  <si>
    <t>current portion of long-term debt</t>
  </si>
  <si>
    <t>long-term debt - less current portion</t>
  </si>
  <si>
    <t>deferred tax liability</t>
  </si>
  <si>
    <t>pension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</si>
</sst>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8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00-488C-9768-6CFCF247D4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DB-491E-8872-4083C93998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E3-4514-AC78-DF82DCA43E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68-4BF5-B25E-88F1C338CB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D5-431B-9F26-358C11A1B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BC-477F-97FF-0E35162C1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28-4786-B24A-99D6B10F9D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C9-4164-879B-C8929AFC16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D9-4A02-90C6-9AEE2422D9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EA-4D57-946B-DACB25971E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A2-444C-AB42-E4E8FE6B84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FD-4611-97E2-9D56D3168C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BC-4218-ABC7-C98B3CA2B5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AD-4AB9-8269-4C86E0E1A3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9A-44A1-8D0A-231EDDD9E2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35341</v>
      </c>
      <c r="G6" s="7">
        <f t="shared" ref="G6:O6" si="1">IF(G4=$BF$1,"",G71)</f>
        <v>51427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3633336</v>
      </c>
      <c r="G7" s="7">
        <f t="shared" ref="G7:O7" si="2">IF(G4=$BF$1,"",G128)</f>
        <v>562494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703907</v>
      </c>
      <c r="G8" s="7">
        <f t="shared" ref="G8:O8" si="3">IF(G4=$BF$1,"",G161)</f>
        <v>358163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337110</v>
      </c>
      <c r="G9" s="7">
        <f t="shared" ref="G9:O9" si="4">IF(G4=$BF$1,"",G189)</f>
        <v>142492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2151937</v>
      </c>
      <c r="G10" s="7">
        <f t="shared" ref="G10:O10" si="5">IF(G4=$BF$1,"",G210)</f>
        <v>381460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1848196</v>
      </c>
      <c r="G11" s="7">
        <f t="shared" ref="G11:O11" si="6">IF(G4=$BF$1,"",G227)</f>
        <v>396705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4337243</v>
      </c>
      <c r="G12" s="35">
        <f t="shared" ref="G12:O12" si="7">IF(G4=$BF$1,"",SUM(G7:G8))</f>
        <v>920657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4337243</v>
      </c>
      <c r="G13" s="35">
        <f t="shared" ref="G13:O13" si="8">IF(G4=$BF$1,"",SUM(G9:G11))</f>
        <v>920657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1175342</v>
      </c>
      <c r="G24">
        <v>876737</v>
      </c>
      <c r="H24">
        <v>47546</v>
      </c>
      <c r="P24" s="45" t="s">
        <v>514</v>
      </c>
    </row>
    <row r="25" spans="5:16">
      <c r="E25" s="1" t="s">
        <v>27</v>
      </c>
      <c r="F25">
        <v>799231</v>
      </c>
      <c r="G25">
        <v>600961</v>
      </c>
      <c r="H25">
        <v>486774</v>
      </c>
      <c r="P25" s="45" t="s">
        <v>514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376111</v>
      </c>
      <c r="G30" s="7">
        <f>IF(G4=$BF$1,"",G24-G25+ABS(G26)-G27-G28-G29)</f>
        <v>275776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6"/>
    </row>
    <row r="31" spans="5:16">
      <c r="E31" s="12" t="s">
        <v>33</v>
      </c>
      <c r="F31"/>
      <c r="G31"/>
      <c r="P31" s="45" t="s">
        <v>521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251909</v>
      </c>
      <c r="G34">
        <v>164492</v>
      </c>
      <c r="H34">
        <v>140492</v>
      </c>
    </row>
    <row r="35" spans="5:16">
      <c r="E35" s="1" t="s">
        <v>37</v>
      </c>
      <c r="F35">
        <v>33076</v>
      </c>
      <c r="G35">
        <v>24434</v>
      </c>
      <c r="H35">
        <v>17677</v>
      </c>
      <c r="P35" s="45" t="s">
        <v>515</v>
      </c>
    </row>
    <row r="36" spans="5:16">
      <c r="E36" s="1" t="s">
        <v>38</v>
      </c>
      <c r="F36" s="47">
        <v>4449</v>
      </c>
      <c r="G36" s="47">
        <v>4143</v>
      </c>
      <c r="P36" s="45" t="s">
        <v>518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/>
      <c r="G42"/>
      <c r="P42" s="45" t="s">
        <v>521</v>
      </c>
    </row>
    <row r="43" spans="5:16">
      <c r="E43" s="6" t="s">
        <v>45</v>
      </c>
      <c r="F43" s="7">
        <f>F32+F33+F34+F35+F36+F37+F38+F39+F40+F41+F42</f>
        <v>289434</v>
      </c>
      <c r="G43" s="7">
        <f>G32+G33+G34+G35+G36+G37+G38+G39+G40+G41+G42</f>
        <v>193069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6"/>
    </row>
    <row r="44" spans="5:16">
      <c r="E44" s="6" t="s">
        <v>46</v>
      </c>
      <c r="F44" s="7">
        <f>F30+F31-F43</f>
        <v>86677</v>
      </c>
      <c r="G44" s="7">
        <f>IF(G4=$BF$1,"",G30+G31-G43)</f>
        <v>82707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6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28601</v>
      </c>
      <c r="G49" s="38">
        <v>7710</v>
      </c>
      <c r="P49" s="45" t="s">
        <v>518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5" t="s">
        <v>526</v>
      </c>
    </row>
    <row r="53" spans="5:16">
      <c r="E53" s="1" t="s">
        <v>55</v>
      </c>
    </row>
    <row r="54" spans="5:16">
      <c r="E54" s="1" t="s">
        <v>56</v>
      </c>
      <c r="F54" s="38">
        <f>-5086-1247</f>
        <v>-6333</v>
      </c>
      <c r="G54" s="38">
        <f>-1720-1797</f>
        <v>-3517</v>
      </c>
      <c r="P54" s="45" t="s">
        <v>535</v>
      </c>
    </row>
    <row r="55" spans="5:16">
      <c r="E55" s="1" t="s">
        <v>57</v>
      </c>
      <c r="G55" s="38">
        <v>-353</v>
      </c>
      <c r="P55" s="45" t="s">
        <v>535</v>
      </c>
    </row>
    <row r="56" spans="5:16">
      <c r="E56" s="1" t="s">
        <v>58</v>
      </c>
      <c r="F56">
        <v>-5</v>
      </c>
      <c r="G56"/>
      <c r="P56" s="45" t="s">
        <v>536</v>
      </c>
    </row>
    <row r="57" spans="5:16">
      <c r="E57" s="1" t="s">
        <v>59</v>
      </c>
      <c r="F57"/>
      <c r="G57"/>
      <c r="P57" s="45" t="s">
        <v>531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51748</v>
      </c>
      <c r="G59" s="7">
        <f>IF(G4=$BF$1,"",G44+G45+G46+G47+G48-G49-G50-G51+G52-G53+G54+G55-G56+G57+G58)</f>
        <v>71127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16407</v>
      </c>
      <c r="G60">
        <v>19700</v>
      </c>
      <c r="H60">
        <v>8745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35341</v>
      </c>
      <c r="G67" s="7">
        <f>IF(G4=$BF$1,"",SUM(G59,-G60,-ABS(G61),-G62,-G66))</f>
        <v>51427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35341</v>
      </c>
      <c r="G71" s="7">
        <f t="shared" ref="G71:O71" si="14">IF(G4=$BF$1,"",SUM(G67:G70))</f>
        <v>51427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P75" s="45" t="s">
        <v>521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35341</v>
      </c>
      <c r="G83" s="7">
        <f t="shared" ref="G83:O83" si="15">IF(G4=$BF$1,"",SUM(G71:G82))</f>
        <v>51427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43366+137242</f>
        <v>180608</v>
      </c>
      <c r="G89" s="38">
        <f>31228+79468</f>
        <v>110696</v>
      </c>
      <c r="P89" s="45" t="s">
        <v>518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397124</v>
      </c>
      <c r="G92">
        <v>268592</v>
      </c>
      <c r="P92" s="45" t="s">
        <v>514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577732</v>
      </c>
      <c r="G98" s="7">
        <f>IF(G4=$BF$1,"",G89+G90+G91+G92+G93+G94+G95+G96)</f>
        <v>379288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6"/>
    </row>
    <row r="99" spans="5:16">
      <c r="E99" s="1" t="s">
        <v>89</v>
      </c>
      <c r="F99" s="38">
        <v>-213299</v>
      </c>
      <c r="G99" s="38">
        <v>-187370</v>
      </c>
      <c r="P99" s="45" t="s">
        <v>518</v>
      </c>
    </row>
    <row r="100" spans="5:16">
      <c r="E100" s="6" t="s">
        <v>90</v>
      </c>
      <c r="F100" s="7">
        <f>F98+F99</f>
        <v>364433</v>
      </c>
      <c r="G100" s="7">
        <f t="shared" ref="G100:O100" si="17">IF(G4=$BF$1,"",G98+G99)</f>
        <v>191918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6"/>
    </row>
    <row r="101" spans="5:16">
      <c r="E101" s="1" t="s">
        <v>91</v>
      </c>
      <c r="F101">
        <v>1662341</v>
      </c>
      <c r="G101">
        <v>206040</v>
      </c>
    </row>
    <row r="102" spans="5:16">
      <c r="E102" s="1" t="s">
        <v>92</v>
      </c>
      <c r="F102">
        <v>1585728</v>
      </c>
      <c r="G102">
        <v>159613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3248069</v>
      </c>
      <c r="G104" s="7">
        <f t="shared" ref="G104:O104" si="18">IF(G4=$BF$1,"",G101+G102+G103)</f>
        <v>365653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  <c r="P104" s="46"/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4931</v>
      </c>
      <c r="G111">
        <v>2608</v>
      </c>
      <c r="P111" s="45" t="s">
        <v>531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15903</v>
      </c>
      <c r="G125">
        <v>2315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3633336</v>
      </c>
      <c r="G128" s="7">
        <f t="shared" ref="G128:O128" si="19">IF(G4=$BF$1,"",G100+SUM(G104:G126))</f>
        <v>562494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168957</v>
      </c>
      <c r="G130">
        <v>51994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168957</v>
      </c>
      <c r="G140" s="7">
        <f t="shared" ref="G140:O140" si="20">IF(G4=$BF$1,"",G130+G131+G132+G133+G134+G135+G136+G139)</f>
        <v>51994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231172</v>
      </c>
      <c r="G144">
        <v>145611</v>
      </c>
    </row>
    <row r="145" spans="5:16">
      <c r="E145" s="6" t="s">
        <v>127</v>
      </c>
      <c r="F145" s="7">
        <f>F141+F142+F143+F144</f>
        <v>231172</v>
      </c>
      <c r="G145" s="7">
        <f t="shared" ref="G145:O145" si="21">IF(G4=$BF$1,"",G141+G142+G143+G144)</f>
        <v>145611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10172</v>
      </c>
      <c r="G151">
        <v>6634</v>
      </c>
    </row>
    <row r="154" spans="5:16">
      <c r="E154" s="12" t="s">
        <v>134</v>
      </c>
      <c r="F154">
        <v>33095</v>
      </c>
      <c r="G154">
        <v>17344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259815</v>
      </c>
      <c r="G157">
        <v>135499</v>
      </c>
      <c r="P157" s="45" t="s">
        <v>518</v>
      </c>
    </row>
    <row r="158" spans="5:16">
      <c r="E158" s="1" t="s">
        <v>138</v>
      </c>
    </row>
    <row r="159" spans="5:16">
      <c r="E159" s="1" t="s">
        <v>139</v>
      </c>
      <c r="F159">
        <v>696</v>
      </c>
      <c r="G159">
        <v>1081</v>
      </c>
    </row>
    <row r="160" spans="5:16">
      <c r="E160" s="6" t="s">
        <v>140</v>
      </c>
      <c r="F160" s="7">
        <f>F146+F147+F148+F149+F150+F151+F152+F153+F154+F155+F156+F157+F158+F159</f>
        <v>303778</v>
      </c>
      <c r="G160" s="7">
        <f>IF(G4=$BF$1,"",G146+G147+G148+G149+G150+G151+G152+G153+G154+G155+G156+G157+G158+G159)</f>
        <v>160558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703907</v>
      </c>
      <c r="G161" s="7">
        <f t="shared" ref="G161:O161" si="22">IF(G4=$BF$1,"",G140+G145+G160)</f>
        <v>358163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17188</v>
      </c>
      <c r="G167">
        <v>384</v>
      </c>
      <c r="P167" s="45" t="s">
        <v>531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7542</v>
      </c>
      <c r="G181">
        <v>9082</v>
      </c>
    </row>
    <row r="183" spans="5:16">
      <c r="E183" s="1" t="s">
        <v>160</v>
      </c>
    </row>
    <row r="184" spans="5:16">
      <c r="E184" s="12" t="s">
        <v>161</v>
      </c>
      <c r="F184">
        <f>56979+79611</f>
        <v>136590</v>
      </c>
      <c r="G184">
        <f>32091+32921</f>
        <v>65012</v>
      </c>
      <c r="P184" s="45" t="s">
        <v>545</v>
      </c>
    </row>
    <row r="185" spans="5:16">
      <c r="E185" s="12" t="s">
        <v>162</v>
      </c>
    </row>
    <row r="187" spans="5:16">
      <c r="E187" s="1" t="s">
        <v>163</v>
      </c>
      <c r="F187">
        <v>175790</v>
      </c>
      <c r="G187">
        <v>68014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337110</v>
      </c>
      <c r="G189" s="7">
        <f t="shared" ref="G189:O189" si="23">IF(G4=$BF$1,"",SUM(G163:G188))</f>
        <v>142492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1690898</v>
      </c>
      <c r="G194" s="38">
        <v>275587</v>
      </c>
      <c r="P194" s="45" t="s">
        <v>518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>
        <v>5418</v>
      </c>
      <c r="G198">
        <v>6322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393217</v>
      </c>
      <c r="G203" s="38">
        <v>52250</v>
      </c>
      <c r="P203" s="45" t="s">
        <v>518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31976+30428</f>
        <v>62404</v>
      </c>
      <c r="G209">
        <f>25038+22263</f>
        <v>47301</v>
      </c>
      <c r="P209" s="45" t="s">
        <v>514</v>
      </c>
    </row>
    <row r="210" spans="5:16">
      <c r="E210" s="6" t="s">
        <v>14</v>
      </c>
      <c r="F210" s="7">
        <f>SUM(F191:F209)</f>
        <v>2151937</v>
      </c>
      <c r="G210" s="7">
        <f t="shared" ref="G210:O210" si="24">IF(G4=$BF$1,"",SUM(G191:G209))</f>
        <v>381460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1687185</v>
      </c>
      <c r="G212">
        <v>223365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232604</v>
      </c>
      <c r="G217">
        <v>223204</v>
      </c>
    </row>
    <row r="218" spans="5:16">
      <c r="E218" s="1" t="s">
        <v>188</v>
      </c>
    </row>
    <row r="219" spans="5:16">
      <c r="E219" s="1" t="s">
        <v>189</v>
      </c>
      <c r="F219">
        <v>-71593</v>
      </c>
      <c r="G219">
        <v>-49864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1848196</v>
      </c>
      <c r="G227" s="7">
        <f t="shared" ref="G227:O227" si="25">IF(G4=$BF$1,"",SUM(G212:G226))</f>
        <v>396705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35341</v>
      </c>
      <c r="G267">
        <v>51427</v>
      </c>
      <c r="H267">
        <v>25140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34832</v>
      </c>
      <c r="G271">
        <v>26511</v>
      </c>
      <c r="H271">
        <v>21604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25576</v>
      </c>
      <c r="G275">
        <v>10479</v>
      </c>
      <c r="H275">
        <v>20831</v>
      </c>
    </row>
    <row r="276" spans="5:8">
      <c r="E276" s="1" t="s">
        <v>241</v>
      </c>
      <c r="F276">
        <v>15468</v>
      </c>
      <c r="G276">
        <v>4144</v>
      </c>
      <c r="H276">
        <v>1989</v>
      </c>
    </row>
    <row r="277" spans="5:8" ht="25.5" customHeight="1">
      <c r="E277" s="1" t="s">
        <v>242</v>
      </c>
    </row>
    <row r="278" spans="5:8">
      <c r="E278" s="1" t="s">
        <v>243</v>
      </c>
      <c r="F278">
        <v>21242</v>
      </c>
      <c r="G278">
        <v>6921</v>
      </c>
      <c r="H278">
        <v>7161</v>
      </c>
    </row>
    <row r="279" spans="5:8">
      <c r="E279" s="1" t="s">
        <v>244</v>
      </c>
      <c r="F279">
        <v>-941</v>
      </c>
      <c r="G279">
        <v>0</v>
      </c>
      <c r="H279">
        <v>0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34056</v>
      </c>
      <c r="G284">
        <v>23607</v>
      </c>
      <c r="H284">
        <v>10855</v>
      </c>
    </row>
    <row r="285" spans="5:8">
      <c r="E285" s="1" t="s">
        <v>248</v>
      </c>
      <c r="F285">
        <v>8130</v>
      </c>
      <c r="G285">
        <v>5274</v>
      </c>
      <c r="H285">
        <v>4230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294</v>
      </c>
      <c r="G288">
        <v>56946</v>
      </c>
      <c r="H288">
        <v>47135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138657</v>
      </c>
      <c r="G296" s="7">
        <f>IF(G4=$BF$1,"",G271+G272+G273+G274+G275+G276+G277+G278+G279+G280+G281+G282+G283+G284+G285+G286+G287+G288+G289+G290+G291+G292+G293+G294+G295)</f>
        <v>133882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173998</v>
      </c>
      <c r="G297" s="7">
        <f t="shared" ref="G297:O297" si="27">IF(G4=$BF$1,"",MIN(F267,F268,F269)+F296)</f>
        <v>173998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-14012</v>
      </c>
      <c r="G299">
        <v>-2379</v>
      </c>
      <c r="H299">
        <v>2324</v>
      </c>
    </row>
    <row r="300" spans="5:15">
      <c r="E300" s="1" t="s">
        <v>262</v>
      </c>
    </row>
    <row r="301" spans="5:15">
      <c r="E301" s="1" t="s">
        <v>263</v>
      </c>
      <c r="F301">
        <v>1527</v>
      </c>
      <c r="G301">
        <v>-8103</v>
      </c>
      <c r="H301">
        <v>-4140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23377</v>
      </c>
      <c r="G313">
        <v>-2994</v>
      </c>
      <c r="H313">
        <v>4333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-19541</v>
      </c>
      <c r="G317">
        <v>-11190</v>
      </c>
      <c r="H317">
        <v>-2321</v>
      </c>
    </row>
    <row r="318" spans="5:15">
      <c r="E318" s="6" t="s">
        <v>278</v>
      </c>
      <c r="F318" s="7">
        <f>F299+F300+F301+F302+F303+F304+F305+F306+F307+F308+F309+F310+F311+F312+F313+F314+F315+F316+F317</f>
        <v>-8649</v>
      </c>
      <c r="G318" s="7">
        <f>IF(G4=$BF$1,"",G299+G300+G301+G302+G303+G304+G305+G306+G307+G308+G309+G310+G311+G312+G313+G314+G315+G316+G317)</f>
        <v>-24666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165349</v>
      </c>
      <c r="G319" s="7">
        <f t="shared" ref="G319:O319" si="28">IF(G4=$BF$1,"",G297+G318)</f>
        <v>149332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165349</v>
      </c>
      <c r="G326" s="7">
        <f t="shared" ref="G326:O326" si="30">IF(G4=$BF$1,"",G325+G319)</f>
        <v>149332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-36836</v>
      </c>
      <c r="G328">
        <v>-32604</v>
      </c>
      <c r="H328">
        <v>-18482</v>
      </c>
    </row>
    <row r="329" spans="5:15">
      <c r="E329" s="1" t="s">
        <v>288</v>
      </c>
      <c r="F329">
        <v>0</v>
      </c>
      <c r="G329">
        <v>3221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0</v>
      </c>
      <c r="G331">
        <v>2883</v>
      </c>
      <c r="H331">
        <v>-187967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-36836</v>
      </c>
      <c r="G337" s="7">
        <f>IF(G4=$BF$1,"",SUM(G328:G336))</f>
        <v>-26500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0</v>
      </c>
      <c r="H339">
        <v>-4713</v>
      </c>
    </row>
    <row r="340" spans="5:15">
      <c r="E340" s="1" t="s">
        <v>299</v>
      </c>
      <c r="F340">
        <v>19000</v>
      </c>
      <c r="G340">
        <v>27958</v>
      </c>
      <c r="H340">
        <v>200579</v>
      </c>
    </row>
    <row r="341" spans="5:15">
      <c r="E341" s="12" t="s">
        <v>300</v>
      </c>
    </row>
    <row r="342" spans="5:15">
      <c r="E342" s="1" t="s">
        <v>301</v>
      </c>
      <c r="F342">
        <v>-20000</v>
      </c>
      <c r="G342">
        <v>0</v>
      </c>
      <c r="H342">
        <v>0</v>
      </c>
    </row>
    <row r="343" spans="5:15">
      <c r="E343" s="1" t="s">
        <v>302</v>
      </c>
      <c r="F343">
        <v>-281613</v>
      </c>
      <c r="G343">
        <v>-79536</v>
      </c>
      <c r="H343">
        <v>-31861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-29863</v>
      </c>
      <c r="G349">
        <v>0</v>
      </c>
      <c r="H349">
        <v>-650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-312476</v>
      </c>
      <c r="G352" s="7">
        <f>IF(G4=$BF$1,"",SUM(G339:G351))</f>
        <v>-51578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-183963</v>
      </c>
      <c r="G353" s="7">
        <f t="shared" ref="G353:O353" si="33">IF(G4=$BF$1,"",G326+G337+G352)</f>
        <v>71254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3813</v>
      </c>
      <c r="G354">
        <v>3065</v>
      </c>
      <c r="H354">
        <v>-707</v>
      </c>
    </row>
    <row r="355" spans="5:15">
      <c r="E355" s="6" t="s">
        <v>314</v>
      </c>
      <c r="F355" s="7">
        <f>F353+F354</f>
        <v>-180150</v>
      </c>
      <c r="G355" s="7">
        <f t="shared" ref="G355:O355" si="34">IF(G4=$BF$1,"",G353+G354)</f>
        <v>74319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51994</v>
      </c>
      <c r="G356">
        <v>69118</v>
      </c>
      <c r="H356">
        <v>50320</v>
      </c>
    </row>
    <row r="357" spans="5:15">
      <c r="E357" s="6" t="s">
        <v>316</v>
      </c>
      <c r="F357" s="7">
        <f>F355+F356</f>
        <v>-128156</v>
      </c>
      <c r="G357" s="7">
        <f t="shared" ref="G357:O357" si="35">IF(G4=$BF$1,"",G355+G356)</f>
        <v>143437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0.34058674380116272</v>
      </c>
      <c r="G364" s="24">
        <f t="shared" si="37"/>
        <v>17.439763597358347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-0.3127928908938884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3.7110302751187465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0.32000132727325326</v>
      </c>
      <c r="G369" s="27">
        <f t="shared" si="41"/>
        <v>0.31454814841851092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7.3746194724599312E-2</v>
      </c>
      <c r="G370" s="27">
        <f t="shared" si="42"/>
        <v>9.4335017228655796E-2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3.0068694899016625E-2</v>
      </c>
      <c r="G371" s="28">
        <f t="shared" si="43"/>
        <v>5.8657271222727E-2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8.1482637703259881E-3</v>
      </c>
      <c r="G372" s="27">
        <f t="shared" si="44"/>
        <v>5.5859022415514138E-2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1.9121889669710356E-2</v>
      </c>
      <c r="G373" s="27">
        <f t="shared" si="45"/>
        <v>0.12963537137167416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0.57387769142748057</v>
      </c>
      <c r="G376" s="30">
        <f t="shared" si="47"/>
        <v>0.56910662711520144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1.3467440682698155</v>
      </c>
      <c r="G377" s="30">
        <f t="shared" si="48"/>
        <v>1.3207597585107322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3.0305583720848923</v>
      </c>
      <c r="G378" s="30">
        <f t="shared" si="49"/>
        <v>10.727237354085602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2.0880632434516921</v>
      </c>
      <c r="G382" s="32">
        <f t="shared" si="51"/>
        <v>2.5135656738623924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1.4023167512088042</v>
      </c>
      <c r="G383" s="32">
        <f t="shared" si="52"/>
        <v>1.4916767257109171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0.50119248909851388</v>
      </c>
      <c r="G384" s="32">
        <f t="shared" si="53"/>
        <v>0.36489066052831037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0.49048975111981252</v>
      </c>
      <c r="G385" s="32">
        <f t="shared" si="54"/>
        <v>1.048002694888134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168957</v>
      </c>
      <c r="G418" s="17">
        <f>G130-G417</f>
        <v>51994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501</v>
      </c>
      <c r="B1" s="39" t="s">
        <v>502</v>
      </c>
      <c r="C1" s="39" t="s">
        <v>503</v>
      </c>
      <c r="D1" s="39"/>
    </row>
    <row r="2" spans="1:4">
      <c r="A2" s="41" t="s">
        <v>512</v>
      </c>
      <c r="B2" s="41" t="s">
        <v>511</v>
      </c>
      <c r="C2" s="39" t="s">
        <v>505</v>
      </c>
      <c r="D2" s="39"/>
    </row>
    <row r="3" spans="1:4">
      <c r="A3" s="41" t="s">
        <v>513</v>
      </c>
      <c r="B3" s="41" t="s">
        <v>504</v>
      </c>
      <c r="C3" s="39" t="s">
        <v>505</v>
      </c>
    </row>
    <row r="4" spans="1:4">
      <c r="A4" t="s">
        <v>517</v>
      </c>
      <c r="B4" s="41" t="s">
        <v>516</v>
      </c>
      <c r="C4" s="39" t="s">
        <v>505</v>
      </c>
    </row>
    <row r="5" spans="1:4">
      <c r="A5" s="42" t="s">
        <v>520</v>
      </c>
      <c r="B5" s="41" t="s">
        <v>519</v>
      </c>
      <c r="C5" s="39" t="s">
        <v>505</v>
      </c>
    </row>
    <row r="6" spans="1:4">
      <c r="A6" t="s">
        <v>524</v>
      </c>
      <c r="B6" s="41" t="s">
        <v>522</v>
      </c>
      <c r="C6" s="39" t="s">
        <v>505</v>
      </c>
    </row>
    <row r="7" spans="1:4">
      <c r="A7" s="41" t="s">
        <v>525</v>
      </c>
      <c r="B7" s="41" t="s">
        <v>523</v>
      </c>
      <c r="C7" s="39" t="s">
        <v>505</v>
      </c>
    </row>
    <row r="8" spans="1:4">
      <c r="A8" s="41" t="s">
        <v>528</v>
      </c>
      <c r="B8" s="41" t="s">
        <v>527</v>
      </c>
      <c r="C8" s="39" t="s">
        <v>505</v>
      </c>
    </row>
    <row r="9" spans="1:4">
      <c r="A9" s="41" t="s">
        <v>529</v>
      </c>
      <c r="B9" s="41" t="s">
        <v>506</v>
      </c>
      <c r="C9" s="39" t="s">
        <v>505</v>
      </c>
    </row>
    <row r="10" spans="1:4">
      <c r="A10" s="41" t="s">
        <v>530</v>
      </c>
      <c r="B10" s="41" t="s">
        <v>506</v>
      </c>
      <c r="C10" s="39" t="s">
        <v>505</v>
      </c>
    </row>
    <row r="11" spans="1:4">
      <c r="A11" s="41" t="s">
        <v>534</v>
      </c>
      <c r="B11" s="41" t="s">
        <v>532</v>
      </c>
      <c r="C11" s="39" t="s">
        <v>505</v>
      </c>
    </row>
    <row r="12" spans="1:4">
      <c r="A12" s="41" t="s">
        <v>534</v>
      </c>
      <c r="B12" s="41" t="s">
        <v>533</v>
      </c>
      <c r="C12" s="39" t="s">
        <v>505</v>
      </c>
    </row>
    <row r="13" spans="1:4">
      <c r="A13" s="42" t="s">
        <v>537</v>
      </c>
      <c r="B13" s="41" t="s">
        <v>508</v>
      </c>
      <c r="C13" s="39" t="s">
        <v>505</v>
      </c>
    </row>
    <row r="14" spans="1:4">
      <c r="A14" s="41" t="s">
        <v>507</v>
      </c>
      <c r="B14" s="41" t="s">
        <v>508</v>
      </c>
      <c r="C14" s="39" t="s">
        <v>505</v>
      </c>
    </row>
    <row r="15" spans="1:4">
      <c r="A15" s="41" t="s">
        <v>538</v>
      </c>
      <c r="B15" s="41" t="s">
        <v>509</v>
      </c>
      <c r="C15" s="39" t="s">
        <v>505</v>
      </c>
    </row>
    <row r="16" spans="1:4">
      <c r="A16" s="42" t="s">
        <v>540</v>
      </c>
      <c r="B16" s="41" t="s">
        <v>539</v>
      </c>
      <c r="C16" s="39" t="s">
        <v>505</v>
      </c>
    </row>
    <row r="17" spans="1:3">
      <c r="A17" t="s">
        <v>542</v>
      </c>
      <c r="B17" s="41" t="s">
        <v>541</v>
      </c>
      <c r="C17" s="39" t="s">
        <v>505</v>
      </c>
    </row>
    <row r="18" spans="1:3">
      <c r="A18" s="42" t="s">
        <v>544</v>
      </c>
      <c r="B18" s="41" t="s">
        <v>543</v>
      </c>
      <c r="C18" s="39" t="s">
        <v>505</v>
      </c>
    </row>
    <row r="19" spans="1:3">
      <c r="A19" s="43" t="s">
        <v>546</v>
      </c>
      <c r="B19" s="44" t="s">
        <v>161</v>
      </c>
      <c r="C19" s="39" t="s">
        <v>505</v>
      </c>
    </row>
    <row r="20" spans="1:3">
      <c r="A20" s="43" t="s">
        <v>547</v>
      </c>
      <c r="B20" s="43" t="s">
        <v>161</v>
      </c>
      <c r="C20" s="39" t="s">
        <v>505</v>
      </c>
    </row>
    <row r="21" spans="1:3">
      <c r="A21" s="43" t="s">
        <v>548</v>
      </c>
      <c r="B21" s="44" t="s">
        <v>146</v>
      </c>
      <c r="C21" s="39" t="s">
        <v>505</v>
      </c>
    </row>
    <row r="22" spans="1:3">
      <c r="A22" s="43" t="s">
        <v>549</v>
      </c>
      <c r="B22" s="44" t="s">
        <v>510</v>
      </c>
      <c r="C22" s="39" t="s">
        <v>505</v>
      </c>
    </row>
    <row r="23" spans="1:3">
      <c r="A23" s="43" t="s">
        <v>544</v>
      </c>
      <c r="B23" s="44" t="s">
        <v>550</v>
      </c>
      <c r="C23" s="39" t="s">
        <v>505</v>
      </c>
    </row>
    <row r="24" spans="1:3">
      <c r="A24" s="44" t="s">
        <v>551</v>
      </c>
      <c r="B24" s="44" t="s">
        <v>180</v>
      </c>
      <c r="C24" s="39" t="s">
        <v>505</v>
      </c>
    </row>
    <row r="25" spans="1:3">
      <c r="A25" s="42"/>
      <c r="B25" s="44"/>
      <c r="C25" s="39"/>
    </row>
    <row r="26" spans="1:3">
      <c r="A26" s="43"/>
      <c r="B26" s="44"/>
      <c r="C26" s="39"/>
    </row>
    <row r="27" spans="1:3">
      <c r="A27" s="43"/>
      <c r="B27" s="44"/>
      <c r="C27" s="39"/>
    </row>
    <row r="28" spans="1:3">
      <c r="A28" s="43"/>
      <c r="B28" s="44"/>
      <c r="C28" s="39"/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4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  <c r="C47" s="39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A7" sqref="A7"/>
    </sheetView>
  </sheetViews>
  <sheetFormatPr defaultRowHeight="12.75"/>
  <cols>
    <col min="1" max="4" width="25.7109375" customWidth="1"/>
  </cols>
  <sheetData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80</v>
      </c>
      <c r="C5" t="s">
        <v>80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168957</v>
      </c>
      <c r="F6">
        <v>51994</v>
      </c>
    </row>
    <row r="7" spans="1:6">
      <c r="A7" t="s">
        <v>377</v>
      </c>
      <c r="B7" t="s">
        <v>352</v>
      </c>
      <c r="C7" t="s">
        <v>137</v>
      </c>
      <c r="D7" t="s">
        <v>116</v>
      </c>
    </row>
    <row r="8" spans="1:6">
      <c r="A8" t="s">
        <v>378</v>
      </c>
      <c r="D8" t="s">
        <v>116</v>
      </c>
      <c r="E8">
        <v>259815</v>
      </c>
      <c r="F8">
        <v>135499</v>
      </c>
    </row>
    <row r="9" spans="1:6">
      <c r="A9" t="s">
        <v>379</v>
      </c>
      <c r="B9" t="s">
        <v>126</v>
      </c>
      <c r="C9" t="s">
        <v>126</v>
      </c>
      <c r="D9" t="s">
        <v>116</v>
      </c>
      <c r="E9">
        <v>231172</v>
      </c>
      <c r="F9">
        <v>145611</v>
      </c>
    </row>
    <row r="10" spans="1:6">
      <c r="A10" t="s">
        <v>380</v>
      </c>
      <c r="B10" t="s">
        <v>133</v>
      </c>
      <c r="C10" t="s">
        <v>133</v>
      </c>
      <c r="D10" t="s">
        <v>116</v>
      </c>
      <c r="E10">
        <v>10172</v>
      </c>
      <c r="F10">
        <v>6634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33095</v>
      </c>
      <c r="F11">
        <v>17344</v>
      </c>
    </row>
    <row r="12" spans="1:6">
      <c r="A12" t="s">
        <v>382</v>
      </c>
      <c r="B12" t="s">
        <v>139</v>
      </c>
      <c r="C12" t="s">
        <v>139</v>
      </c>
      <c r="D12" t="s">
        <v>116</v>
      </c>
      <c r="E12">
        <v>696</v>
      </c>
      <c r="F12">
        <v>1081</v>
      </c>
    </row>
    <row r="13" spans="1:6">
      <c r="A13" t="s">
        <v>383</v>
      </c>
      <c r="B13" t="s">
        <v>115</v>
      </c>
      <c r="C13" t="s">
        <v>115</v>
      </c>
      <c r="D13" t="s">
        <v>116</v>
      </c>
      <c r="E13">
        <v>703907</v>
      </c>
      <c r="F13">
        <v>358163</v>
      </c>
    </row>
    <row r="14" spans="1:6">
      <c r="A14" t="s">
        <v>384</v>
      </c>
      <c r="B14" t="s">
        <v>84</v>
      </c>
      <c r="C14" t="s">
        <v>84</v>
      </c>
      <c r="D14" t="s">
        <v>80</v>
      </c>
      <c r="E14">
        <v>364433</v>
      </c>
      <c r="F14">
        <v>191918</v>
      </c>
    </row>
    <row r="15" spans="1:6">
      <c r="A15" t="s">
        <v>385</v>
      </c>
      <c r="B15" t="s">
        <v>386</v>
      </c>
      <c r="C15" t="s">
        <v>92</v>
      </c>
      <c r="D15" t="s">
        <v>80</v>
      </c>
      <c r="E15">
        <v>1585728</v>
      </c>
      <c r="F15">
        <v>159613</v>
      </c>
    </row>
    <row r="16" spans="1:6">
      <c r="A16" t="s">
        <v>387</v>
      </c>
      <c r="B16" t="s">
        <v>387</v>
      </c>
      <c r="C16" t="s">
        <v>91</v>
      </c>
      <c r="D16" t="s">
        <v>80</v>
      </c>
      <c r="E16">
        <v>1662341</v>
      </c>
      <c r="F16">
        <v>206040</v>
      </c>
    </row>
    <row r="17" spans="1:6">
      <c r="A17" t="s">
        <v>388</v>
      </c>
      <c r="B17" t="s">
        <v>101</v>
      </c>
      <c r="C17" t="s">
        <v>101</v>
      </c>
      <c r="D17" t="s">
        <v>80</v>
      </c>
      <c r="E17">
        <v>4931</v>
      </c>
      <c r="F17">
        <v>2608</v>
      </c>
    </row>
    <row r="18" spans="1:6">
      <c r="A18" t="s">
        <v>389</v>
      </c>
      <c r="B18" t="s">
        <v>112</v>
      </c>
      <c r="C18" t="s">
        <v>112</v>
      </c>
      <c r="D18" t="s">
        <v>80</v>
      </c>
      <c r="E18">
        <v>15903</v>
      </c>
      <c r="F18">
        <v>2315</v>
      </c>
    </row>
    <row r="19" spans="1:6">
      <c r="A19" t="s">
        <v>390</v>
      </c>
      <c r="D19" t="s">
        <v>80</v>
      </c>
      <c r="E19">
        <v>4337243</v>
      </c>
      <c r="F19">
        <v>920657</v>
      </c>
    </row>
    <row r="20" spans="1:6">
      <c r="A20" t="s">
        <v>391</v>
      </c>
      <c r="D20" t="s">
        <v>80</v>
      </c>
    </row>
    <row r="21" spans="1:6">
      <c r="A21" t="s">
        <v>392</v>
      </c>
      <c r="B21" t="s">
        <v>141</v>
      </c>
      <c r="C21" t="s">
        <v>141</v>
      </c>
      <c r="D21" t="s">
        <v>141</v>
      </c>
    </row>
    <row r="22" spans="1:6">
      <c r="A22" t="s">
        <v>393</v>
      </c>
      <c r="B22" t="s">
        <v>393</v>
      </c>
      <c r="C22" t="s">
        <v>163</v>
      </c>
      <c r="D22" t="s">
        <v>141</v>
      </c>
      <c r="E22">
        <v>175790</v>
      </c>
      <c r="F22">
        <v>68014</v>
      </c>
    </row>
    <row r="23" spans="1:6">
      <c r="A23" t="s">
        <v>394</v>
      </c>
      <c r="B23" t="s">
        <v>395</v>
      </c>
      <c r="C23" t="s">
        <v>161</v>
      </c>
      <c r="D23" t="s">
        <v>141</v>
      </c>
      <c r="E23">
        <v>56979</v>
      </c>
      <c r="F23">
        <v>32091</v>
      </c>
    </row>
    <row r="24" spans="1:6">
      <c r="A24" t="s">
        <v>396</v>
      </c>
      <c r="B24" t="s">
        <v>395</v>
      </c>
      <c r="C24" t="s">
        <v>161</v>
      </c>
      <c r="D24" t="s">
        <v>141</v>
      </c>
      <c r="E24">
        <v>79611</v>
      </c>
      <c r="F24">
        <v>32921</v>
      </c>
    </row>
    <row r="25" spans="1:6">
      <c r="A25" t="s">
        <v>397</v>
      </c>
      <c r="B25" t="s">
        <v>159</v>
      </c>
      <c r="C25" t="s">
        <v>159</v>
      </c>
      <c r="D25" t="s">
        <v>141</v>
      </c>
      <c r="E25">
        <v>7542</v>
      </c>
      <c r="F25">
        <v>9082</v>
      </c>
    </row>
    <row r="26" spans="1:6">
      <c r="A26" t="s">
        <v>398</v>
      </c>
      <c r="B26" t="s">
        <v>146</v>
      </c>
      <c r="C26" t="s">
        <v>146</v>
      </c>
      <c r="D26" t="s">
        <v>141</v>
      </c>
      <c r="E26">
        <v>17188</v>
      </c>
      <c r="F26">
        <v>384</v>
      </c>
    </row>
    <row r="27" spans="1:6">
      <c r="A27" t="s">
        <v>399</v>
      </c>
      <c r="B27" t="s">
        <v>13</v>
      </c>
      <c r="C27" t="s">
        <v>13</v>
      </c>
      <c r="D27" t="s">
        <v>141</v>
      </c>
      <c r="E27">
        <v>337110</v>
      </c>
      <c r="F27">
        <v>142492</v>
      </c>
    </row>
    <row r="28" spans="1:6">
      <c r="A28" t="s">
        <v>400</v>
      </c>
      <c r="B28" t="s">
        <v>146</v>
      </c>
      <c r="C28" t="s">
        <v>146</v>
      </c>
      <c r="D28" t="s">
        <v>141</v>
      </c>
      <c r="E28">
        <v>1690898</v>
      </c>
      <c r="F28">
        <v>275587</v>
      </c>
    </row>
    <row r="29" spans="1:6">
      <c r="A29" t="s">
        <v>388</v>
      </c>
      <c r="B29" t="s">
        <v>101</v>
      </c>
      <c r="C29" t="s">
        <v>101</v>
      </c>
      <c r="D29" t="s">
        <v>80</v>
      </c>
      <c r="E29">
        <v>393217</v>
      </c>
      <c r="F29">
        <v>52250</v>
      </c>
    </row>
    <row r="30" spans="1:6">
      <c r="A30" t="s">
        <v>401</v>
      </c>
      <c r="D30" t="s">
        <v>141</v>
      </c>
      <c r="E30">
        <v>31976</v>
      </c>
      <c r="F30">
        <v>25038</v>
      </c>
    </row>
    <row r="31" spans="1:6">
      <c r="A31" t="s">
        <v>402</v>
      </c>
      <c r="B31" t="s">
        <v>173</v>
      </c>
      <c r="C31" t="s">
        <v>173</v>
      </c>
      <c r="D31" t="s">
        <v>165</v>
      </c>
      <c r="E31">
        <v>5418</v>
      </c>
      <c r="F31">
        <v>6322</v>
      </c>
    </row>
    <row r="32" spans="1:6">
      <c r="A32" t="s">
        <v>403</v>
      </c>
      <c r="B32" t="s">
        <v>180</v>
      </c>
      <c r="C32" t="s">
        <v>180</v>
      </c>
      <c r="D32" t="s">
        <v>165</v>
      </c>
      <c r="E32">
        <v>30428</v>
      </c>
      <c r="F32">
        <v>22263</v>
      </c>
    </row>
    <row r="33" spans="1:6">
      <c r="A33" t="s">
        <v>404</v>
      </c>
      <c r="B33" t="s">
        <v>180</v>
      </c>
      <c r="C33" t="s">
        <v>180</v>
      </c>
      <c r="D33" t="s">
        <v>165</v>
      </c>
    </row>
    <row r="34" spans="1:6">
      <c r="A34" t="s">
        <v>405</v>
      </c>
      <c r="B34" t="s">
        <v>181</v>
      </c>
      <c r="C34" t="s">
        <v>181</v>
      </c>
      <c r="D34" t="s">
        <v>165</v>
      </c>
    </row>
    <row r="35" spans="1:6">
      <c r="A35" t="s">
        <v>406</v>
      </c>
      <c r="B35" t="s">
        <v>182</v>
      </c>
      <c r="C35" t="s">
        <v>182</v>
      </c>
      <c r="D35" t="s">
        <v>181</v>
      </c>
      <c r="E35">
        <v>64</v>
      </c>
      <c r="F35">
        <v>29</v>
      </c>
    </row>
    <row r="36" spans="1:6">
      <c r="A36" t="s">
        <v>407</v>
      </c>
      <c r="B36" t="s">
        <v>182</v>
      </c>
      <c r="C36" t="s">
        <v>182</v>
      </c>
      <c r="D36" t="s">
        <v>181</v>
      </c>
      <c r="E36">
        <v>1687121</v>
      </c>
      <c r="F36">
        <v>223336</v>
      </c>
    </row>
    <row r="37" spans="1:6">
      <c r="A37" t="s">
        <v>408</v>
      </c>
      <c r="B37" t="s">
        <v>187</v>
      </c>
      <c r="C37" t="s">
        <v>187</v>
      </c>
      <c r="D37" t="s">
        <v>181</v>
      </c>
      <c r="E37">
        <v>232604</v>
      </c>
      <c r="F37">
        <v>223204</v>
      </c>
    </row>
    <row r="38" spans="1:6">
      <c r="A38" t="s">
        <v>409</v>
      </c>
      <c r="B38" t="s">
        <v>189</v>
      </c>
      <c r="C38" t="s">
        <v>189</v>
      </c>
      <c r="D38" t="s">
        <v>181</v>
      </c>
      <c r="E38">
        <v>-71593</v>
      </c>
      <c r="F38">
        <v>-49864</v>
      </c>
    </row>
    <row r="39" spans="1:6">
      <c r="A39" t="s">
        <v>410</v>
      </c>
      <c r="B39" t="s">
        <v>195</v>
      </c>
      <c r="C39" t="s">
        <v>195</v>
      </c>
      <c r="D39" t="s">
        <v>181</v>
      </c>
      <c r="E39">
        <v>1848196</v>
      </c>
      <c r="F39">
        <v>396705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7"/>
  <sheetViews>
    <sheetView topLeftCell="A4" workbookViewId="0">
      <selection activeCell="A16" sqref="A16"/>
    </sheetView>
  </sheetViews>
  <sheetFormatPr defaultRowHeight="12.75"/>
  <cols>
    <col min="1" max="4" width="25.7109375" customWidth="1"/>
  </cols>
  <sheetData>
    <row r="5" spans="1:7">
      <c r="A5" t="s">
        <v>411</v>
      </c>
      <c r="B5" t="s">
        <v>412</v>
      </c>
      <c r="C5" t="s">
        <v>26</v>
      </c>
      <c r="D5" t="s">
        <v>413</v>
      </c>
      <c r="E5">
        <v>1175342</v>
      </c>
      <c r="F5">
        <v>876737</v>
      </c>
      <c r="G5">
        <v>708906</v>
      </c>
    </row>
    <row r="6" spans="1:7">
      <c r="A6" t="s">
        <v>414</v>
      </c>
      <c r="B6" t="s">
        <v>27</v>
      </c>
      <c r="C6" t="s">
        <v>27</v>
      </c>
      <c r="D6" t="s">
        <v>413</v>
      </c>
      <c r="E6">
        <v>799231</v>
      </c>
      <c r="F6">
        <v>600961</v>
      </c>
      <c r="G6">
        <v>486774</v>
      </c>
    </row>
    <row r="7" spans="1:7">
      <c r="A7" t="s">
        <v>415</v>
      </c>
      <c r="B7" t="s">
        <v>416</v>
      </c>
      <c r="C7" t="s">
        <v>32</v>
      </c>
      <c r="D7" t="s">
        <v>413</v>
      </c>
      <c r="E7">
        <v>376111</v>
      </c>
      <c r="F7">
        <v>275776</v>
      </c>
      <c r="G7">
        <v>222132</v>
      </c>
    </row>
    <row r="8" spans="1:7">
      <c r="A8" t="s">
        <v>417</v>
      </c>
      <c r="B8" t="s">
        <v>58</v>
      </c>
      <c r="C8" t="s">
        <v>58</v>
      </c>
      <c r="D8" t="s">
        <v>413</v>
      </c>
    </row>
    <row r="9" spans="1:7">
      <c r="A9" t="s">
        <v>418</v>
      </c>
      <c r="B9" t="s">
        <v>36</v>
      </c>
      <c r="C9" t="s">
        <v>36</v>
      </c>
      <c r="D9" t="s">
        <v>413</v>
      </c>
      <c r="E9">
        <v>251909</v>
      </c>
      <c r="F9">
        <v>164492</v>
      </c>
      <c r="G9">
        <v>140492</v>
      </c>
    </row>
    <row r="10" spans="1:7">
      <c r="A10" t="s">
        <v>419</v>
      </c>
      <c r="B10" t="s">
        <v>37</v>
      </c>
      <c r="C10" t="s">
        <v>37</v>
      </c>
      <c r="D10" t="s">
        <v>413</v>
      </c>
      <c r="E10">
        <v>-33076</v>
      </c>
      <c r="F10">
        <v>-24434</v>
      </c>
      <c r="G10">
        <v>17677</v>
      </c>
    </row>
    <row r="11" spans="1:7">
      <c r="A11" t="s">
        <v>420</v>
      </c>
      <c r="B11" t="s">
        <v>44</v>
      </c>
      <c r="C11" t="s">
        <v>44</v>
      </c>
      <c r="D11" t="s">
        <v>413</v>
      </c>
      <c r="G11">
        <v>6568</v>
      </c>
    </row>
    <row r="12" spans="1:7">
      <c r="A12" t="s">
        <v>421</v>
      </c>
      <c r="B12" t="s">
        <v>58</v>
      </c>
      <c r="C12" t="s">
        <v>58</v>
      </c>
      <c r="D12" t="s">
        <v>413</v>
      </c>
      <c r="E12">
        <v>-4449</v>
      </c>
      <c r="F12">
        <v>-4143</v>
      </c>
      <c r="G12">
        <v>9849</v>
      </c>
    </row>
    <row r="13" spans="1:7">
      <c r="D13" t="s">
        <v>413</v>
      </c>
      <c r="E13">
        <v>289434</v>
      </c>
      <c r="F13">
        <v>193069</v>
      </c>
      <c r="G13">
        <v>174586</v>
      </c>
    </row>
    <row r="14" spans="1:7">
      <c r="A14" t="s">
        <v>422</v>
      </c>
      <c r="B14" t="s">
        <v>413</v>
      </c>
      <c r="C14" t="s">
        <v>26</v>
      </c>
      <c r="D14" t="s">
        <v>413</v>
      </c>
      <c r="E14">
        <v>86677</v>
      </c>
      <c r="F14">
        <v>82707</v>
      </c>
      <c r="G14">
        <v>47546</v>
      </c>
    </row>
    <row r="15" spans="1:7">
      <c r="A15" t="s">
        <v>423</v>
      </c>
      <c r="B15" t="s">
        <v>424</v>
      </c>
      <c r="C15" t="s">
        <v>33</v>
      </c>
      <c r="D15" t="s">
        <v>413</v>
      </c>
    </row>
    <row r="16" spans="1:7">
      <c r="A16" t="s">
        <v>425</v>
      </c>
      <c r="D16" t="s">
        <v>413</v>
      </c>
      <c r="E16">
        <v>5086</v>
      </c>
      <c r="F16">
        <v>1720</v>
      </c>
    </row>
    <row r="17" spans="1:7">
      <c r="A17" t="s">
        <v>426</v>
      </c>
      <c r="B17" t="s">
        <v>54</v>
      </c>
      <c r="C17" t="s">
        <v>54</v>
      </c>
      <c r="D17" t="s">
        <v>413</v>
      </c>
      <c r="E17">
        <v>28601</v>
      </c>
      <c r="F17">
        <v>7710</v>
      </c>
      <c r="G17">
        <v>11679</v>
      </c>
    </row>
    <row r="18" spans="1:7">
      <c r="A18" t="s">
        <v>427</v>
      </c>
      <c r="D18" t="s">
        <v>413</v>
      </c>
      <c r="E18">
        <v>1247</v>
      </c>
      <c r="F18">
        <v>1797</v>
      </c>
      <c r="G18">
        <v>1989</v>
      </c>
    </row>
    <row r="19" spans="1:7">
      <c r="A19" t="s">
        <v>428</v>
      </c>
      <c r="B19" t="s">
        <v>424</v>
      </c>
      <c r="C19" t="s">
        <v>33</v>
      </c>
      <c r="D19" t="s">
        <v>413</v>
      </c>
      <c r="E19">
        <v>-5</v>
      </c>
      <c r="F19">
        <v>353</v>
      </c>
      <c r="G19">
        <v>-7</v>
      </c>
    </row>
    <row r="20" spans="1:7">
      <c r="D20" t="s">
        <v>413</v>
      </c>
      <c r="E20">
        <v>34929</v>
      </c>
      <c r="F20">
        <v>11580</v>
      </c>
      <c r="G20">
        <v>13661</v>
      </c>
    </row>
    <row r="21" spans="1:7">
      <c r="A21" t="s">
        <v>429</v>
      </c>
      <c r="B21" t="s">
        <v>430</v>
      </c>
      <c r="C21" t="s">
        <v>61</v>
      </c>
      <c r="D21" t="s">
        <v>413</v>
      </c>
      <c r="E21">
        <v>51748</v>
      </c>
      <c r="F21">
        <v>71127</v>
      </c>
      <c r="G21">
        <v>33885</v>
      </c>
    </row>
    <row r="22" spans="1:7">
      <c r="A22" t="s">
        <v>431</v>
      </c>
      <c r="B22" t="s">
        <v>62</v>
      </c>
      <c r="C22" t="s">
        <v>62</v>
      </c>
      <c r="D22" t="s">
        <v>413</v>
      </c>
      <c r="E22">
        <v>16407</v>
      </c>
      <c r="F22">
        <v>19700</v>
      </c>
      <c r="G22">
        <v>8745</v>
      </c>
    </row>
    <row r="23" spans="1:7">
      <c r="A23" t="s">
        <v>432</v>
      </c>
      <c r="B23" t="s">
        <v>70</v>
      </c>
      <c r="C23" t="s">
        <v>70</v>
      </c>
      <c r="D23" t="s">
        <v>413</v>
      </c>
      <c r="E23">
        <v>35341</v>
      </c>
      <c r="F23">
        <v>51427</v>
      </c>
      <c r="G23">
        <v>25140</v>
      </c>
    </row>
    <row r="24" spans="1:7">
      <c r="A24" t="s">
        <v>433</v>
      </c>
      <c r="D24" t="s">
        <v>413</v>
      </c>
      <c r="E24">
        <v>37868</v>
      </c>
      <c r="F24">
        <v>28949</v>
      </c>
      <c r="G24">
        <v>25719</v>
      </c>
    </row>
    <row r="25" spans="1:7">
      <c r="A25" t="s">
        <v>434</v>
      </c>
      <c r="D25" t="s">
        <v>413</v>
      </c>
      <c r="E25">
        <v>38380</v>
      </c>
      <c r="F25">
        <v>29064</v>
      </c>
      <c r="G25">
        <v>25872</v>
      </c>
    </row>
    <row r="26" spans="1:7">
      <c r="A26" t="s">
        <v>435</v>
      </c>
      <c r="D26" t="s">
        <v>413</v>
      </c>
    </row>
    <row r="27" spans="1:7">
      <c r="A27" t="s">
        <v>436</v>
      </c>
      <c r="D27" t="s">
        <v>413</v>
      </c>
      <c r="E27">
        <v>93</v>
      </c>
      <c r="F27">
        <v>178</v>
      </c>
      <c r="G27">
        <v>97</v>
      </c>
    </row>
    <row r="28" spans="1:7">
      <c r="A28" t="s">
        <v>437</v>
      </c>
      <c r="D28" t="s">
        <v>413</v>
      </c>
      <c r="E28">
        <v>92</v>
      </c>
      <c r="F28">
        <v>177</v>
      </c>
      <c r="G28">
        <v>97</v>
      </c>
    </row>
    <row r="29" spans="1:7">
      <c r="D29" t="s">
        <v>413</v>
      </c>
    </row>
    <row r="30" spans="1:7">
      <c r="D30" t="s">
        <v>413</v>
      </c>
    </row>
    <row r="31" spans="1:7">
      <c r="D31" t="s">
        <v>413</v>
      </c>
      <c r="E31">
        <v>2018</v>
      </c>
      <c r="F31">
        <v>2017</v>
      </c>
      <c r="G31">
        <v>2016</v>
      </c>
    </row>
    <row r="32" spans="1:7">
      <c r="A32" t="s">
        <v>432</v>
      </c>
      <c r="B32" t="s">
        <v>70</v>
      </c>
      <c r="C32" t="s">
        <v>70</v>
      </c>
      <c r="D32" t="s">
        <v>413</v>
      </c>
      <c r="E32">
        <v>35341</v>
      </c>
      <c r="F32">
        <v>51427</v>
      </c>
      <c r="G32">
        <v>25140</v>
      </c>
    </row>
    <row r="33" spans="1:7">
      <c r="A33" t="s">
        <v>438</v>
      </c>
      <c r="D33" t="s">
        <v>413</v>
      </c>
      <c r="E33">
        <v>4291</v>
      </c>
      <c r="F33">
        <v>1066</v>
      </c>
    </row>
    <row r="34" spans="1:7">
      <c r="A34" t="s">
        <v>439</v>
      </c>
      <c r="D34" t="s">
        <v>413</v>
      </c>
      <c r="E34">
        <v>-810</v>
      </c>
      <c r="F34">
        <v>924</v>
      </c>
      <c r="G34">
        <v>139</v>
      </c>
    </row>
    <row r="35" spans="1:7">
      <c r="A35" t="s">
        <v>440</v>
      </c>
      <c r="B35" t="s">
        <v>72</v>
      </c>
      <c r="C35" t="s">
        <v>72</v>
      </c>
      <c r="D35" t="s">
        <v>413</v>
      </c>
      <c r="E35">
        <v>-12490</v>
      </c>
      <c r="F35">
        <v>194</v>
      </c>
      <c r="G35">
        <v>-506</v>
      </c>
    </row>
    <row r="36" spans="1:7">
      <c r="A36" t="s">
        <v>441</v>
      </c>
      <c r="B36" t="s">
        <v>59</v>
      </c>
      <c r="C36" t="s">
        <v>59</v>
      </c>
      <c r="D36" t="s">
        <v>413</v>
      </c>
      <c r="E36">
        <v>-12720</v>
      </c>
      <c r="F36">
        <v>24038</v>
      </c>
      <c r="G36">
        <v>-11887</v>
      </c>
    </row>
    <row r="37" spans="1:7">
      <c r="A37" t="s">
        <v>442</v>
      </c>
      <c r="B37" t="s">
        <v>443</v>
      </c>
      <c r="C37" t="s">
        <v>444</v>
      </c>
      <c r="D37" t="s">
        <v>413</v>
      </c>
      <c r="E37">
        <v>-21729</v>
      </c>
      <c r="F37">
        <v>26222</v>
      </c>
      <c r="G37">
        <v>-12254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5"/>
  <sheetViews>
    <sheetView workbookViewId="0"/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445</v>
      </c>
      <c r="B4" t="s">
        <v>231</v>
      </c>
      <c r="C4" t="s">
        <v>231</v>
      </c>
      <c r="D4" t="s">
        <v>446</v>
      </c>
    </row>
    <row r="5" spans="1:7">
      <c r="A5" t="s">
        <v>432</v>
      </c>
      <c r="B5" t="s">
        <v>232</v>
      </c>
      <c r="C5" t="s">
        <v>232</v>
      </c>
      <c r="D5" t="s">
        <v>446</v>
      </c>
      <c r="E5">
        <v>35341</v>
      </c>
      <c r="F5">
        <v>51427</v>
      </c>
      <c r="G5">
        <v>25140</v>
      </c>
    </row>
    <row r="6" spans="1:7">
      <c r="A6" t="s">
        <v>447</v>
      </c>
      <c r="D6" t="s">
        <v>446</v>
      </c>
    </row>
    <row r="7" spans="1:7">
      <c r="A7" t="s">
        <v>42</v>
      </c>
      <c r="B7" t="s">
        <v>236</v>
      </c>
      <c r="C7" t="s">
        <v>236</v>
      </c>
      <c r="D7" t="s">
        <v>446</v>
      </c>
      <c r="E7">
        <v>34832</v>
      </c>
      <c r="F7">
        <v>26511</v>
      </c>
      <c r="G7">
        <v>21604</v>
      </c>
    </row>
    <row r="8" spans="1:7">
      <c r="A8" t="s">
        <v>448</v>
      </c>
      <c r="B8" t="s">
        <v>240</v>
      </c>
      <c r="C8" t="s">
        <v>240</v>
      </c>
      <c r="D8" t="s">
        <v>446</v>
      </c>
      <c r="E8">
        <v>25194</v>
      </c>
      <c r="F8">
        <v>9514</v>
      </c>
      <c r="G8">
        <v>8294</v>
      </c>
    </row>
    <row r="9" spans="1:7">
      <c r="A9" t="s">
        <v>449</v>
      </c>
      <c r="D9" t="s">
        <v>446</v>
      </c>
      <c r="E9">
        <v>1146</v>
      </c>
      <c r="F9">
        <v>599</v>
      </c>
      <c r="G9">
        <v>802</v>
      </c>
    </row>
    <row r="10" spans="1:7">
      <c r="A10" t="s">
        <v>450</v>
      </c>
      <c r="B10" t="s">
        <v>241</v>
      </c>
      <c r="C10" t="s">
        <v>241</v>
      </c>
      <c r="D10" t="s">
        <v>446</v>
      </c>
      <c r="E10">
        <v>14221</v>
      </c>
      <c r="F10">
        <v>2347</v>
      </c>
    </row>
    <row r="11" spans="1:7">
      <c r="A11" t="s">
        <v>451</v>
      </c>
      <c r="B11" t="s">
        <v>240</v>
      </c>
      <c r="C11" t="s">
        <v>240</v>
      </c>
      <c r="D11" t="s">
        <v>446</v>
      </c>
      <c r="E11">
        <v>119</v>
      </c>
      <c r="G11">
        <v>4005</v>
      </c>
    </row>
    <row r="12" spans="1:7">
      <c r="A12" t="s">
        <v>452</v>
      </c>
      <c r="B12" t="s">
        <v>240</v>
      </c>
      <c r="C12" t="s">
        <v>240</v>
      </c>
      <c r="D12" t="s">
        <v>446</v>
      </c>
      <c r="E12">
        <v>263</v>
      </c>
      <c r="F12">
        <v>965</v>
      </c>
      <c r="G12">
        <v>8532</v>
      </c>
    </row>
    <row r="13" spans="1:7">
      <c r="A13" t="s">
        <v>453</v>
      </c>
      <c r="B13" t="s">
        <v>241</v>
      </c>
      <c r="C13" t="s">
        <v>241</v>
      </c>
      <c r="D13" t="s">
        <v>446</v>
      </c>
      <c r="E13">
        <v>1247</v>
      </c>
      <c r="F13">
        <v>1797</v>
      </c>
      <c r="G13">
        <v>1989</v>
      </c>
    </row>
    <row r="14" spans="1:7">
      <c r="A14" t="s">
        <v>454</v>
      </c>
      <c r="D14" t="s">
        <v>446</v>
      </c>
      <c r="E14">
        <v>5086</v>
      </c>
      <c r="F14">
        <v>1720</v>
      </c>
    </row>
    <row r="15" spans="1:7">
      <c r="A15" t="s">
        <v>455</v>
      </c>
      <c r="B15" t="s">
        <v>244</v>
      </c>
      <c r="C15" t="s">
        <v>244</v>
      </c>
      <c r="D15" t="s">
        <v>446</v>
      </c>
      <c r="E15">
        <v>-941</v>
      </c>
    </row>
    <row r="16" spans="1:7">
      <c r="A16" t="s">
        <v>456</v>
      </c>
      <c r="B16" t="s">
        <v>277</v>
      </c>
      <c r="C16" t="s">
        <v>277</v>
      </c>
      <c r="D16" t="s">
        <v>446</v>
      </c>
      <c r="E16">
        <v>-10105</v>
      </c>
      <c r="F16">
        <v>-8012</v>
      </c>
      <c r="G16">
        <v>-2850</v>
      </c>
    </row>
    <row r="17" spans="1:7">
      <c r="A17" t="s">
        <v>457</v>
      </c>
      <c r="B17" t="s">
        <v>248</v>
      </c>
      <c r="C17" t="s">
        <v>248</v>
      </c>
      <c r="D17" t="s">
        <v>446</v>
      </c>
      <c r="E17">
        <v>8130</v>
      </c>
      <c r="F17">
        <v>5274</v>
      </c>
      <c r="G17">
        <v>4230</v>
      </c>
    </row>
    <row r="18" spans="1:7">
      <c r="A18" t="s">
        <v>458</v>
      </c>
      <c r="D18" t="s">
        <v>446</v>
      </c>
    </row>
    <row r="19" spans="1:7">
      <c r="A19" t="s">
        <v>459</v>
      </c>
      <c r="B19" t="s">
        <v>263</v>
      </c>
      <c r="C19" t="s">
        <v>263</v>
      </c>
      <c r="D19" t="s">
        <v>446</v>
      </c>
      <c r="E19">
        <v>1527</v>
      </c>
      <c r="F19">
        <v>-8103</v>
      </c>
      <c r="G19">
        <v>-4140</v>
      </c>
    </row>
    <row r="20" spans="1:7">
      <c r="A20" t="s">
        <v>379</v>
      </c>
      <c r="B20" t="s">
        <v>261</v>
      </c>
      <c r="C20" t="s">
        <v>261</v>
      </c>
      <c r="D20" t="s">
        <v>446</v>
      </c>
      <c r="E20">
        <v>-14012</v>
      </c>
      <c r="F20">
        <v>-2379</v>
      </c>
      <c r="G20">
        <v>2324</v>
      </c>
    </row>
    <row r="21" spans="1:7">
      <c r="A21" t="s">
        <v>460</v>
      </c>
      <c r="B21" t="s">
        <v>273</v>
      </c>
      <c r="C21" t="s">
        <v>273</v>
      </c>
      <c r="D21" t="s">
        <v>446</v>
      </c>
      <c r="E21">
        <v>23377</v>
      </c>
      <c r="F21">
        <v>-2994</v>
      </c>
      <c r="G21">
        <v>4333</v>
      </c>
    </row>
    <row r="22" spans="1:7">
      <c r="A22" t="s">
        <v>461</v>
      </c>
      <c r="B22" t="s">
        <v>277</v>
      </c>
      <c r="C22" t="s">
        <v>277</v>
      </c>
      <c r="D22" t="s">
        <v>446</v>
      </c>
      <c r="E22">
        <v>-9436</v>
      </c>
      <c r="F22">
        <v>-3178</v>
      </c>
      <c r="G22">
        <v>529</v>
      </c>
    </row>
    <row r="23" spans="1:7">
      <c r="A23" t="s">
        <v>462</v>
      </c>
      <c r="B23" t="s">
        <v>251</v>
      </c>
      <c r="C23" t="s">
        <v>251</v>
      </c>
      <c r="D23" t="s">
        <v>446</v>
      </c>
      <c r="E23">
        <v>294</v>
      </c>
      <c r="F23">
        <v>5093</v>
      </c>
      <c r="G23">
        <v>1849</v>
      </c>
    </row>
    <row r="24" spans="1:7">
      <c r="A24" t="s">
        <v>463</v>
      </c>
      <c r="B24" t="s">
        <v>285</v>
      </c>
      <c r="C24" t="s">
        <v>285</v>
      </c>
      <c r="D24" t="s">
        <v>446</v>
      </c>
      <c r="E24">
        <v>116283</v>
      </c>
      <c r="F24">
        <v>80581</v>
      </c>
      <c r="G24">
        <v>76641</v>
      </c>
    </row>
    <row r="25" spans="1:7">
      <c r="A25" t="s">
        <v>464</v>
      </c>
      <c r="B25" t="s">
        <v>231</v>
      </c>
      <c r="C25" t="s">
        <v>231</v>
      </c>
      <c r="D25" t="s">
        <v>465</v>
      </c>
    </row>
    <row r="26" spans="1:7">
      <c r="A26" t="s">
        <v>466</v>
      </c>
      <c r="B26" t="s">
        <v>287</v>
      </c>
      <c r="C26" t="s">
        <v>287</v>
      </c>
      <c r="D26" t="s">
        <v>465</v>
      </c>
      <c r="E26">
        <v>-37531</v>
      </c>
      <c r="F26">
        <v>-32826</v>
      </c>
      <c r="G26">
        <v>-18941</v>
      </c>
    </row>
    <row r="27" spans="1:7">
      <c r="A27" t="s">
        <v>467</v>
      </c>
      <c r="B27" t="s">
        <v>288</v>
      </c>
      <c r="C27" t="s">
        <v>288</v>
      </c>
      <c r="D27" t="s">
        <v>465</v>
      </c>
      <c r="F27">
        <v>3221</v>
      </c>
    </row>
    <row r="28" spans="1:7">
      <c r="A28" t="s">
        <v>468</v>
      </c>
      <c r="B28" t="s">
        <v>290</v>
      </c>
      <c r="C28" t="s">
        <v>290</v>
      </c>
      <c r="D28" t="s">
        <v>465</v>
      </c>
      <c r="F28">
        <v>2883</v>
      </c>
      <c r="G28">
        <v>-187967</v>
      </c>
    </row>
    <row r="29" spans="1:7">
      <c r="A29" t="s">
        <v>469</v>
      </c>
      <c r="B29" t="s">
        <v>287</v>
      </c>
      <c r="C29" t="s">
        <v>287</v>
      </c>
      <c r="D29" t="s">
        <v>465</v>
      </c>
      <c r="E29">
        <v>-2663</v>
      </c>
    </row>
    <row r="30" spans="1:7">
      <c r="A30" t="s">
        <v>470</v>
      </c>
      <c r="D30" t="s">
        <v>465</v>
      </c>
      <c r="E30">
        <v>-949185</v>
      </c>
    </row>
    <row r="31" spans="1:7">
      <c r="A31" t="s">
        <v>471</v>
      </c>
      <c r="B31" t="s">
        <v>296</v>
      </c>
      <c r="C31" t="s">
        <v>296</v>
      </c>
      <c r="D31" t="s">
        <v>465</v>
      </c>
      <c r="E31">
        <v>-989379</v>
      </c>
      <c r="F31">
        <v>-26722</v>
      </c>
      <c r="G31">
        <v>-206908</v>
      </c>
    </row>
    <row r="32" spans="1:7">
      <c r="A32" t="s">
        <v>472</v>
      </c>
      <c r="B32" t="s">
        <v>297</v>
      </c>
      <c r="C32" t="s">
        <v>297</v>
      </c>
      <c r="D32" t="s">
        <v>473</v>
      </c>
    </row>
    <row r="33" spans="1:7">
      <c r="A33" t="s">
        <v>474</v>
      </c>
      <c r="B33" t="s">
        <v>475</v>
      </c>
      <c r="C33" t="s">
        <v>475</v>
      </c>
      <c r="D33" t="s">
        <v>473</v>
      </c>
      <c r="E33">
        <v>-29863</v>
      </c>
      <c r="G33">
        <v>-650</v>
      </c>
    </row>
    <row r="34" spans="1:7">
      <c r="A34" t="s">
        <v>476</v>
      </c>
      <c r="B34" t="s">
        <v>301</v>
      </c>
      <c r="C34" t="s">
        <v>301</v>
      </c>
      <c r="D34" t="s">
        <v>473</v>
      </c>
      <c r="E34">
        <v>-20000</v>
      </c>
    </row>
    <row r="35" spans="1:7">
      <c r="A35" t="s">
        <v>477</v>
      </c>
      <c r="B35" t="s">
        <v>302</v>
      </c>
      <c r="C35" t="s">
        <v>302</v>
      </c>
      <c r="D35" t="s">
        <v>473</v>
      </c>
      <c r="E35">
        <v>-281613</v>
      </c>
      <c r="F35">
        <v>-79536</v>
      </c>
      <c r="G35">
        <v>-31861</v>
      </c>
    </row>
    <row r="36" spans="1:7">
      <c r="A36" t="s">
        <v>478</v>
      </c>
      <c r="B36" t="s">
        <v>479</v>
      </c>
      <c r="C36" t="s">
        <v>307</v>
      </c>
      <c r="D36" t="s">
        <v>465</v>
      </c>
      <c r="E36">
        <v>-19960</v>
      </c>
      <c r="F36">
        <v>-18259</v>
      </c>
      <c r="G36">
        <v>-11667</v>
      </c>
    </row>
    <row r="37" spans="1:7">
      <c r="A37" t="s">
        <v>480</v>
      </c>
      <c r="D37" t="s">
        <v>465</v>
      </c>
      <c r="F37">
        <v>-954</v>
      </c>
    </row>
    <row r="38" spans="1:7">
      <c r="A38" t="s">
        <v>481</v>
      </c>
      <c r="D38" t="s">
        <v>465</v>
      </c>
      <c r="E38">
        <v>1336650</v>
      </c>
    </row>
    <row r="39" spans="1:7">
      <c r="A39" t="s">
        <v>482</v>
      </c>
      <c r="B39" t="s">
        <v>299</v>
      </c>
      <c r="C39" t="s">
        <v>299</v>
      </c>
      <c r="D39" t="s">
        <v>473</v>
      </c>
      <c r="E39">
        <v>19000</v>
      </c>
      <c r="F39">
        <v>27958</v>
      </c>
      <c r="G39">
        <v>200579</v>
      </c>
    </row>
    <row r="40" spans="1:7">
      <c r="A40" t="s">
        <v>483</v>
      </c>
      <c r="D40" t="s">
        <v>465</v>
      </c>
      <c r="E40">
        <v>-932</v>
      </c>
      <c r="F40">
        <v>-1168</v>
      </c>
      <c r="G40">
        <v>-3308</v>
      </c>
    </row>
    <row r="41" spans="1:7">
      <c r="A41" t="s">
        <v>484</v>
      </c>
      <c r="D41" t="s">
        <v>465</v>
      </c>
      <c r="G41">
        <v>2729</v>
      </c>
    </row>
    <row r="42" spans="1:7">
      <c r="A42" t="s">
        <v>485</v>
      </c>
      <c r="D42" t="s">
        <v>465</v>
      </c>
      <c r="E42">
        <v>-3036</v>
      </c>
      <c r="F42">
        <v>-2089</v>
      </c>
      <c r="G42">
        <v>-1337</v>
      </c>
    </row>
    <row r="43" spans="1:7">
      <c r="A43" t="s">
        <v>486</v>
      </c>
      <c r="D43" t="s">
        <v>465</v>
      </c>
      <c r="E43">
        <v>-14000</v>
      </c>
    </row>
    <row r="44" spans="1:7">
      <c r="A44" t="s">
        <v>487</v>
      </c>
      <c r="B44" t="s">
        <v>298</v>
      </c>
      <c r="C44" t="s">
        <v>298</v>
      </c>
      <c r="D44" t="s">
        <v>473</v>
      </c>
      <c r="G44">
        <v>-4713</v>
      </c>
    </row>
    <row r="45" spans="1:7">
      <c r="A45" t="s">
        <v>488</v>
      </c>
      <c r="B45" t="s">
        <v>311</v>
      </c>
      <c r="C45" t="s">
        <v>311</v>
      </c>
      <c r="D45" t="s">
        <v>473</v>
      </c>
      <c r="E45">
        <v>986246</v>
      </c>
      <c r="F45">
        <v>-74048</v>
      </c>
      <c r="G45">
        <v>149772</v>
      </c>
    </row>
    <row r="46" spans="1:7">
      <c r="A46" t="s">
        <v>489</v>
      </c>
      <c r="B46" t="s">
        <v>313</v>
      </c>
      <c r="C46" t="s">
        <v>313</v>
      </c>
      <c r="D46" t="s">
        <v>473</v>
      </c>
      <c r="E46">
        <v>3813</v>
      </c>
      <c r="F46">
        <v>3065</v>
      </c>
      <c r="G46">
        <v>-707</v>
      </c>
    </row>
    <row r="47" spans="1:7">
      <c r="A47" t="s">
        <v>490</v>
      </c>
      <c r="B47" t="s">
        <v>314</v>
      </c>
      <c r="C47" t="s">
        <v>314</v>
      </c>
      <c r="D47" t="s">
        <v>473</v>
      </c>
      <c r="E47">
        <v>116963</v>
      </c>
      <c r="F47">
        <v>-17124</v>
      </c>
      <c r="G47">
        <v>18798</v>
      </c>
    </row>
    <row r="48" spans="1:7">
      <c r="A48" t="s">
        <v>491</v>
      </c>
      <c r="B48" t="s">
        <v>492</v>
      </c>
      <c r="C48" t="s">
        <v>315</v>
      </c>
      <c r="D48" t="s">
        <v>473</v>
      </c>
      <c r="E48">
        <v>51994</v>
      </c>
      <c r="F48">
        <v>69118</v>
      </c>
      <c r="G48">
        <v>50320</v>
      </c>
    </row>
    <row r="49" spans="1:7">
      <c r="A49" t="s">
        <v>493</v>
      </c>
      <c r="B49" t="s">
        <v>316</v>
      </c>
      <c r="C49" t="s">
        <v>316</v>
      </c>
      <c r="D49" t="s">
        <v>473</v>
      </c>
      <c r="E49">
        <v>168957</v>
      </c>
      <c r="F49">
        <v>51994</v>
      </c>
      <c r="G49">
        <v>69118</v>
      </c>
    </row>
    <row r="50" spans="1:7">
      <c r="A50" t="s">
        <v>494</v>
      </c>
      <c r="D50" t="s">
        <v>473</v>
      </c>
    </row>
    <row r="51" spans="1:7">
      <c r="A51" t="s">
        <v>495</v>
      </c>
      <c r="B51" t="s">
        <v>243</v>
      </c>
      <c r="C51" t="s">
        <v>243</v>
      </c>
      <c r="D51" t="s">
        <v>446</v>
      </c>
      <c r="E51">
        <v>21242</v>
      </c>
      <c r="F51">
        <v>6921</v>
      </c>
      <c r="G51">
        <v>7161</v>
      </c>
    </row>
    <row r="52" spans="1:7">
      <c r="A52" t="s">
        <v>496</v>
      </c>
      <c r="B52" t="s">
        <v>497</v>
      </c>
      <c r="C52" t="s">
        <v>247</v>
      </c>
      <c r="D52" t="s">
        <v>446</v>
      </c>
      <c r="E52">
        <v>34056</v>
      </c>
      <c r="F52">
        <v>23607</v>
      </c>
      <c r="G52">
        <v>10855</v>
      </c>
    </row>
    <row r="53" spans="1:7">
      <c r="A53" t="s">
        <v>498</v>
      </c>
      <c r="D53" t="s">
        <v>473</v>
      </c>
    </row>
    <row r="54" spans="1:7">
      <c r="A54" t="s">
        <v>499</v>
      </c>
      <c r="B54" t="s">
        <v>287</v>
      </c>
      <c r="C54" t="s">
        <v>287</v>
      </c>
      <c r="D54" t="s">
        <v>465</v>
      </c>
      <c r="E54">
        <v>3358</v>
      </c>
      <c r="F54">
        <v>222</v>
      </c>
      <c r="G54">
        <v>459</v>
      </c>
    </row>
    <row r="55" spans="1:7">
      <c r="A55" t="s">
        <v>500</v>
      </c>
      <c r="B55" t="s">
        <v>251</v>
      </c>
      <c r="C55" t="s">
        <v>251</v>
      </c>
      <c r="D55" t="s">
        <v>446</v>
      </c>
      <c r="F55">
        <v>51853</v>
      </c>
      <c r="G55">
        <v>45286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DD88C1-9313-4A4D-8533-A66A5EF504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0D630C-D67E-4284-96E8-7CB20365A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24768-EF84-4B4F-8DA6-2A9E62036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2021-10-18T04:24:54Z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