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 activeTab="1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24" i="1" l="1"/>
  <c r="F224" i="1"/>
  <c r="F227" i="1" s="1"/>
  <c r="F11" i="1" s="1"/>
  <c r="G212" i="1"/>
  <c r="F212" i="1"/>
  <c r="G184" i="1"/>
  <c r="F184" i="1"/>
  <c r="G189" i="1"/>
  <c r="G9" i="1" s="1"/>
  <c r="G384" i="1" s="1"/>
  <c r="G157" i="1"/>
  <c r="F157" i="1"/>
  <c r="G113" i="1"/>
  <c r="F113" i="1"/>
  <c r="G158" i="1"/>
  <c r="F158" i="1"/>
  <c r="G34" i="1"/>
  <c r="G43" i="1" s="1"/>
  <c r="F34" i="1"/>
  <c r="F43" i="1" s="1"/>
  <c r="G24" i="1"/>
  <c r="F30" i="1"/>
  <c r="F369" i="1" s="1"/>
  <c r="G433" i="1"/>
  <c r="G432" i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O381" i="1"/>
  <c r="N381" i="1"/>
  <c r="M381" i="1"/>
  <c r="L381" i="1"/>
  <c r="K381" i="1"/>
  <c r="J381" i="1"/>
  <c r="I381" i="1"/>
  <c r="M377" i="1"/>
  <c r="O376" i="1"/>
  <c r="O375" i="1"/>
  <c r="N375" i="1"/>
  <c r="M375" i="1"/>
  <c r="L375" i="1"/>
  <c r="K375" i="1"/>
  <c r="J375" i="1"/>
  <c r="I375" i="1"/>
  <c r="K373" i="1"/>
  <c r="O371" i="1"/>
  <c r="I370" i="1"/>
  <c r="K369" i="1"/>
  <c r="M368" i="1"/>
  <c r="O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G128" i="1" s="1"/>
  <c r="G7" i="1" s="1"/>
  <c r="O98" i="1"/>
  <c r="N98" i="1"/>
  <c r="M98" i="1"/>
  <c r="L98" i="1"/>
  <c r="K98" i="1"/>
  <c r="J98" i="1"/>
  <c r="I98" i="1"/>
  <c r="H98" i="1"/>
  <c r="G98" i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3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O30" i="1"/>
  <c r="O369" i="1" s="1"/>
  <c r="N30" i="1"/>
  <c r="N369" i="1" s="1"/>
  <c r="M30" i="1"/>
  <c r="M369" i="1" s="1"/>
  <c r="L30" i="1"/>
  <c r="L369" i="1" s="1"/>
  <c r="K30" i="1"/>
  <c r="J30" i="1"/>
  <c r="J369" i="1" s="1"/>
  <c r="I30" i="1"/>
  <c r="I369" i="1" s="1"/>
  <c r="H30" i="1"/>
  <c r="H369" i="1" s="1"/>
  <c r="G30" i="1"/>
  <c r="G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2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60" i="1" l="1"/>
  <c r="F161" i="1" s="1"/>
  <c r="F8" i="1" s="1"/>
  <c r="F128" i="1"/>
  <c r="F7" i="1" s="1"/>
  <c r="G161" i="1"/>
  <c r="G8" i="1" s="1"/>
  <c r="G12" i="1" s="1"/>
  <c r="F384" i="1"/>
  <c r="F13" i="1"/>
  <c r="F377" i="1"/>
  <c r="F353" i="1"/>
  <c r="F355" i="1" s="1"/>
  <c r="F357" i="1" s="1"/>
  <c r="F385" i="1"/>
  <c r="G326" i="1"/>
  <c r="K378" i="1"/>
  <c r="K384" i="1"/>
  <c r="J368" i="1"/>
  <c r="N370" i="1"/>
  <c r="J372" i="1"/>
  <c r="H373" i="1"/>
  <c r="F375" i="1"/>
  <c r="L376" i="1"/>
  <c r="J377" i="1"/>
  <c r="H378" i="1"/>
  <c r="F381" i="1"/>
  <c r="L382" i="1"/>
  <c r="J383" i="1"/>
  <c r="H384" i="1"/>
  <c r="I365" i="1"/>
  <c r="M383" i="1"/>
  <c r="K368" i="1"/>
  <c r="O370" i="1"/>
  <c r="I373" i="1"/>
  <c r="G375" i="1"/>
  <c r="M376" i="1"/>
  <c r="K377" i="1"/>
  <c r="G381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F363" i="1"/>
  <c r="N368" i="1"/>
  <c r="N372" i="1"/>
  <c r="H376" i="1"/>
  <c r="N377" i="1"/>
  <c r="L378" i="1"/>
  <c r="H382" i="1"/>
  <c r="G363" i="1"/>
  <c r="O368" i="1"/>
  <c r="O372" i="1"/>
  <c r="M373" i="1"/>
  <c r="I376" i="1"/>
  <c r="G377" i="1"/>
  <c r="O377" i="1"/>
  <c r="M378" i="1"/>
  <c r="I382" i="1"/>
  <c r="F44" i="1"/>
  <c r="H363" i="1"/>
  <c r="G13" i="1"/>
  <c r="G44" i="1"/>
  <c r="I363" i="1"/>
  <c r="G382" i="1" l="1"/>
  <c r="G383" i="1"/>
  <c r="F383" i="1"/>
  <c r="F382" i="1"/>
  <c r="G366" i="1"/>
  <c r="G376" i="1"/>
  <c r="G14" i="1"/>
  <c r="F12" i="1"/>
  <c r="F376" i="1" s="1"/>
  <c r="G353" i="1"/>
  <c r="G355" i="1" s="1"/>
  <c r="G357" i="1" s="1"/>
  <c r="G385" i="1"/>
  <c r="G378" i="1"/>
  <c r="G370" i="1"/>
  <c r="G59" i="1"/>
  <c r="G67" i="1" s="1"/>
  <c r="G71" i="1" s="1"/>
  <c r="F378" i="1"/>
  <c r="F370" i="1"/>
  <c r="F59" i="1"/>
  <c r="F67" i="1" s="1"/>
  <c r="F71" i="1" s="1"/>
  <c r="F366" i="1" l="1"/>
  <c r="F14" i="1"/>
  <c r="G373" i="1"/>
  <c r="G83" i="1"/>
  <c r="G372" i="1"/>
  <c r="G6" i="1"/>
  <c r="F373" i="1"/>
  <c r="F83" i="1"/>
  <c r="F372" i="1"/>
  <c r="F6" i="1"/>
  <c r="G365" i="1" l="1"/>
  <c r="G371" i="1"/>
  <c r="F371" i="1"/>
  <c r="F365" i="1"/>
</calcChain>
</file>

<file path=xl/sharedStrings.xml><?xml version="1.0" encoding="utf-8"?>
<sst xmlns="http://schemas.openxmlformats.org/spreadsheetml/2006/main" count="860" uniqueCount="535">
  <si>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</si>
  <si>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</si>
  <si>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</si>
  <si>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</si>
  <si>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</si>
  <si>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</si>
  <si>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</si>
  <si>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</si>
  <si>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</si>
  <si>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</si>
  <si>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</si>
  <si>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</si>
  <si>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</si>
  <si>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</si>
  <si>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</si>
  <si>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</si>
  <si>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</si>
  <si>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</si>
  <si>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</si>
  <si>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</si>
  <si>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</si>
  <si>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</si>
  <si>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</si>
  <si>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</si>
  <si>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</si>
  <si>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</si>
  <si>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</si>
  <si>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</si>
  <si>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</si>
  <si>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</si>
  <si>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</si>
  <si>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</si>
  <si>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</si>
  <si>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</si>
  <si>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</si>
  <si>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</si>
  <si>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</si>
  <si>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</si>
  <si>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</si>
  <si>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</si>
  <si>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</si>
  <si>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</si>
  <si>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</si>
  <si>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</si>
  <si>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</si>
  <si>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</si>
  <si>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</si>
  <si>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</si>
  <si>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</si>
  <si>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</si>
  <si>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</si>
  <si>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</si>
  <si>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</si>
  <si>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</si>
  <si>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</si>
  <si>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</si>
  <si>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</si>
  <si>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</si>
  <si>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</si>
  <si>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</si>
  <si>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</si>
  <si>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</si>
  <si>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</si>
  <si>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</si>
  <si>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</si>
  <si>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</si>
  <si>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</si>
  <si>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</si>
  <si>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</si>
  <si>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</si>
  <si>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</si>
  <si>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</si>
  <si>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</si>
  <si>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</si>
  <si>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</si>
  <si>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</si>
  <si>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</si>
  <si>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</si>
  <si>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</si>
  <si>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</si>
  <si>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</si>
  <si>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</si>
  <si>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</si>
  <si>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</si>
  <si>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</si>
  <si>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</si>
  <si>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</si>
  <si>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</si>
  <si>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</si>
  <si>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</si>
  <si>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</si>
  <si>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</si>
  <si>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</si>
  <si>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</si>
  <si>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</si>
  <si>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</si>
  <si>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</si>
  <si>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</si>
  <si>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</si>
  <si>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</si>
  <si>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</si>
  <si>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</si>
  <si>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</si>
  <si>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</si>
  <si>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</si>
  <si>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</si>
  <si>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</si>
  <si>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</si>
  <si>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</si>
  <si>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</si>
  <si>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</si>
  <si>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</si>
  <si>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</si>
  <si>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</si>
  <si>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</si>
  <si>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</si>
  <si>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</si>
  <si>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</si>
  <si>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</si>
  <si>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</si>
  <si>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</si>
  <si>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</si>
  <si>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</si>
  <si>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</si>
  <si>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</si>
  <si>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</si>
  <si>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</si>
  <si>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</si>
  <si>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</si>
  <si>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</si>
  <si>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</si>
  <si>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</si>
  <si>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</si>
  <si>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</si>
  <si>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</si>
  <si>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</si>
  <si>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</si>
  <si>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</si>
  <si>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</si>
  <si>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</si>
  <si>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</si>
  <si>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</si>
  <si>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</si>
  <si>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</si>
  <si>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</si>
  <si>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</si>
  <si>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</si>
  <si>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</si>
  <si>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</si>
  <si>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</si>
  <si>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</si>
  <si>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</si>
  <si>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</si>
  <si>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</si>
  <si>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</si>
  <si>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</si>
  <si>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</si>
  <si>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</si>
  <si>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</si>
  <si>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</si>
  <si>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</si>
  <si>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</si>
  <si>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</si>
  <si>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</si>
  <si>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</si>
  <si>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</si>
  <si>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</si>
  <si>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</si>
  <si>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</si>
  <si>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</si>
  <si>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</si>
  <si>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</si>
  <si>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</si>
  <si>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</si>
  <si>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</si>
  <si>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</si>
  <si>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</si>
  <si>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</si>
  <si>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</si>
  <si>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</si>
  <si>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</si>
  <si>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</si>
  <si>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</si>
  <si>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</si>
  <si>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</si>
  <si>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</si>
  <si>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</si>
  <si>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</si>
  <si>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</si>
  <si>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</si>
  <si>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</si>
  <si>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</si>
  <si>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</si>
  <si>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</si>
  <si>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</si>
  <si>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</si>
  <si>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</si>
  <si>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</si>
  <si>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</si>
  <si>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</si>
  <si>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</si>
  <si>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</si>
  <si>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</si>
  <si>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</si>
  <si>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</si>
  <si>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</si>
  <si>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</si>
  <si>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</si>
  <si>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</si>
  <si>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</si>
  <si>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</si>
  <si>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</si>
  <si>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</si>
  <si>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</si>
  <si>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</si>
  <si>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</si>
  <si>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</si>
  <si>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</si>
  <si>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</si>
  <si>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</si>
  <si>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</si>
  <si>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</si>
  <si>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</si>
  <si>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</si>
  <si>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</si>
  <si>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</si>
  <si>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</si>
  <si>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</si>
  <si>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</si>
  <si>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</si>
  <si>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</si>
  <si>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</si>
  <si>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</si>
  <si>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</si>
  <si>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</si>
  <si>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</si>
  <si>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</si>
  <si>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</si>
  <si>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</si>
  <si>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</si>
  <si>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</si>
  <si>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</si>
  <si>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</si>
  <si>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</si>
  <si>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</si>
  <si>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</si>
  <si>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</si>
  <si>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</si>
  <si>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</si>
  <si>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</si>
  <si>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</si>
  <si>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</si>
  <si>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</si>
  <si>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</si>
  <si>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</si>
  <si>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</si>
  <si>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</si>
  <si>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</si>
  <si>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</si>
  <si>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</si>
  <si>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</si>
  <si>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</si>
  <si>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</si>
  <si>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</si>
  <si>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</si>
  <si>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</si>
  <si>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</si>
  <si>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</si>
  <si>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</si>
  <si>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</si>
  <si>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</si>
  <si>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</si>
  <si>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</si>
  <si>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</si>
  <si>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</si>
  <si>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</si>
  <si>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</si>
  <si>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</si>
  <si>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</si>
  <si>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</si>
  <si>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</si>
  <si>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</si>
  <si>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</si>
  <si>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</si>
  <si>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</si>
  <si>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</si>
  <si>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</si>
  <si>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</si>
  <si>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</si>
  <si>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</si>
  <si>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</si>
  <si>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</si>
  <si>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</si>
  <si>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</si>
  <si>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</si>
  <si>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</si>
  <si>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</si>
  <si>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</si>
  <si>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</si>
  <si>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</si>
  <si>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</si>
  <si>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</si>
  <si>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</si>
  <si>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</si>
  <si>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</si>
  <si>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</si>
  <si>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</si>
  <si>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</si>
  <si>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</si>
  <si>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</si>
  <si>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</si>
  <si>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</si>
  <si>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</si>
  <si>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</si>
  <si>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</si>
  <si>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</si>
  <si>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</si>
  <si>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</si>
  <si>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</si>
  <si>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</si>
  <si>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</si>
  <si>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</si>
  <si>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</si>
  <si>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</si>
  <si>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</si>
  <si>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</si>
  <si>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</si>
  <si>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</si>
  <si>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</si>
  <si>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</si>
  <si>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</si>
  <si>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</si>
  <si>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</si>
  <si>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</si>
  <si>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</si>
  <si>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</si>
  <si>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</si>
  <si>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</si>
  <si>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</si>
  <si>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</si>
  <si>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</si>
  <si>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</si>
  <si>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</si>
  <si>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</si>
  <si>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</si>
  <si>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</si>
  <si>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</si>
  <si>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</si>
  <si>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</si>
  <si>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</si>
  <si>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</si>
  <si>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</si>
  <si>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</si>
  <si>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</si>
  <si>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</si>
  <si>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</si>
  <si>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</si>
  <si>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</si>
  <si>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</si>
  <si>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</si>
  <si>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</si>
  <si>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</si>
  <si>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</si>
  <si>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</si>
  <si>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</si>
  <si>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</si>
  <si>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</si>
  <si>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</si>
  <si>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</si>
  <si>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</si>
  <si>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</si>
  <si>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</si>
  <si>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</si>
  <si>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</si>
  <si>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APOLLO INVESTMENT CORPORATION</t>
  </si>
  <si>
    <t>STATEMENTS OF ASSETS AND LIABILITIES</t>
  </si>
  <si>
    <t>(In thousands, except share and per share data)</t>
  </si>
  <si>
    <t>Assets</t>
  </si>
  <si>
    <t>Investments at fair value:</t>
  </si>
  <si>
    <t>Non-controlled/non-affiliated investments (cost  $1,471,492 and $1,510,980, respectively)</t>
  </si>
  <si>
    <t>Non-controlled/affiliated investments (cost  $73,943 and $417,471, respectively)</t>
  </si>
  <si>
    <t>Controlled investments (cost  $723,161 and $676,972, respectively)</t>
  </si>
  <si>
    <t>Cash and cash equivalents</t>
  </si>
  <si>
    <t>Foreign currencies (cost  $1,292 and $1,494, respectively)</t>
  </si>
  <si>
    <t>Cash collateral on option contracts</t>
  </si>
  <si>
    <t>Receivable for investments sold</t>
  </si>
  <si>
    <t>Interest receivable</t>
  </si>
  <si>
    <t>Dividends receivable</t>
  </si>
  <si>
    <t>Deferred financing costs</t>
  </si>
  <si>
    <t>Variation margin receivable</t>
  </si>
  <si>
    <t>Prepaid expenses and other assets</t>
  </si>
  <si>
    <t>Liabilities</t>
  </si>
  <si>
    <t>Debt</t>
  </si>
  <si>
    <t>Payable for investments purchased</t>
  </si>
  <si>
    <t>Distributions payable</t>
  </si>
  <si>
    <t>Management and performance-based incentive fees payable</t>
  </si>
  <si>
    <t>Interest payable</t>
  </si>
  <si>
    <t>Accrued administrative services expense</t>
  </si>
  <si>
    <t>Other liabilities and accrued expenses</t>
  </si>
  <si>
    <t>Accruals</t>
  </si>
  <si>
    <t>Total Liabilities</t>
  </si>
  <si>
    <t>Commitments and contingencies (Note 10)</t>
  </si>
  <si>
    <t>Net Assets</t>
  </si>
  <si>
    <t>Common stock, $0.001 par value (400,000,000 shares authorized; 216,312,096 and 219,694,654 shares issued and outstanding, respectively)</t>
  </si>
  <si>
    <t>Paid-in capital in excess of par</t>
  </si>
  <si>
    <t>Accumulated under-distributed (over-distributed) net investment income</t>
  </si>
  <si>
    <t>Accumulated net realized loss</t>
  </si>
  <si>
    <t>Net unrealized loss</t>
  </si>
  <si>
    <t>Investment Income</t>
  </si>
  <si>
    <t>Revenue</t>
  </si>
  <si>
    <t>Non-controlled/non-affiliated investments:</t>
  </si>
  <si>
    <t>Interest income (excluding Payment-in-kind (PIK) interest income)</t>
  </si>
  <si>
    <t>Dividend income</t>
  </si>
  <si>
    <t>PIK interest income</t>
  </si>
  <si>
    <t>Other income</t>
  </si>
  <si>
    <t>Non-controlled/affiliated investments:</t>
  </si>
  <si>
    <t>Interest income (excluding PIK interest income)</t>
  </si>
  <si>
    <t>Controlled investments:</t>
  </si>
  <si>
    <t>Total Investment Income</t>
  </si>
  <si>
    <t>Expenses</t>
  </si>
  <si>
    <t>Management fees</t>
  </si>
  <si>
    <t>Performance-based incentive fees</t>
  </si>
  <si>
    <t>Interest and other debt expenses</t>
  </si>
  <si>
    <t>Other Income - Net profit (loss)</t>
  </si>
  <si>
    <t>Administrative services expense</t>
  </si>
  <si>
    <t>Other general and administrative expenses</t>
  </si>
  <si>
    <t>Total expenses</t>
  </si>
  <si>
    <t>Management and performance-based incentive fees waived</t>
  </si>
  <si>
    <t>Expense reimbursements</t>
  </si>
  <si>
    <t>Net Expenses</t>
  </si>
  <si>
    <t>Net Investment Income</t>
  </si>
  <si>
    <t>Net Realized and Change in Unrealized Gains (Losses)</t>
  </si>
  <si>
    <t>Net realized gains (losses):</t>
  </si>
  <si>
    <t>Non-controlled/non-affiliated investments</t>
  </si>
  <si>
    <t>Non-controlled/affiliated investments</t>
  </si>
  <si>
    <t>Controlled investments</t>
  </si>
  <si>
    <t>Option contracts</t>
  </si>
  <si>
    <t>Credit default swaps</t>
  </si>
  <si>
    <t>Other</t>
  </si>
  <si>
    <t>Foreign currency transactions</t>
  </si>
  <si>
    <t>Extinguishment of debt</t>
  </si>
  <si>
    <t>Other Income - net</t>
  </si>
  <si>
    <t>Net realized losses</t>
  </si>
  <si>
    <t>Net change in unrealized gains (losses):</t>
  </si>
  <si>
    <t>Foreign currency translations</t>
  </si>
  <si>
    <t>Net change in unrealized losses</t>
  </si>
  <si>
    <t>Net Realized and Change in Unrealized Losses</t>
  </si>
  <si>
    <t>Net Increase (Decrease) in Net Assets Resulting from Operations</t>
  </si>
  <si>
    <t>Earnings (Loss) Per Share  Basic</t>
  </si>
  <si>
    <t>Operating Activities</t>
  </si>
  <si>
    <t>Net increase (decrease) in net assets resulting from operations</t>
  </si>
  <si>
    <t>Net amortization of premiums and accretion of discounts on investments</t>
  </si>
  <si>
    <t>Accretion of discount on notes</t>
  </si>
  <si>
    <t>Interest income</t>
  </si>
  <si>
    <t>Amortization of deferred financing costs</t>
  </si>
  <si>
    <t>Increase in gains/(losses) from foreign currency transactions</t>
  </si>
  <si>
    <t>PIK interest and dividends capitalized</t>
  </si>
  <si>
    <t>Changes in operating assets and liabilities:</t>
  </si>
  <si>
    <t>Purchases of investments</t>
  </si>
  <si>
    <t>Investing Activities</t>
  </si>
  <si>
    <t>Proceeds from sales and repayments of investments</t>
  </si>
  <si>
    <t>Purchases of option contracts</t>
  </si>
  <si>
    <t>Purchases of credit default swaps</t>
  </si>
  <si>
    <t>Proceeds from option contracts</t>
  </si>
  <si>
    <t>Net settlement of option contracts</t>
  </si>
  <si>
    <t>Decrease (increase) in interest receivable</t>
  </si>
  <si>
    <t>Decrease (increase) in dividends receivable</t>
  </si>
  <si>
    <t>Decrease (increase) in prepaid expenses and other assets</t>
  </si>
  <si>
    <t>Increase (decrease) in management and performance-based incentive fees payable</t>
  </si>
  <si>
    <t>Decrease in interest payable</t>
  </si>
  <si>
    <t>Increase in accrued administrative services expense</t>
  </si>
  <si>
    <t>Decrease in other liabilities and accrued expenses</t>
  </si>
  <si>
    <t>Net Cash Provided by Operating Activities</t>
  </si>
  <si>
    <t>Financing Activities</t>
  </si>
  <si>
    <t>Issuances of debt</t>
  </si>
  <si>
    <t>Payments of debt</t>
  </si>
  <si>
    <t>Financing costs paid and deferred</t>
  </si>
  <si>
    <t>Finance Costs</t>
  </si>
  <si>
    <t>Repurchase of common stock</t>
  </si>
  <si>
    <t>Distributions paid</t>
  </si>
  <si>
    <t>Net Cash Used in Financing Activities</t>
  </si>
  <si>
    <t>Cash, Cash Equivalents, Foreign Currencies and Collateral on Option</t>
  </si>
  <si>
    <t>Contracts</t>
  </si>
  <si>
    <t>Net increase in cash, cash equivalents, foreign currencies and collateral on option contracts during the period</t>
  </si>
  <si>
    <t>Net increase (decrease) in cash and cash equivalents</t>
  </si>
  <si>
    <t>Effect of foreign exchange rate changes on cash and cash equivalents</t>
  </si>
  <si>
    <t>Cash, cash equivalents, foreign currencies and collateral on option contracts at beginning of period</t>
  </si>
  <si>
    <t>Cash and cash equivalents at beginning of period</t>
  </si>
  <si>
    <t>Contracts at the End of Period</t>
  </si>
  <si>
    <t>Supplemental Disclosure of Cash Flow Information</t>
  </si>
  <si>
    <t>Cash interest paid</t>
  </si>
  <si>
    <t>Non-Cash Activity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</si>
  <si>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</si>
  <si>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</si>
  <si>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</si>
  <si>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</si>
  <si>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</si>
  <si>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other operating expenses</t>
  </si>
  <si>
    <t>changed value</t>
  </si>
  <si>
    <t>Interest income (excluding Payment-in-kind (“PIK”) interest income)</t>
  </si>
  <si>
    <t>dividend income</t>
  </si>
  <si>
    <t>other income</t>
  </si>
  <si>
    <t>deleted this value</t>
  </si>
  <si>
    <t>added value</t>
  </si>
  <si>
    <t>administrative expenses</t>
  </si>
  <si>
    <t>Administrative services expense, net of reimbursements</t>
  </si>
  <si>
    <t>Management and performance-based incentive fees, net of amounts waived</t>
  </si>
  <si>
    <t>interest and other debt expenses, net of reimbursements</t>
  </si>
  <si>
    <t>cash and bank balance</t>
  </si>
  <si>
    <t>cash and cash equivalents</t>
  </si>
  <si>
    <t>other operating current assets</t>
  </si>
  <si>
    <t>foreign currencies</t>
  </si>
  <si>
    <t>cash collateral on option contracts</t>
  </si>
  <si>
    <t>long term investments</t>
  </si>
  <si>
    <t>receivable for investments sold</t>
  </si>
  <si>
    <t>dividends receivable</t>
  </si>
  <si>
    <t>deferred financing costs</t>
  </si>
  <si>
    <t>variation margin receivable</t>
  </si>
  <si>
    <t>taken from row 184</t>
  </si>
  <si>
    <t>shifted down to row 187 and another value added</t>
  </si>
  <si>
    <t>other operating current liabilities</t>
  </si>
  <si>
    <t>other liabilities and accrued expenses</t>
  </si>
  <si>
    <t>payable for investments purchased</t>
  </si>
  <si>
    <t>distributions payable</t>
  </si>
  <si>
    <t>other non-current liabilities</t>
  </si>
  <si>
    <t>minority interest</t>
  </si>
  <si>
    <t>interest payable</t>
  </si>
  <si>
    <t>accrued administrative services expense</t>
  </si>
  <si>
    <t>ordinary shares</t>
  </si>
  <si>
    <t>common stock, $0.001 par value</t>
  </si>
  <si>
    <t>paid-in capital in excess of par</t>
  </si>
  <si>
    <t>retained earnings</t>
  </si>
  <si>
    <t>general reserve</t>
  </si>
  <si>
    <t>accumulated net realized loss</t>
  </si>
  <si>
    <t>net unrealized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</si>
</sst>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3EC-4971-9834-9B8BD2DCA6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27-4E74-8117-C31770345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91-48C9-890A-095E81B849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3B-4EB5-A5A2-D9A977804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A4-4141-9F39-492A39BE50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54-4A4D-A7FE-1195D73308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68-4D09-B1BC-83A10C9F5A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58-40AE-AAAF-CC81B08375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C3-4B13-9A36-252781F44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1B-4A26-97EF-92B9E9B256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3C-4B3E-BB4D-D0315D3C9E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24-4F11-99C4-07394742F5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78B-4818-8268-8AF625B3A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4F-4016-ADA2-672DE04395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839-4768-9E34-627793743E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133.40000000000003</v>
      </c>
      <c r="G6" s="7">
        <f t="shared" ref="G6:O6" si="1">IF(G4=$BF$1,"",G71)</f>
        <v>149.20000000000005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2284456</v>
      </c>
      <c r="G7" s="7">
        <f t="shared" ref="G7:O7" si="2">IF(G4=$BF$1,"",G128)</f>
        <v>2351412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27354</v>
      </c>
      <c r="G8" s="7">
        <f t="shared" ref="G8:O8" si="3">IF(G4=$BF$1,"",G161)</f>
        <v>58708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81983</v>
      </c>
      <c r="G9" s="7">
        <f t="shared" ref="G9:O9" si="4">IF(G4=$BF$1,"",G189)</f>
        <v>56249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811741</v>
      </c>
      <c r="G10" s="7">
        <f t="shared" ref="G10:O10" si="5">IF(G4=$BF$1,"",G210)</f>
        <v>872074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1418086</v>
      </c>
      <c r="G11" s="7">
        <f t="shared" ref="G11:O11" si="6">IF(G4=$BF$1,"",G227)</f>
        <v>1481797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2311810</v>
      </c>
      <c r="G12" s="35">
        <f t="shared" ref="G12:O12" si="7">IF(G4=$BF$1,"",SUM(G7:G8))</f>
        <v>2410120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2311810</v>
      </c>
      <c r="G13" s="35">
        <f t="shared" ref="G13:O13" si="8">IF(G4=$BF$1,"",SUM(G9:G11))</f>
        <v>2410120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259.3</v>
      </c>
      <c r="G24">
        <f>212.8+34.3+28.2+4.6</f>
        <v>279.90000000000003</v>
      </c>
      <c r="H24">
        <v>11607</v>
      </c>
      <c r="P24" s="45" t="s">
        <v>498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259.3</v>
      </c>
      <c r="G30" s="7">
        <f>IF(G4=$BF$1,"",G24-G25+ABS(G26)-G27-G28-G29)</f>
        <v>279.90000000000003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5" t="s">
        <v>502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f>6.7+9.6</f>
        <v>16.3</v>
      </c>
      <c r="G34">
        <f>7.3+13.2</f>
        <v>20.5</v>
      </c>
      <c r="P34" s="45" t="s">
        <v>498</v>
      </c>
    </row>
    <row r="35" spans="5:16">
      <c r="E35" s="1" t="s">
        <v>37</v>
      </c>
    </row>
    <row r="36" spans="5:16">
      <c r="E36" s="1" t="s">
        <v>38</v>
      </c>
      <c r="F36" s="38">
        <v>56.9</v>
      </c>
      <c r="G36" s="38">
        <v>50.5</v>
      </c>
      <c r="P36" s="45" t="s">
        <v>503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/>
      <c r="G39"/>
      <c r="P39" s="45" t="s">
        <v>502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73.2</v>
      </c>
      <c r="G43" s="7">
        <f>G32+G33+G34+G35+G36+G37+G38+G39+G40+G41+G42</f>
        <v>71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186.10000000000002</v>
      </c>
      <c r="G44" s="7">
        <f>IF(G4=$BF$1,"",G30+G31-G43)</f>
        <v>208.90000000000003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  <c r="F46"/>
      <c r="G46"/>
      <c r="P46" s="45" t="s">
        <v>502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52.7</v>
      </c>
      <c r="G49" s="38">
        <v>59.7</v>
      </c>
      <c r="P49" s="45" t="s">
        <v>503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45" t="s">
        <v>502</v>
      </c>
    </row>
    <row r="53" spans="5:16">
      <c r="E53" s="1" t="s">
        <v>55</v>
      </c>
    </row>
    <row r="54" spans="5:16">
      <c r="E54" s="1" t="s">
        <v>56</v>
      </c>
      <c r="F54"/>
      <c r="G54"/>
      <c r="P54" s="45" t="s">
        <v>502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/>
      <c r="G57"/>
      <c r="P57" s="45" t="s">
        <v>502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133.40000000000003</v>
      </c>
      <c r="G59" s="7">
        <f>IF(G4=$BF$1,"",G44+G45+G46+G47+G48-G49-G50-G51+G52-G53+G54+G55-G56+G57+G58)</f>
        <v>149.20000000000005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133.40000000000003</v>
      </c>
      <c r="G67" s="7">
        <f>IF(G4=$BF$1,"",SUM(G59,-G60,-ABS(G61),-G62,-G66))</f>
        <v>149.20000000000005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/>
      <c r="G68"/>
      <c r="P68" s="45" t="s">
        <v>502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133.40000000000003</v>
      </c>
      <c r="G71" s="7">
        <f t="shared" ref="G71:O71" si="14">IF(G4=$BF$1,"",SUM(G67:G70))</f>
        <v>149.20000000000005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133.40000000000003</v>
      </c>
      <c r="G83" s="7">
        <f t="shared" ref="G83:O83" si="15">IF(G4=$BF$1,"",SUM(G71:G82))</f>
        <v>149.20000000000005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5">
      <c r="E98" s="6" t="s">
        <v>88</v>
      </c>
      <c r="F98" s="7">
        <f>F89+F90+F91+F92+F93+F94+F95+F96</f>
        <v>0</v>
      </c>
      <c r="G98" s="7">
        <f>IF(G4=$BF$1,"",G89+G90+G91+G92+G93+G94+G95+G96)</f>
        <v>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0</v>
      </c>
      <c r="G100" s="7">
        <f t="shared" ref="G100:O100" si="17">IF(G4=$BF$1,"",G98+G99)</f>
        <v>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  <c r="F106">
        <v>22272</v>
      </c>
      <c r="G106">
        <v>17072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6">
      <c r="E113" s="1" t="s">
        <v>103</v>
      </c>
      <c r="F113">
        <f>1450033+68954+729060</f>
        <v>2248047</v>
      </c>
      <c r="G113">
        <f>1402409+239050+675249</f>
        <v>2316708</v>
      </c>
      <c r="P113" s="45" t="s">
        <v>503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14137</v>
      </c>
      <c r="G125" s="38">
        <v>17632</v>
      </c>
      <c r="P125" s="45" t="s">
        <v>503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2284456</v>
      </c>
      <c r="G128" s="7">
        <f t="shared" ref="G128:O128" si="19">IF(G4=$BF$1,"",G100+SUM(G104:G126))</f>
        <v>2351412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14035</v>
      </c>
      <c r="G130">
        <v>9783</v>
      </c>
      <c r="P130" s="45" t="s">
        <v>498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14035</v>
      </c>
      <c r="G140" s="7">
        <f t="shared" ref="G140:O140" si="20">IF(G4=$BF$1,"",G130+G131+G132+G133+G134+G135+G136+G139)</f>
        <v>9783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419</v>
      </c>
      <c r="G154">
        <v>713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f>2190+2550+1846</f>
        <v>6586</v>
      </c>
      <c r="G157" s="38">
        <f>40226+6489</f>
        <v>46715</v>
      </c>
      <c r="P157" s="45" t="s">
        <v>503</v>
      </c>
    </row>
    <row r="158" spans="5:16">
      <c r="E158" s="1" t="s">
        <v>138</v>
      </c>
      <c r="F158" s="38">
        <f>1298+5016</f>
        <v>6314</v>
      </c>
      <c r="G158" s="38">
        <f>1497</f>
        <v>1497</v>
      </c>
      <c r="P158" s="45" t="s">
        <v>503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13319</v>
      </c>
      <c r="G160" s="7">
        <f>IF(G4=$BF$1,"",G146+G147+G148+G149+G150+G151+G152+G153+G154+G155+G156+G157+G158+G159)</f>
        <v>48925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27354</v>
      </c>
      <c r="G161" s="7">
        <f t="shared" ref="G161:O161" si="22">IF(G4=$BF$1,"",G140+G145+G160)</f>
        <v>58708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</row>
    <row r="167" spans="5:15">
      <c r="E167" s="1" t="s">
        <v>146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</row>
    <row r="172" spans="5:15">
      <c r="E172" s="1" t="s">
        <v>151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41827+32447+2507</f>
        <v>76781</v>
      </c>
      <c r="G184">
        <f>13970+32954+2250</f>
        <v>49174</v>
      </c>
      <c r="P184" s="45" t="s">
        <v>519</v>
      </c>
    </row>
    <row r="185" spans="5:16">
      <c r="E185" s="12" t="s">
        <v>162</v>
      </c>
    </row>
    <row r="187" spans="5:16">
      <c r="E187" s="1" t="s">
        <v>163</v>
      </c>
      <c r="F187" s="38">
        <v>5202</v>
      </c>
      <c r="G187" s="38">
        <v>7075</v>
      </c>
      <c r="P187" s="45" t="s">
        <v>518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81983</v>
      </c>
      <c r="G189" s="7">
        <f t="shared" ref="G189:O189" si="23">IF(G4=$BF$1,"",SUM(G163:G188))</f>
        <v>56249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789846</v>
      </c>
      <c r="G193">
        <v>848449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  <c r="F205" s="38">
        <v>5310</v>
      </c>
      <c r="G205" s="38">
        <v>7319</v>
      </c>
      <c r="P205" s="45" t="s">
        <v>503</v>
      </c>
    </row>
    <row r="206" spans="5:16">
      <c r="E206" s="12" t="s">
        <v>179</v>
      </c>
    </row>
    <row r="209" spans="5:16">
      <c r="E209" s="1" t="s">
        <v>180</v>
      </c>
      <c r="F209">
        <v>16585</v>
      </c>
      <c r="G209">
        <v>16306</v>
      </c>
      <c r="P209" s="45" t="s">
        <v>503</v>
      </c>
    </row>
    <row r="210" spans="5:16">
      <c r="E210" s="6" t="s">
        <v>14</v>
      </c>
      <c r="F210" s="7">
        <f>SUM(F191:F209)</f>
        <v>811741</v>
      </c>
      <c r="G210" s="7">
        <f t="shared" ref="G210:O210" si="24">IF(G4=$BF$1,"",SUM(G191:G209))</f>
        <v>872074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216+2636507</f>
        <v>2636723</v>
      </c>
      <c r="G212">
        <f>220+2924775</f>
        <v>2924995</v>
      </c>
      <c r="P212" s="45" t="s">
        <v>498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-10229</v>
      </c>
      <c r="G217" s="38">
        <v>88134</v>
      </c>
      <c r="P217" s="45" t="s">
        <v>503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  <c r="F224" s="38">
        <f>-1166471-41937</f>
        <v>-1208408</v>
      </c>
      <c r="G224" s="38">
        <f>-1277625-253707</f>
        <v>-1531332</v>
      </c>
      <c r="P224" s="45" t="s">
        <v>503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1418086</v>
      </c>
      <c r="G227" s="7">
        <f t="shared" ref="G227:O227" si="25">IF(G4=$BF$1,"",SUM(G212:G226))</f>
        <v>1481797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6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-1877</v>
      </c>
      <c r="G275">
        <v>470</v>
      </c>
      <c r="H275">
        <v>-713</v>
      </c>
    </row>
    <row r="276" spans="5:8">
      <c r="E276" s="1" t="s">
        <v>241</v>
      </c>
      <c r="F276">
        <v>-211770</v>
      </c>
      <c r="G276">
        <v>89050</v>
      </c>
      <c r="H276">
        <v>42419</v>
      </c>
    </row>
    <row r="277" spans="5:8" ht="25.5" customHeight="1">
      <c r="E277" s="1" t="s">
        <v>242</v>
      </c>
    </row>
    <row r="278" spans="5:8">
      <c r="E278" s="1" t="s">
        <v>243</v>
      </c>
      <c r="F278">
        <v>-14023</v>
      </c>
      <c r="G278">
        <v>-32796</v>
      </c>
      <c r="H278">
        <v>-40241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-227670</v>
      </c>
      <c r="G296" s="7">
        <f>IF(G4=$BF$1,"",G271+G272+G273+G274+G275+G276+G277+G278+G279+G280+G281+G282+G283+G284+G285+G286+G287+G288+G289+G290+G291+G292+G293+G294+G295)</f>
        <v>56724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-227670</v>
      </c>
      <c r="G297" s="7">
        <f t="shared" ref="G297:O297" si="27">IF(G4=$BF$1,"",MIN(F267,F268,F269)+F296)</f>
        <v>-227670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87029</v>
      </c>
      <c r="G299">
        <v>18370</v>
      </c>
      <c r="H299">
        <v>-44526</v>
      </c>
    </row>
    <row r="300" spans="5:15">
      <c r="E300" s="1" t="s">
        <v>262</v>
      </c>
    </row>
    <row r="301" spans="5:15">
      <c r="E301" s="1" t="s">
        <v>263</v>
      </c>
      <c r="F301">
        <v>-1260</v>
      </c>
      <c r="G301">
        <v>15811</v>
      </c>
      <c r="H301">
        <v>10078</v>
      </c>
    </row>
    <row r="302" spans="5:15" ht="25.5" customHeight="1">
      <c r="E302" s="1" t="s">
        <v>264</v>
      </c>
      <c r="F302">
        <v>279</v>
      </c>
      <c r="G302">
        <v>-14818</v>
      </c>
      <c r="H302">
        <v>-6237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-1873</v>
      </c>
      <c r="G317">
        <v>-2116</v>
      </c>
      <c r="H317">
        <v>-2037</v>
      </c>
    </row>
    <row r="318" spans="5:15">
      <c r="E318" s="6" t="s">
        <v>278</v>
      </c>
      <c r="F318" s="7">
        <f>F299+F300+F301+F302+F303+F304+F305+F306+F307+F308+F309+F310+F311+F312+F313+F314+F315+F316+F317</f>
        <v>84175</v>
      </c>
      <c r="G318" s="7">
        <f>IF(G4=$BF$1,"",G299+G300+G301+G302+G303+G304+G305+G306+G307+G308+G309+G310+G311+G312+G313+G314+G315+G316+G317)</f>
        <v>17247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-143495</v>
      </c>
      <c r="G319" s="7">
        <f t="shared" ref="G319:O319" si="28">IF(G4=$BF$1,"",G297+G318)</f>
        <v>-210423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-143495</v>
      </c>
      <c r="G326" s="7">
        <f t="shared" ref="G326:O326" si="30">IF(G4=$BF$1,"",G325+G319)</f>
        <v>-210423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-1021505</v>
      </c>
      <c r="G331">
        <v>-612464</v>
      </c>
      <c r="H331">
        <v>-1074457</v>
      </c>
    </row>
    <row r="332" spans="5:15">
      <c r="E332" s="12" t="s">
        <v>291</v>
      </c>
      <c r="F332">
        <v>1181545</v>
      </c>
      <c r="G332">
        <v>1122057</v>
      </c>
      <c r="H332">
        <v>1360550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160040</v>
      </c>
      <c r="G337" s="7">
        <f>IF(G4=$BF$1,"",SUM(G328:G336))</f>
        <v>509593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-19746</v>
      </c>
      <c r="G339">
        <v>-37918</v>
      </c>
      <c r="H339">
        <v>-62437</v>
      </c>
    </row>
    <row r="340" spans="5:15">
      <c r="E340" s="1" t="s">
        <v>299</v>
      </c>
    </row>
    <row r="341" spans="5:15">
      <c r="E341" s="12" t="s">
        <v>300</v>
      </c>
      <c r="F341">
        <v>-1226945</v>
      </c>
      <c r="G341">
        <v>-1370124</v>
      </c>
      <c r="H341">
        <v>-2212961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-522</v>
      </c>
      <c r="G349">
        <v>-7883</v>
      </c>
      <c r="H349">
        <v>-5876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-1247213</v>
      </c>
      <c r="G352" s="7">
        <f>IF(G4=$BF$1,"",SUM(G339:G351))</f>
        <v>-1415925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-1230668</v>
      </c>
      <c r="G353" s="7">
        <f t="shared" ref="G353:O353" si="33">IF(G4=$BF$1,"",G326+G337+G352)</f>
        <v>-1116755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3</v>
      </c>
      <c r="G354">
        <v>-27</v>
      </c>
      <c r="H354">
        <v>235</v>
      </c>
    </row>
    <row r="355" spans="5:15">
      <c r="E355" s="6" t="s">
        <v>314</v>
      </c>
      <c r="F355" s="7">
        <f>F353+F354</f>
        <v>-1230665</v>
      </c>
      <c r="G355" s="7">
        <f t="shared" ref="G355:O355" si="34">IF(G4=$BF$1,"",G353+G354)</f>
        <v>-1116782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0</v>
      </c>
      <c r="G356">
        <v>0</v>
      </c>
      <c r="H356">
        <v>0</v>
      </c>
    </row>
    <row r="357" spans="5:15">
      <c r="E357" s="6" t="s">
        <v>316</v>
      </c>
      <c r="F357" s="7">
        <f>F355+F356</f>
        <v>-1230665</v>
      </c>
      <c r="G357" s="7">
        <f t="shared" ref="G357:O357" si="35">IF(G4=$BF$1,"",G355+G356)</f>
        <v>-1116782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-7.3597713469096174E-2</v>
      </c>
      <c r="G364" s="24">
        <f t="shared" si="37"/>
        <v>-0.97588524166451285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-0.10589812332439683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-4.0790500058088396E-2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0.71770150404936373</v>
      </c>
      <c r="G370" s="27">
        <f t="shared" si="42"/>
        <v>0.74633797784923195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0.51446201311222528</v>
      </c>
      <c r="G371" s="28">
        <f t="shared" si="43"/>
        <v>0.53304751697034669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5.7703704024119641E-5</v>
      </c>
      <c r="G372" s="27">
        <f t="shared" si="44"/>
        <v>6.1905631254875301E-5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9.4070458350198818E-5</v>
      </c>
      <c r="G373" s="27">
        <f t="shared" si="45"/>
        <v>1.0068855585481686E-4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0.38659059351763336</v>
      </c>
      <c r="G376" s="30">
        <f t="shared" si="47"/>
        <v>0.38517708661809369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0.63023258109874858</v>
      </c>
      <c r="G377" s="30">
        <f t="shared" si="48"/>
        <v>0.62648459944243373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3.5313092979127139</v>
      </c>
      <c r="G378" s="30">
        <f t="shared" si="49"/>
        <v>3.4991624790619769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0.33365453813595503</v>
      </c>
      <c r="G382" s="32">
        <f t="shared" si="51"/>
        <v>1.0437163327348042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0.33365453813595503</v>
      </c>
      <c r="G383" s="32">
        <f t="shared" si="52"/>
        <v>1.0437163327348042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0.1711940280302014</v>
      </c>
      <c r="G384" s="32">
        <f t="shared" si="53"/>
        <v>0.17392309196607939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-1.7503018918556286</v>
      </c>
      <c r="G385" s="32">
        <f t="shared" si="54"/>
        <v>-3.7409198385749081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14035</v>
      </c>
      <c r="G418" s="17">
        <f>G130-G417</f>
        <v>9783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492</v>
      </c>
      <c r="B1" s="39" t="s">
        <v>493</v>
      </c>
      <c r="C1" s="39" t="s">
        <v>494</v>
      </c>
      <c r="D1" s="39"/>
    </row>
    <row r="2" spans="1:4">
      <c r="A2" t="s">
        <v>499</v>
      </c>
      <c r="B2" s="41" t="s">
        <v>495</v>
      </c>
      <c r="C2" s="39" t="s">
        <v>496</v>
      </c>
      <c r="D2" s="39"/>
    </row>
    <row r="3" spans="1:4">
      <c r="A3" s="41" t="s">
        <v>500</v>
      </c>
      <c r="B3" s="41" t="s">
        <v>495</v>
      </c>
      <c r="C3" s="39" t="s">
        <v>496</v>
      </c>
    </row>
    <row r="4" spans="1:4">
      <c r="A4" t="s">
        <v>413</v>
      </c>
      <c r="B4" s="41" t="s">
        <v>495</v>
      </c>
      <c r="C4" s="39" t="s">
        <v>496</v>
      </c>
    </row>
    <row r="5" spans="1:4">
      <c r="A5" s="42" t="s">
        <v>501</v>
      </c>
      <c r="B5" s="41" t="s">
        <v>495</v>
      </c>
      <c r="C5" s="39" t="s">
        <v>496</v>
      </c>
    </row>
    <row r="6" spans="1:4">
      <c r="A6" t="s">
        <v>505</v>
      </c>
      <c r="B6" s="41" t="s">
        <v>504</v>
      </c>
      <c r="C6" s="39" t="s">
        <v>496</v>
      </c>
    </row>
    <row r="7" spans="1:4">
      <c r="A7" t="s">
        <v>425</v>
      </c>
      <c r="B7" s="41" t="s">
        <v>504</v>
      </c>
      <c r="C7" s="39" t="s">
        <v>496</v>
      </c>
    </row>
    <row r="8" spans="1:4">
      <c r="A8" t="s">
        <v>506</v>
      </c>
      <c r="B8" s="41" t="s">
        <v>497</v>
      </c>
      <c r="C8" s="39" t="s">
        <v>496</v>
      </c>
    </row>
    <row r="9" spans="1:4" ht="25.5">
      <c r="A9" s="41" t="s">
        <v>507</v>
      </c>
      <c r="B9" s="41" t="s">
        <v>51</v>
      </c>
      <c r="C9" s="39" t="s">
        <v>496</v>
      </c>
    </row>
    <row r="10" spans="1:4">
      <c r="A10" s="41" t="s">
        <v>509</v>
      </c>
      <c r="B10" s="41" t="s">
        <v>508</v>
      </c>
      <c r="C10" s="39" t="s">
        <v>496</v>
      </c>
    </row>
    <row r="11" spans="1:4">
      <c r="A11" s="41" t="s">
        <v>511</v>
      </c>
      <c r="B11" s="41" t="s">
        <v>510</v>
      </c>
      <c r="C11" s="39" t="s">
        <v>496</v>
      </c>
    </row>
    <row r="12" spans="1:4">
      <c r="A12" s="41" t="s">
        <v>512</v>
      </c>
      <c r="B12" s="41" t="s">
        <v>510</v>
      </c>
      <c r="C12" s="39" t="s">
        <v>496</v>
      </c>
    </row>
    <row r="13" spans="1:4">
      <c r="A13" t="s">
        <v>433</v>
      </c>
      <c r="B13" s="41" t="s">
        <v>513</v>
      </c>
      <c r="C13" s="39" t="s">
        <v>496</v>
      </c>
    </row>
    <row r="14" spans="1:4">
      <c r="A14" t="s">
        <v>434</v>
      </c>
      <c r="B14" s="41" t="s">
        <v>513</v>
      </c>
      <c r="C14" s="39" t="s">
        <v>496</v>
      </c>
    </row>
    <row r="15" spans="1:4">
      <c r="A15" t="s">
        <v>435</v>
      </c>
      <c r="B15" s="41" t="s">
        <v>513</v>
      </c>
      <c r="C15" s="39" t="s">
        <v>496</v>
      </c>
    </row>
    <row r="16" spans="1:4">
      <c r="A16" s="42" t="s">
        <v>514</v>
      </c>
      <c r="B16" s="41" t="s">
        <v>137</v>
      </c>
      <c r="C16" s="39" t="s">
        <v>496</v>
      </c>
    </row>
    <row r="17" spans="1:3">
      <c r="A17" s="42" t="s">
        <v>515</v>
      </c>
      <c r="B17" s="41" t="s">
        <v>137</v>
      </c>
      <c r="C17" s="39" t="s">
        <v>496</v>
      </c>
    </row>
    <row r="18" spans="1:3">
      <c r="A18" s="43" t="s">
        <v>516</v>
      </c>
      <c r="B18" s="44" t="s">
        <v>112</v>
      </c>
      <c r="C18" s="39" t="s">
        <v>496</v>
      </c>
    </row>
    <row r="19" spans="1:3">
      <c r="A19" s="43" t="s">
        <v>517</v>
      </c>
      <c r="B19" s="43" t="s">
        <v>137</v>
      </c>
      <c r="C19" s="39" t="s">
        <v>496</v>
      </c>
    </row>
    <row r="20" spans="1:3">
      <c r="A20" s="43" t="s">
        <v>521</v>
      </c>
      <c r="B20" s="44" t="s">
        <v>520</v>
      </c>
      <c r="C20" s="39" t="s">
        <v>496</v>
      </c>
    </row>
    <row r="21" spans="1:3">
      <c r="A21" s="43" t="s">
        <v>522</v>
      </c>
      <c r="B21" s="44" t="s">
        <v>161</v>
      </c>
      <c r="C21" s="39" t="s">
        <v>496</v>
      </c>
    </row>
    <row r="22" spans="1:3">
      <c r="A22" s="43" t="s">
        <v>523</v>
      </c>
      <c r="B22" s="44" t="s">
        <v>161</v>
      </c>
      <c r="C22" s="39" t="s">
        <v>496</v>
      </c>
    </row>
    <row r="23" spans="1:3">
      <c r="A23" t="s">
        <v>395</v>
      </c>
      <c r="B23" s="44" t="s">
        <v>524</v>
      </c>
      <c r="C23" s="39" t="s">
        <v>496</v>
      </c>
    </row>
    <row r="24" spans="1:3">
      <c r="A24" s="42" t="s">
        <v>526</v>
      </c>
      <c r="B24" s="44" t="s">
        <v>525</v>
      </c>
      <c r="C24" s="39" t="s">
        <v>496</v>
      </c>
    </row>
    <row r="25" spans="1:3">
      <c r="A25" s="43" t="s">
        <v>527</v>
      </c>
      <c r="B25" s="44" t="s">
        <v>161</v>
      </c>
      <c r="C25" s="39" t="s">
        <v>496</v>
      </c>
    </row>
    <row r="26" spans="1:3">
      <c r="A26" s="43" t="s">
        <v>529</v>
      </c>
      <c r="B26" s="44" t="s">
        <v>528</v>
      </c>
      <c r="C26" s="39" t="s">
        <v>496</v>
      </c>
    </row>
    <row r="27" spans="1:3">
      <c r="A27" s="43" t="s">
        <v>530</v>
      </c>
      <c r="B27" s="44" t="s">
        <v>528</v>
      </c>
      <c r="C27" s="39" t="s">
        <v>496</v>
      </c>
    </row>
    <row r="28" spans="1:3">
      <c r="A28" t="s">
        <v>405</v>
      </c>
      <c r="B28" s="44" t="s">
        <v>531</v>
      </c>
      <c r="C28" s="39" t="s">
        <v>496</v>
      </c>
    </row>
    <row r="29" spans="1:3">
      <c r="A29" s="44" t="s">
        <v>533</v>
      </c>
      <c r="B29" s="44" t="s">
        <v>532</v>
      </c>
      <c r="C29" s="39" t="s">
        <v>496</v>
      </c>
    </row>
    <row r="30" spans="1:3">
      <c r="A30" s="44" t="s">
        <v>534</v>
      </c>
      <c r="B30" s="44"/>
      <c r="C30" s="39"/>
    </row>
    <row r="31" spans="1:3">
      <c r="A31" s="44"/>
      <c r="B31" s="44"/>
      <c r="C31" s="39"/>
    </row>
    <row r="32" spans="1:3">
      <c r="A32" s="42"/>
      <c r="B32" s="44"/>
      <c r="C32" s="39"/>
    </row>
    <row r="33" spans="1:3">
      <c r="A33" s="44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3"/>
      <c r="B38" s="44"/>
      <c r="C38" s="39"/>
    </row>
    <row r="39" spans="1:3">
      <c r="A39" s="43"/>
      <c r="B39" s="44"/>
      <c r="C39" s="39"/>
    </row>
    <row r="40" spans="1:3">
      <c r="A40" s="43"/>
      <c r="B40" s="44"/>
      <c r="C40" s="39"/>
    </row>
    <row r="41" spans="1:3">
      <c r="A41" s="43"/>
      <c r="B41" s="44"/>
      <c r="C41" s="39"/>
    </row>
    <row r="42" spans="1:3">
      <c r="A42" s="43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3" workbookViewId="0">
      <selection activeCell="A35" sqref="A35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E4">
        <v>312018</v>
      </c>
      <c r="F4">
        <v>312017</v>
      </c>
    </row>
    <row r="5" spans="1:6">
      <c r="A5" t="s">
        <v>377</v>
      </c>
    </row>
    <row r="6" spans="1:6">
      <c r="A6" t="s">
        <v>378</v>
      </c>
      <c r="B6" t="s">
        <v>103</v>
      </c>
      <c r="C6" t="s">
        <v>103</v>
      </c>
      <c r="D6" t="s">
        <v>80</v>
      </c>
    </row>
    <row r="7" spans="1:6">
      <c r="A7" t="s">
        <v>379</v>
      </c>
      <c r="E7">
        <v>1450033</v>
      </c>
      <c r="F7">
        <v>1402409</v>
      </c>
    </row>
    <row r="8" spans="1:6">
      <c r="A8" t="s">
        <v>380</v>
      </c>
      <c r="E8">
        <v>68954</v>
      </c>
      <c r="F8">
        <v>239050</v>
      </c>
    </row>
    <row r="9" spans="1:6">
      <c r="A9" t="s">
        <v>381</v>
      </c>
      <c r="E9">
        <v>729060</v>
      </c>
      <c r="F9">
        <v>675249</v>
      </c>
    </row>
    <row r="10" spans="1:6">
      <c r="A10" t="s">
        <v>382</v>
      </c>
      <c r="B10" t="s">
        <v>117</v>
      </c>
      <c r="C10" t="s">
        <v>117</v>
      </c>
      <c r="D10" t="s">
        <v>116</v>
      </c>
      <c r="E10">
        <v>14035</v>
      </c>
      <c r="F10">
        <v>9783</v>
      </c>
    </row>
    <row r="11" spans="1:6">
      <c r="A11" t="s">
        <v>383</v>
      </c>
      <c r="E11">
        <v>1298</v>
      </c>
      <c r="F11">
        <v>1497</v>
      </c>
    </row>
    <row r="12" spans="1:6">
      <c r="A12" t="s">
        <v>384</v>
      </c>
      <c r="E12">
        <v>5016</v>
      </c>
    </row>
    <row r="13" spans="1:6">
      <c r="A13" t="s">
        <v>385</v>
      </c>
      <c r="E13">
        <v>2190</v>
      </c>
      <c r="F13">
        <v>40226</v>
      </c>
    </row>
    <row r="14" spans="1:6">
      <c r="A14" t="s">
        <v>386</v>
      </c>
      <c r="B14" t="s">
        <v>96</v>
      </c>
      <c r="C14" t="s">
        <v>96</v>
      </c>
      <c r="D14" t="s">
        <v>80</v>
      </c>
      <c r="E14">
        <v>22272</v>
      </c>
      <c r="F14">
        <v>17072</v>
      </c>
    </row>
    <row r="15" spans="1:6">
      <c r="A15" t="s">
        <v>387</v>
      </c>
      <c r="B15" t="s">
        <v>155</v>
      </c>
      <c r="C15" t="s">
        <v>155</v>
      </c>
      <c r="E15">
        <v>2550</v>
      </c>
      <c r="F15">
        <v>6489</v>
      </c>
    </row>
    <row r="16" spans="1:6">
      <c r="A16" t="s">
        <v>388</v>
      </c>
      <c r="E16">
        <v>14137</v>
      </c>
      <c r="F16">
        <v>17632</v>
      </c>
    </row>
    <row r="17" spans="1:6">
      <c r="A17" t="s">
        <v>389</v>
      </c>
      <c r="E17">
        <v>1846</v>
      </c>
    </row>
    <row r="18" spans="1:6">
      <c r="A18" t="s">
        <v>390</v>
      </c>
      <c r="B18" t="s">
        <v>134</v>
      </c>
      <c r="C18" t="s">
        <v>134</v>
      </c>
      <c r="D18" t="s">
        <v>116</v>
      </c>
      <c r="E18">
        <v>419</v>
      </c>
      <c r="F18">
        <v>713</v>
      </c>
    </row>
    <row r="19" spans="1:6">
      <c r="A19" t="s">
        <v>16</v>
      </c>
      <c r="E19">
        <v>2311810</v>
      </c>
      <c r="F19">
        <v>2410120</v>
      </c>
    </row>
    <row r="20" spans="1:6">
      <c r="A20" t="s">
        <v>391</v>
      </c>
      <c r="B20" t="s">
        <v>145</v>
      </c>
      <c r="C20" t="s">
        <v>145</v>
      </c>
    </row>
    <row r="21" spans="1:6">
      <c r="A21" t="s">
        <v>392</v>
      </c>
      <c r="B21" t="s">
        <v>169</v>
      </c>
      <c r="C21" t="s">
        <v>168</v>
      </c>
      <c r="D21" t="s">
        <v>165</v>
      </c>
      <c r="E21">
        <v>789846</v>
      </c>
      <c r="F21">
        <v>848449</v>
      </c>
    </row>
    <row r="22" spans="1:6">
      <c r="A22" t="s">
        <v>393</v>
      </c>
      <c r="E22">
        <v>41827</v>
      </c>
      <c r="F22">
        <v>13970</v>
      </c>
    </row>
    <row r="23" spans="1:6">
      <c r="A23" t="s">
        <v>394</v>
      </c>
      <c r="E23">
        <v>32447</v>
      </c>
      <c r="F23">
        <v>32954</v>
      </c>
    </row>
    <row r="24" spans="1:6">
      <c r="A24" t="s">
        <v>395</v>
      </c>
      <c r="E24">
        <v>16585</v>
      </c>
      <c r="F24">
        <v>16306</v>
      </c>
    </row>
    <row r="25" spans="1:6">
      <c r="A25" t="s">
        <v>396</v>
      </c>
      <c r="B25" t="s">
        <v>150</v>
      </c>
      <c r="C25" t="s">
        <v>150</v>
      </c>
      <c r="E25">
        <v>5310</v>
      </c>
      <c r="F25">
        <v>7319</v>
      </c>
    </row>
    <row r="26" spans="1:6">
      <c r="A26" t="s">
        <v>397</v>
      </c>
      <c r="E26">
        <v>2507</v>
      </c>
      <c r="F26">
        <v>2250</v>
      </c>
    </row>
    <row r="27" spans="1:6">
      <c r="A27" t="s">
        <v>398</v>
      </c>
      <c r="B27" t="s">
        <v>399</v>
      </c>
      <c r="C27" t="s">
        <v>161</v>
      </c>
      <c r="D27" t="s">
        <v>141</v>
      </c>
      <c r="E27">
        <v>5202</v>
      </c>
      <c r="F27">
        <v>7075</v>
      </c>
    </row>
    <row r="28" spans="1:6">
      <c r="A28" t="s">
        <v>400</v>
      </c>
      <c r="B28" t="s">
        <v>164</v>
      </c>
      <c r="C28" t="s">
        <v>164</v>
      </c>
      <c r="E28">
        <v>893724</v>
      </c>
      <c r="F28">
        <v>928323</v>
      </c>
    </row>
    <row r="29" spans="1:6">
      <c r="A29" t="s">
        <v>401</v>
      </c>
      <c r="B29" t="s">
        <v>180</v>
      </c>
      <c r="C29" t="s">
        <v>180</v>
      </c>
      <c r="D29" t="s">
        <v>165</v>
      </c>
    </row>
    <row r="30" spans="1:6">
      <c r="A30" t="s">
        <v>402</v>
      </c>
      <c r="E30">
        <v>1418086</v>
      </c>
      <c r="F30">
        <v>1481797</v>
      </c>
    </row>
    <row r="31" spans="1:6">
      <c r="A31" t="s">
        <v>402</v>
      </c>
    </row>
    <row r="32" spans="1:6">
      <c r="A32" t="s">
        <v>403</v>
      </c>
      <c r="B32" t="s">
        <v>182</v>
      </c>
      <c r="C32" t="s">
        <v>182</v>
      </c>
      <c r="D32" t="s">
        <v>181</v>
      </c>
      <c r="E32">
        <v>216</v>
      </c>
      <c r="F32">
        <v>220</v>
      </c>
    </row>
    <row r="33" spans="1:6">
      <c r="A33" t="s">
        <v>404</v>
      </c>
      <c r="B33" t="s">
        <v>117</v>
      </c>
      <c r="C33" t="s">
        <v>117</v>
      </c>
      <c r="D33" t="s">
        <v>116</v>
      </c>
      <c r="E33">
        <v>2636507</v>
      </c>
      <c r="F33">
        <v>2924775</v>
      </c>
    </row>
    <row r="34" spans="1:6">
      <c r="A34" t="s">
        <v>405</v>
      </c>
      <c r="D34" t="s">
        <v>116</v>
      </c>
      <c r="E34">
        <v>-10229</v>
      </c>
      <c r="F34">
        <v>88134</v>
      </c>
    </row>
    <row r="35" spans="1:6">
      <c r="A35" t="s">
        <v>406</v>
      </c>
      <c r="D35" t="s">
        <v>116</v>
      </c>
      <c r="E35">
        <v>-1166471</v>
      </c>
      <c r="F35">
        <v>-1277625</v>
      </c>
    </row>
    <row r="36" spans="1:6">
      <c r="A36" t="s">
        <v>407</v>
      </c>
      <c r="D36" t="s">
        <v>116</v>
      </c>
      <c r="E36">
        <v>-41937</v>
      </c>
      <c r="F36">
        <v>-253707</v>
      </c>
    </row>
    <row r="37" spans="1:6">
      <c r="A37" t="s">
        <v>402</v>
      </c>
      <c r="D37" t="s">
        <v>116</v>
      </c>
      <c r="E37">
        <v>1418086</v>
      </c>
      <c r="F37">
        <v>1481797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>
      <selection activeCell="B23" sqref="B23"/>
    </sheetView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408</v>
      </c>
      <c r="B3" t="s">
        <v>54</v>
      </c>
      <c r="C3" t="s">
        <v>54</v>
      </c>
      <c r="D3" t="s">
        <v>409</v>
      </c>
    </row>
    <row r="4" spans="1:7">
      <c r="A4" t="s">
        <v>410</v>
      </c>
      <c r="D4" t="s">
        <v>409</v>
      </c>
    </row>
    <row r="5" spans="1:7">
      <c r="A5" t="s">
        <v>411</v>
      </c>
      <c r="D5" t="s">
        <v>409</v>
      </c>
      <c r="E5">
        <v>157076</v>
      </c>
      <c r="F5">
        <v>160457</v>
      </c>
      <c r="G5">
        <v>234492</v>
      </c>
    </row>
    <row r="6" spans="1:7">
      <c r="A6" t="s">
        <v>412</v>
      </c>
      <c r="B6" t="s">
        <v>67</v>
      </c>
      <c r="C6" t="s">
        <v>67</v>
      </c>
      <c r="D6" t="s">
        <v>409</v>
      </c>
      <c r="F6">
        <v>2066</v>
      </c>
      <c r="G6">
        <v>3885</v>
      </c>
    </row>
    <row r="7" spans="1:7">
      <c r="A7" t="s">
        <v>413</v>
      </c>
      <c r="B7" t="s">
        <v>54</v>
      </c>
      <c r="C7" t="s">
        <v>54</v>
      </c>
      <c r="D7" t="s">
        <v>409</v>
      </c>
      <c r="E7">
        <v>7176</v>
      </c>
      <c r="F7">
        <v>7824</v>
      </c>
      <c r="G7">
        <v>23505</v>
      </c>
    </row>
    <row r="8" spans="1:7">
      <c r="A8" t="s">
        <v>414</v>
      </c>
      <c r="B8" t="s">
        <v>409</v>
      </c>
      <c r="C8" t="s">
        <v>26</v>
      </c>
      <c r="D8" t="s">
        <v>409</v>
      </c>
      <c r="E8">
        <v>6548</v>
      </c>
      <c r="F8">
        <v>4551</v>
      </c>
      <c r="G8">
        <v>11176</v>
      </c>
    </row>
    <row r="9" spans="1:7">
      <c r="A9" t="s">
        <v>415</v>
      </c>
      <c r="D9" t="s">
        <v>409</v>
      </c>
    </row>
    <row r="10" spans="1:7">
      <c r="A10" t="s">
        <v>416</v>
      </c>
      <c r="D10" t="s">
        <v>409</v>
      </c>
      <c r="E10">
        <v>266</v>
      </c>
      <c r="F10">
        <v>1914</v>
      </c>
      <c r="G10">
        <v>1141</v>
      </c>
    </row>
    <row r="11" spans="1:7">
      <c r="A11" t="s">
        <v>412</v>
      </c>
      <c r="B11" t="s">
        <v>67</v>
      </c>
      <c r="C11" t="s">
        <v>67</v>
      </c>
      <c r="D11" t="s">
        <v>409</v>
      </c>
      <c r="E11">
        <v>2528</v>
      </c>
      <c r="F11">
        <v>14485</v>
      </c>
      <c r="G11">
        <v>32295</v>
      </c>
    </row>
    <row r="12" spans="1:7">
      <c r="A12" t="s">
        <v>413</v>
      </c>
      <c r="B12" t="s">
        <v>54</v>
      </c>
      <c r="C12" t="s">
        <v>54</v>
      </c>
      <c r="D12" t="s">
        <v>409</v>
      </c>
      <c r="E12">
        <v>7626</v>
      </c>
      <c r="F12">
        <v>2809</v>
      </c>
      <c r="G12">
        <v>53</v>
      </c>
    </row>
    <row r="13" spans="1:7">
      <c r="A13" t="s">
        <v>414</v>
      </c>
      <c r="B13" t="s">
        <v>409</v>
      </c>
      <c r="C13" t="s">
        <v>26</v>
      </c>
      <c r="D13" t="s">
        <v>409</v>
      </c>
      <c r="E13">
        <v>-306</v>
      </c>
      <c r="F13">
        <v>70</v>
      </c>
      <c r="G13">
        <v>368</v>
      </c>
    </row>
    <row r="14" spans="1:7">
      <c r="A14" t="s">
        <v>417</v>
      </c>
      <c r="D14" t="s">
        <v>409</v>
      </c>
    </row>
    <row r="15" spans="1:7">
      <c r="A15" t="s">
        <v>416</v>
      </c>
      <c r="D15" t="s">
        <v>409</v>
      </c>
      <c r="E15">
        <v>55781</v>
      </c>
      <c r="F15">
        <v>50405</v>
      </c>
      <c r="G15">
        <v>43848</v>
      </c>
    </row>
    <row r="16" spans="1:7">
      <c r="A16" t="s">
        <v>412</v>
      </c>
      <c r="B16" t="s">
        <v>67</v>
      </c>
      <c r="C16" t="s">
        <v>67</v>
      </c>
      <c r="D16" t="s">
        <v>409</v>
      </c>
      <c r="E16">
        <v>17153</v>
      </c>
      <c r="F16">
        <v>17750</v>
      </c>
      <c r="G16">
        <v>21651</v>
      </c>
    </row>
    <row r="17" spans="1:7">
      <c r="A17" t="s">
        <v>413</v>
      </c>
      <c r="B17" t="s">
        <v>54</v>
      </c>
      <c r="C17" t="s">
        <v>54</v>
      </c>
      <c r="D17" t="s">
        <v>409</v>
      </c>
      <c r="E17">
        <v>5439</v>
      </c>
      <c r="F17">
        <v>17531</v>
      </c>
      <c r="G17">
        <v>7268</v>
      </c>
    </row>
    <row r="18" spans="1:7">
      <c r="A18" t="s">
        <v>414</v>
      </c>
      <c r="B18" t="s">
        <v>409</v>
      </c>
      <c r="C18" t="s">
        <v>26</v>
      </c>
      <c r="D18" t="s">
        <v>409</v>
      </c>
      <c r="G18">
        <v>63</v>
      </c>
    </row>
    <row r="19" spans="1:7">
      <c r="A19" t="s">
        <v>418</v>
      </c>
      <c r="B19" t="s">
        <v>54</v>
      </c>
      <c r="C19" t="s">
        <v>54</v>
      </c>
      <c r="D19" t="s">
        <v>409</v>
      </c>
      <c r="E19">
        <v>259287</v>
      </c>
      <c r="F19">
        <v>279862</v>
      </c>
      <c r="G19">
        <v>379745</v>
      </c>
    </row>
    <row r="20" spans="1:7">
      <c r="A20" t="s">
        <v>419</v>
      </c>
      <c r="B20" t="s">
        <v>41</v>
      </c>
      <c r="C20" t="s">
        <v>41</v>
      </c>
      <c r="D20" t="s">
        <v>409</v>
      </c>
    </row>
    <row r="21" spans="1:7">
      <c r="A21" t="s">
        <v>420</v>
      </c>
      <c r="D21" t="s">
        <v>409</v>
      </c>
      <c r="E21">
        <v>47937</v>
      </c>
      <c r="F21">
        <v>52934</v>
      </c>
      <c r="G21">
        <v>66176</v>
      </c>
    </row>
    <row r="22" spans="1:7">
      <c r="A22" t="s">
        <v>421</v>
      </c>
      <c r="D22" t="s">
        <v>409</v>
      </c>
      <c r="E22">
        <v>28710</v>
      </c>
      <c r="F22">
        <v>18776</v>
      </c>
      <c r="G22">
        <v>43943</v>
      </c>
    </row>
    <row r="23" spans="1:7">
      <c r="A23" t="s">
        <v>422</v>
      </c>
      <c r="B23" t="s">
        <v>423</v>
      </c>
      <c r="C23" t="s">
        <v>56</v>
      </c>
      <c r="D23" t="s">
        <v>409</v>
      </c>
      <c r="E23">
        <v>53039</v>
      </c>
      <c r="F23">
        <v>59765</v>
      </c>
      <c r="G23">
        <v>80850</v>
      </c>
    </row>
    <row r="24" spans="1:7">
      <c r="A24" t="s">
        <v>424</v>
      </c>
      <c r="B24" t="s">
        <v>36</v>
      </c>
      <c r="C24" t="s">
        <v>36</v>
      </c>
      <c r="D24" t="s">
        <v>409</v>
      </c>
      <c r="E24">
        <v>-6915</v>
      </c>
      <c r="F24">
        <v>-7513</v>
      </c>
      <c r="G24">
        <v>6449</v>
      </c>
    </row>
    <row r="25" spans="1:7">
      <c r="A25" t="s">
        <v>425</v>
      </c>
      <c r="B25" t="s">
        <v>36</v>
      </c>
      <c r="C25" t="s">
        <v>36</v>
      </c>
      <c r="D25" t="s">
        <v>409</v>
      </c>
      <c r="E25">
        <v>9599</v>
      </c>
      <c r="F25">
        <v>13200</v>
      </c>
      <c r="G25">
        <v>8745</v>
      </c>
    </row>
    <row r="26" spans="1:7">
      <c r="A26" t="s">
        <v>426</v>
      </c>
      <c r="B26" t="s">
        <v>45</v>
      </c>
      <c r="C26" t="s">
        <v>45</v>
      </c>
      <c r="D26" t="s">
        <v>409</v>
      </c>
      <c r="E26">
        <v>146200</v>
      </c>
      <c r="F26">
        <v>152188</v>
      </c>
      <c r="G26">
        <v>206163</v>
      </c>
    </row>
    <row r="27" spans="1:7">
      <c r="A27" t="s">
        <v>427</v>
      </c>
      <c r="D27" t="s">
        <v>409</v>
      </c>
      <c r="E27">
        <v>-19718</v>
      </c>
      <c r="F27">
        <v>-21233</v>
      </c>
      <c r="G27">
        <v>-19440</v>
      </c>
    </row>
    <row r="28" spans="1:7">
      <c r="A28" t="s">
        <v>428</v>
      </c>
      <c r="D28" t="s">
        <v>409</v>
      </c>
      <c r="E28">
        <v>-582</v>
      </c>
      <c r="F28">
        <v>-336</v>
      </c>
      <c r="G28">
        <v>-235</v>
      </c>
    </row>
    <row r="29" spans="1:7">
      <c r="A29" t="s">
        <v>429</v>
      </c>
      <c r="B29" t="s">
        <v>41</v>
      </c>
      <c r="C29" t="s">
        <v>41</v>
      </c>
      <c r="D29" t="s">
        <v>409</v>
      </c>
      <c r="E29">
        <v>125900</v>
      </c>
      <c r="F29">
        <v>130619</v>
      </c>
      <c r="G29">
        <v>186488</v>
      </c>
    </row>
    <row r="30" spans="1:7">
      <c r="A30" t="s">
        <v>430</v>
      </c>
      <c r="B30" t="s">
        <v>54</v>
      </c>
      <c r="C30" t="s">
        <v>54</v>
      </c>
      <c r="D30" t="s">
        <v>409</v>
      </c>
      <c r="E30">
        <v>133387</v>
      </c>
      <c r="F30">
        <v>149243</v>
      </c>
      <c r="G30">
        <v>193257</v>
      </c>
    </row>
    <row r="31" spans="1:7">
      <c r="A31" t="s">
        <v>431</v>
      </c>
      <c r="D31" t="s">
        <v>409</v>
      </c>
    </row>
    <row r="32" spans="1:7">
      <c r="A32" t="s">
        <v>432</v>
      </c>
      <c r="B32" t="s">
        <v>48</v>
      </c>
      <c r="C32" t="s">
        <v>48</v>
      </c>
      <c r="D32" t="s">
        <v>409</v>
      </c>
    </row>
    <row r="33" spans="1:7">
      <c r="A33" t="s">
        <v>433</v>
      </c>
      <c r="D33" t="s">
        <v>409</v>
      </c>
      <c r="E33">
        <v>-96498</v>
      </c>
      <c r="F33">
        <v>-97774</v>
      </c>
      <c r="G33">
        <v>-154230</v>
      </c>
    </row>
    <row r="34" spans="1:7">
      <c r="A34" t="s">
        <v>434</v>
      </c>
      <c r="D34" t="s">
        <v>409</v>
      </c>
      <c r="E34">
        <v>-167416</v>
      </c>
      <c r="F34">
        <v>50014</v>
      </c>
      <c r="G34">
        <v>-5554</v>
      </c>
    </row>
    <row r="35" spans="1:7">
      <c r="A35" t="s">
        <v>435</v>
      </c>
      <c r="D35" t="s">
        <v>409</v>
      </c>
      <c r="F35">
        <v>-2173</v>
      </c>
      <c r="G35">
        <v>-39736</v>
      </c>
    </row>
    <row r="36" spans="1:7">
      <c r="A36" t="s">
        <v>436</v>
      </c>
      <c r="D36" t="s">
        <v>409</v>
      </c>
      <c r="E36">
        <v>-4275</v>
      </c>
      <c r="F36">
        <v>752</v>
      </c>
    </row>
    <row r="37" spans="1:7">
      <c r="A37" t="s">
        <v>437</v>
      </c>
      <c r="D37" t="s">
        <v>409</v>
      </c>
      <c r="F37">
        <v>-878</v>
      </c>
    </row>
    <row r="38" spans="1:7">
      <c r="A38" t="s">
        <v>438</v>
      </c>
      <c r="D38" t="s">
        <v>409</v>
      </c>
      <c r="G38">
        <v>-470</v>
      </c>
    </row>
    <row r="39" spans="1:7">
      <c r="A39" t="s">
        <v>439</v>
      </c>
      <c r="B39" t="s">
        <v>59</v>
      </c>
      <c r="C39" t="s">
        <v>59</v>
      </c>
      <c r="D39" t="s">
        <v>409</v>
      </c>
      <c r="E39">
        <v>15851</v>
      </c>
      <c r="F39">
        <v>8236</v>
      </c>
      <c r="G39">
        <v>4626</v>
      </c>
    </row>
    <row r="40" spans="1:7">
      <c r="A40" t="s">
        <v>440</v>
      </c>
      <c r="B40" t="s">
        <v>441</v>
      </c>
      <c r="C40" t="s">
        <v>33</v>
      </c>
      <c r="D40" t="s">
        <v>409</v>
      </c>
      <c r="E40">
        <v>-5790</v>
      </c>
    </row>
    <row r="41" spans="1:7">
      <c r="A41" t="s">
        <v>442</v>
      </c>
      <c r="D41" t="s">
        <v>409</v>
      </c>
      <c r="E41">
        <v>-258128</v>
      </c>
      <c r="F41">
        <v>-41823</v>
      </c>
      <c r="G41">
        <v>-195364</v>
      </c>
    </row>
    <row r="42" spans="1:7">
      <c r="A42" t="s">
        <v>443</v>
      </c>
      <c r="D42" t="s">
        <v>409</v>
      </c>
    </row>
    <row r="43" spans="1:7">
      <c r="A43" t="s">
        <v>433</v>
      </c>
      <c r="D43" t="s">
        <v>409</v>
      </c>
      <c r="E43">
        <v>86870</v>
      </c>
      <c r="F43">
        <v>134198</v>
      </c>
      <c r="G43">
        <v>-105316</v>
      </c>
    </row>
    <row r="44" spans="1:7">
      <c r="A44" t="s">
        <v>434</v>
      </c>
      <c r="D44" t="s">
        <v>409</v>
      </c>
      <c r="E44">
        <v>173674</v>
      </c>
      <c r="F44">
        <v>-185926</v>
      </c>
      <c r="G44">
        <v>27086</v>
      </c>
    </row>
    <row r="45" spans="1:7">
      <c r="A45" t="s">
        <v>435</v>
      </c>
      <c r="D45" t="s">
        <v>409</v>
      </c>
      <c r="E45">
        <v>7622</v>
      </c>
      <c r="F45">
        <v>-55689</v>
      </c>
      <c r="G45">
        <v>33680</v>
      </c>
    </row>
    <row r="46" spans="1:7">
      <c r="A46" t="s">
        <v>436</v>
      </c>
      <c r="D46" t="s">
        <v>409</v>
      </c>
      <c r="E46">
        <v>-19145</v>
      </c>
    </row>
    <row r="47" spans="1:7">
      <c r="A47" t="s">
        <v>444</v>
      </c>
      <c r="B47" t="s">
        <v>59</v>
      </c>
      <c r="C47" t="s">
        <v>59</v>
      </c>
      <c r="D47" t="s">
        <v>409</v>
      </c>
      <c r="E47">
        <v>-37251</v>
      </c>
      <c r="F47">
        <v>18367</v>
      </c>
      <c r="G47">
        <v>2131</v>
      </c>
    </row>
    <row r="48" spans="1:7">
      <c r="A48" t="s">
        <v>445</v>
      </c>
      <c r="D48" t="s">
        <v>409</v>
      </c>
      <c r="E48">
        <v>211770</v>
      </c>
      <c r="F48">
        <v>-89050</v>
      </c>
      <c r="G48">
        <v>-42419</v>
      </c>
    </row>
    <row r="49" spans="1:7">
      <c r="A49" t="s">
        <v>446</v>
      </c>
      <c r="D49" t="s">
        <v>409</v>
      </c>
      <c r="E49">
        <v>-46358</v>
      </c>
      <c r="F49">
        <v>-130873</v>
      </c>
      <c r="G49">
        <v>-237783</v>
      </c>
    </row>
    <row r="50" spans="1:7">
      <c r="A50" t="s">
        <v>447</v>
      </c>
      <c r="D50" t="s">
        <v>409</v>
      </c>
      <c r="E50">
        <v>87029</v>
      </c>
      <c r="F50">
        <v>18370</v>
      </c>
      <c r="G50">
        <v>-44526</v>
      </c>
    </row>
    <row r="51" spans="1:7">
      <c r="A51" t="s">
        <v>448</v>
      </c>
      <c r="D51" t="s">
        <v>409</v>
      </c>
      <c r="E51">
        <v>40</v>
      </c>
      <c r="F51">
        <v>8</v>
      </c>
      <c r="G51">
        <v>-19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449</v>
      </c>
      <c r="B3" t="s">
        <v>231</v>
      </c>
      <c r="C3" t="s">
        <v>231</v>
      </c>
      <c r="D3" t="s">
        <v>449</v>
      </c>
    </row>
    <row r="4" spans="1:7">
      <c r="A4" t="s">
        <v>450</v>
      </c>
      <c r="B4" t="s">
        <v>261</v>
      </c>
      <c r="C4" t="s">
        <v>261</v>
      </c>
      <c r="D4" t="s">
        <v>449</v>
      </c>
      <c r="E4">
        <v>87029</v>
      </c>
      <c r="F4">
        <v>18370</v>
      </c>
      <c r="G4">
        <v>-44526</v>
      </c>
    </row>
    <row r="5" spans="1:7">
      <c r="A5" t="s">
        <v>442</v>
      </c>
      <c r="D5" t="s">
        <v>449</v>
      </c>
      <c r="E5">
        <v>258128</v>
      </c>
      <c r="F5">
        <v>41823</v>
      </c>
      <c r="G5">
        <v>195364</v>
      </c>
    </row>
    <row r="6" spans="1:7">
      <c r="A6" t="s">
        <v>445</v>
      </c>
      <c r="B6" t="s">
        <v>241</v>
      </c>
      <c r="C6" t="s">
        <v>241</v>
      </c>
      <c r="D6" t="s">
        <v>449</v>
      </c>
      <c r="E6">
        <v>-211770</v>
      </c>
      <c r="F6">
        <v>89050</v>
      </c>
      <c r="G6">
        <v>42419</v>
      </c>
    </row>
    <row r="7" spans="1:7">
      <c r="A7" t="s">
        <v>451</v>
      </c>
      <c r="B7" t="s">
        <v>240</v>
      </c>
      <c r="C7" t="s">
        <v>240</v>
      </c>
      <c r="D7" t="s">
        <v>449</v>
      </c>
      <c r="E7">
        <v>-6616</v>
      </c>
      <c r="F7">
        <v>-5155</v>
      </c>
      <c r="G7">
        <v>-7185</v>
      </c>
    </row>
    <row r="8" spans="1:7">
      <c r="A8" t="s">
        <v>452</v>
      </c>
      <c r="B8" t="s">
        <v>453</v>
      </c>
      <c r="C8" t="s">
        <v>243</v>
      </c>
      <c r="D8" t="s">
        <v>449</v>
      </c>
      <c r="E8">
        <v>593</v>
      </c>
      <c r="F8">
        <v>593</v>
      </c>
      <c r="G8">
        <v>595</v>
      </c>
    </row>
    <row r="9" spans="1:7">
      <c r="A9" t="s">
        <v>454</v>
      </c>
      <c r="B9" t="s">
        <v>240</v>
      </c>
      <c r="C9" t="s">
        <v>240</v>
      </c>
      <c r="D9" t="s">
        <v>449</v>
      </c>
      <c r="E9">
        <v>4739</v>
      </c>
      <c r="F9">
        <v>5625</v>
      </c>
      <c r="G9">
        <v>6472</v>
      </c>
    </row>
    <row r="10" spans="1:7">
      <c r="A10" t="s">
        <v>455</v>
      </c>
      <c r="D10" t="s">
        <v>449</v>
      </c>
      <c r="E10">
        <v>15850</v>
      </c>
      <c r="F10">
        <v>8236</v>
      </c>
      <c r="G10">
        <v>4626</v>
      </c>
    </row>
    <row r="11" spans="1:7">
      <c r="A11" t="s">
        <v>456</v>
      </c>
      <c r="B11" t="s">
        <v>453</v>
      </c>
      <c r="C11" t="s">
        <v>243</v>
      </c>
      <c r="D11" t="s">
        <v>449</v>
      </c>
      <c r="E11">
        <v>-14616</v>
      </c>
      <c r="F11">
        <v>-33389</v>
      </c>
      <c r="G11">
        <v>-40836</v>
      </c>
    </row>
    <row r="12" spans="1:7">
      <c r="A12" t="s">
        <v>457</v>
      </c>
      <c r="B12" t="s">
        <v>251</v>
      </c>
      <c r="C12" t="s">
        <v>251</v>
      </c>
      <c r="D12" t="s">
        <v>449</v>
      </c>
    </row>
    <row r="13" spans="1:7">
      <c r="A13" t="s">
        <v>458</v>
      </c>
      <c r="B13" t="s">
        <v>290</v>
      </c>
      <c r="C13" t="s">
        <v>290</v>
      </c>
      <c r="D13" t="s">
        <v>459</v>
      </c>
      <c r="E13">
        <v>-1021505</v>
      </c>
      <c r="F13">
        <v>-612464</v>
      </c>
      <c r="G13">
        <v>-1074457</v>
      </c>
    </row>
    <row r="14" spans="1:7">
      <c r="A14" t="s">
        <v>460</v>
      </c>
      <c r="B14" t="s">
        <v>291</v>
      </c>
      <c r="C14" t="s">
        <v>291</v>
      </c>
      <c r="D14" t="s">
        <v>459</v>
      </c>
      <c r="E14">
        <v>1181545</v>
      </c>
      <c r="F14">
        <v>1122057</v>
      </c>
      <c r="G14">
        <v>1360550</v>
      </c>
    </row>
    <row r="15" spans="1:7">
      <c r="A15" t="s">
        <v>461</v>
      </c>
      <c r="D15" t="s">
        <v>459</v>
      </c>
      <c r="E15">
        <v>-12627</v>
      </c>
      <c r="F15">
        <v>-4746</v>
      </c>
    </row>
    <row r="16" spans="1:7">
      <c r="A16" t="s">
        <v>462</v>
      </c>
      <c r="D16" t="s">
        <v>459</v>
      </c>
      <c r="F16">
        <v>-879</v>
      </c>
    </row>
    <row r="17" spans="1:7">
      <c r="A17" t="s">
        <v>463</v>
      </c>
      <c r="D17" t="s">
        <v>459</v>
      </c>
      <c r="E17">
        <v>8330</v>
      </c>
      <c r="F17">
        <v>5499</v>
      </c>
    </row>
    <row r="18" spans="1:7">
      <c r="A18" t="s">
        <v>464</v>
      </c>
      <c r="D18" t="s">
        <v>459</v>
      </c>
      <c r="E18">
        <v>-20970</v>
      </c>
    </row>
    <row r="19" spans="1:7">
      <c r="A19" t="s">
        <v>465</v>
      </c>
      <c r="B19" t="s">
        <v>263</v>
      </c>
      <c r="C19" t="s">
        <v>263</v>
      </c>
      <c r="D19" t="s">
        <v>449</v>
      </c>
      <c r="E19">
        <v>-5199</v>
      </c>
      <c r="F19">
        <v>12791</v>
      </c>
      <c r="G19">
        <v>14162</v>
      </c>
    </row>
    <row r="20" spans="1:7">
      <c r="A20" t="s">
        <v>466</v>
      </c>
      <c r="B20" t="s">
        <v>263</v>
      </c>
      <c r="C20" t="s">
        <v>263</v>
      </c>
      <c r="D20" t="s">
        <v>449</v>
      </c>
      <c r="E20">
        <v>3939</v>
      </c>
      <c r="F20">
        <v>3020</v>
      </c>
      <c r="G20">
        <v>-4084</v>
      </c>
    </row>
    <row r="21" spans="1:7">
      <c r="A21" t="s">
        <v>467</v>
      </c>
      <c r="B21" t="s">
        <v>264</v>
      </c>
      <c r="C21" t="s">
        <v>264</v>
      </c>
      <c r="D21" t="s">
        <v>459</v>
      </c>
      <c r="E21">
        <v>294</v>
      </c>
      <c r="F21">
        <v>8810</v>
      </c>
      <c r="G21">
        <v>-240</v>
      </c>
    </row>
    <row r="22" spans="1:7">
      <c r="A22" t="s">
        <v>468</v>
      </c>
      <c r="B22" t="s">
        <v>264</v>
      </c>
      <c r="C22" t="s">
        <v>264</v>
      </c>
      <c r="D22" t="s">
        <v>449</v>
      </c>
      <c r="E22">
        <v>279</v>
      </c>
      <c r="F22">
        <v>-14818</v>
      </c>
      <c r="G22">
        <v>-6237</v>
      </c>
    </row>
    <row r="23" spans="1:7">
      <c r="A23" t="s">
        <v>469</v>
      </c>
      <c r="B23" t="s">
        <v>272</v>
      </c>
      <c r="C23" t="s">
        <v>272</v>
      </c>
      <c r="D23" t="s">
        <v>459</v>
      </c>
      <c r="E23">
        <v>-2009</v>
      </c>
      <c r="F23">
        <v>-125</v>
      </c>
      <c r="G23">
        <v>-8407</v>
      </c>
    </row>
    <row r="24" spans="1:7">
      <c r="A24" t="s">
        <v>470</v>
      </c>
      <c r="D24" t="s">
        <v>459</v>
      </c>
      <c r="E24">
        <v>257</v>
      </c>
      <c r="F24">
        <v>235</v>
      </c>
      <c r="G24">
        <v>15</v>
      </c>
    </row>
    <row r="25" spans="1:7">
      <c r="A25" t="s">
        <v>471</v>
      </c>
      <c r="B25" t="s">
        <v>277</v>
      </c>
      <c r="C25" t="s">
        <v>277</v>
      </c>
      <c r="D25" t="s">
        <v>449</v>
      </c>
      <c r="E25">
        <v>-1873</v>
      </c>
      <c r="F25">
        <v>-2116</v>
      </c>
      <c r="G25">
        <v>-2037</v>
      </c>
    </row>
    <row r="26" spans="1:7">
      <c r="A26" t="s">
        <v>472</v>
      </c>
      <c r="B26" t="s">
        <v>285</v>
      </c>
      <c r="C26" t="s">
        <v>285</v>
      </c>
      <c r="D26" t="s">
        <v>449</v>
      </c>
      <c r="E26">
        <v>263798</v>
      </c>
      <c r="F26">
        <v>642417</v>
      </c>
      <c r="G26">
        <v>436194</v>
      </c>
    </row>
    <row r="27" spans="1:7">
      <c r="A27" t="s">
        <v>473</v>
      </c>
      <c r="B27" t="s">
        <v>297</v>
      </c>
      <c r="C27" t="s">
        <v>297</v>
      </c>
      <c r="D27" t="s">
        <v>473</v>
      </c>
    </row>
    <row r="28" spans="1:7">
      <c r="A28" t="s">
        <v>474</v>
      </c>
      <c r="D28" t="s">
        <v>473</v>
      </c>
      <c r="E28">
        <v>1123983</v>
      </c>
      <c r="F28">
        <v>922423</v>
      </c>
      <c r="G28">
        <v>2042514</v>
      </c>
    </row>
    <row r="29" spans="1:7">
      <c r="A29" t="s">
        <v>475</v>
      </c>
      <c r="B29" t="s">
        <v>300</v>
      </c>
      <c r="C29" t="s">
        <v>300</v>
      </c>
      <c r="D29" t="s">
        <v>473</v>
      </c>
      <c r="E29">
        <v>-1226945</v>
      </c>
      <c r="F29">
        <v>-1370124</v>
      </c>
      <c r="G29">
        <v>-2212961</v>
      </c>
    </row>
    <row r="30" spans="1:7">
      <c r="A30" t="s">
        <v>476</v>
      </c>
      <c r="B30" t="s">
        <v>477</v>
      </c>
      <c r="C30" t="s">
        <v>477</v>
      </c>
      <c r="D30" t="s">
        <v>473</v>
      </c>
      <c r="E30">
        <v>-522</v>
      </c>
      <c r="F30">
        <v>-7883</v>
      </c>
      <c r="G30">
        <v>-5876</v>
      </c>
    </row>
    <row r="31" spans="1:7">
      <c r="A31" t="s">
        <v>478</v>
      </c>
      <c r="B31" t="s">
        <v>298</v>
      </c>
      <c r="C31" t="s">
        <v>298</v>
      </c>
      <c r="D31" t="s">
        <v>473</v>
      </c>
      <c r="E31">
        <v>-19746</v>
      </c>
      <c r="F31">
        <v>-37918</v>
      </c>
      <c r="G31">
        <v>-62437</v>
      </c>
    </row>
    <row r="32" spans="1:7">
      <c r="A32" t="s">
        <v>479</v>
      </c>
      <c r="D32" t="s">
        <v>473</v>
      </c>
      <c r="E32">
        <v>-131502</v>
      </c>
      <c r="F32">
        <v>-156513</v>
      </c>
      <c r="G32">
        <v>-187181</v>
      </c>
    </row>
    <row r="33" spans="1:7">
      <c r="A33" t="s">
        <v>480</v>
      </c>
      <c r="B33" t="s">
        <v>311</v>
      </c>
      <c r="C33" t="s">
        <v>311</v>
      </c>
      <c r="D33" t="s">
        <v>473</v>
      </c>
      <c r="E33">
        <v>-254732</v>
      </c>
      <c r="F33">
        <v>-650015</v>
      </c>
      <c r="G33">
        <v>-425941</v>
      </c>
    </row>
    <row r="34" spans="1:7">
      <c r="A34" t="s">
        <v>481</v>
      </c>
      <c r="D34" t="s">
        <v>473</v>
      </c>
    </row>
    <row r="35" spans="1:7">
      <c r="A35" t="s">
        <v>482</v>
      </c>
      <c r="D35" t="s">
        <v>473</v>
      </c>
    </row>
    <row r="36" spans="1:7">
      <c r="A36" t="s">
        <v>483</v>
      </c>
      <c r="B36" t="s">
        <v>484</v>
      </c>
      <c r="C36" t="s">
        <v>312</v>
      </c>
      <c r="D36" t="s">
        <v>473</v>
      </c>
      <c r="E36">
        <v>9066</v>
      </c>
      <c r="F36">
        <v>-7598</v>
      </c>
      <c r="G36">
        <v>10253</v>
      </c>
    </row>
    <row r="37" spans="1:7">
      <c r="A37" t="s">
        <v>485</v>
      </c>
      <c r="B37" t="s">
        <v>313</v>
      </c>
      <c r="C37" t="s">
        <v>313</v>
      </c>
      <c r="D37" t="s">
        <v>473</v>
      </c>
      <c r="E37">
        <v>3</v>
      </c>
      <c r="F37">
        <v>-27</v>
      </c>
      <c r="G37">
        <v>235</v>
      </c>
    </row>
    <row r="38" spans="1:7">
      <c r="A38" t="s">
        <v>486</v>
      </c>
      <c r="D38" t="s">
        <v>473</v>
      </c>
      <c r="E38">
        <v>11280</v>
      </c>
      <c r="F38">
        <v>18905</v>
      </c>
      <c r="G38">
        <v>8417</v>
      </c>
    </row>
    <row r="39" spans="1:7">
      <c r="A39" t="s">
        <v>481</v>
      </c>
      <c r="B39" t="s">
        <v>487</v>
      </c>
      <c r="C39" t="s">
        <v>315</v>
      </c>
      <c r="D39" t="s">
        <v>473</v>
      </c>
    </row>
    <row r="40" spans="1:7">
      <c r="A40" t="s">
        <v>488</v>
      </c>
      <c r="D40" t="s">
        <v>473</v>
      </c>
      <c r="E40">
        <v>20349</v>
      </c>
      <c r="F40">
        <v>11280</v>
      </c>
      <c r="G40">
        <v>18905</v>
      </c>
    </row>
    <row r="41" spans="1:7">
      <c r="A41" t="s">
        <v>489</v>
      </c>
      <c r="D41" t="s">
        <v>473</v>
      </c>
    </row>
    <row r="42" spans="1:7">
      <c r="A42" t="s">
        <v>490</v>
      </c>
      <c r="B42" t="s">
        <v>243</v>
      </c>
      <c r="C42" t="s">
        <v>243</v>
      </c>
      <c r="D42" t="s">
        <v>473</v>
      </c>
      <c r="E42">
        <v>49595</v>
      </c>
      <c r="F42">
        <v>53693</v>
      </c>
      <c r="G42">
        <v>79763</v>
      </c>
    </row>
    <row r="43" spans="1:7">
      <c r="A43" t="s">
        <v>491</v>
      </c>
      <c r="D43" t="s">
        <v>473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D96A55-6A9D-4880-B795-FD531A1E89F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B95C94A-2FFE-408B-8C06-E68FCD4D75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C38A29-1F2C-465F-BC22-D0F434329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2021-10-18T05:01:52Z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