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F227" i="1" s="1"/>
  <c r="F11" i="1" s="1"/>
  <c r="G158" i="1"/>
  <c r="F158" i="1"/>
  <c r="G113" i="1"/>
  <c r="F113" i="1"/>
  <c r="G92" i="1"/>
  <c r="F92" i="1"/>
  <c r="F98" i="1" s="1"/>
  <c r="F100" i="1" s="1"/>
  <c r="F128" i="1" s="1"/>
  <c r="F7" i="1" s="1"/>
  <c r="G89" i="1"/>
  <c r="F89" i="1"/>
  <c r="G36" i="1"/>
  <c r="G43" i="1" s="1"/>
  <c r="F36" i="1"/>
  <c r="G24" i="1"/>
  <c r="G30" i="1" s="1"/>
  <c r="G369" i="1" s="1"/>
  <c r="F24" i="1"/>
  <c r="F364" i="1" s="1"/>
  <c r="G433" i="1"/>
  <c r="F433" i="1"/>
  <c r="G432" i="1"/>
  <c r="F432" i="1"/>
  <c r="F418" i="1"/>
  <c r="G417" i="1"/>
  <c r="G418" i="1" s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H381" i="1"/>
  <c r="L377" i="1"/>
  <c r="N376" i="1"/>
  <c r="O375" i="1"/>
  <c r="N375" i="1"/>
  <c r="M375" i="1"/>
  <c r="L375" i="1"/>
  <c r="K375" i="1"/>
  <c r="J375" i="1"/>
  <c r="H375" i="1"/>
  <c r="J373" i="1"/>
  <c r="N371" i="1"/>
  <c r="J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F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H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12" i="1"/>
  <c r="F161" i="1"/>
  <c r="F8" i="1" s="1"/>
  <c r="F382" i="1" s="1"/>
  <c r="H370" i="1"/>
  <c r="F30" i="1"/>
  <c r="F369" i="1" s="1"/>
  <c r="G366" i="1"/>
  <c r="G383" i="1"/>
  <c r="G382" i="1"/>
  <c r="G326" i="1"/>
  <c r="L372" i="1"/>
  <c r="F297" i="1"/>
  <c r="F319" i="1" s="1"/>
  <c r="F326" i="1" s="1"/>
  <c r="J368" i="1"/>
  <c r="N370" i="1"/>
  <c r="H373" i="1"/>
  <c r="F375" i="1"/>
  <c r="L376" i="1"/>
  <c r="J377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J378" i="1"/>
  <c r="I365" i="1"/>
  <c r="M368" i="1"/>
  <c r="M372" i="1"/>
  <c r="I375" i="1"/>
  <c r="G376" i="1"/>
  <c r="O376" i="1"/>
  <c r="M377" i="1"/>
  <c r="K378" i="1"/>
  <c r="I381" i="1"/>
  <c r="O382" i="1"/>
  <c r="K384" i="1"/>
  <c r="H365" i="1"/>
  <c r="F363" i="1"/>
  <c r="N368" i="1"/>
  <c r="N372" i="1"/>
  <c r="H376" i="1"/>
  <c r="F377" i="1"/>
  <c r="N377" i="1"/>
  <c r="L378" i="1"/>
  <c r="H382" i="1"/>
  <c r="J384" i="1"/>
  <c r="G363" i="1"/>
  <c r="O368" i="1"/>
  <c r="O372" i="1"/>
  <c r="I376" i="1"/>
  <c r="G377" i="1"/>
  <c r="O377" i="1"/>
  <c r="M378" i="1"/>
  <c r="I382" i="1"/>
  <c r="F13" i="1"/>
  <c r="H363" i="1"/>
  <c r="G13" i="1"/>
  <c r="G44" i="1"/>
  <c r="I363" i="1"/>
  <c r="G14" i="1" l="1"/>
  <c r="F383" i="1"/>
  <c r="F12" i="1"/>
  <c r="F44" i="1"/>
  <c r="F378" i="1" s="1"/>
  <c r="F353" i="1"/>
  <c r="F355" i="1" s="1"/>
  <c r="F357" i="1" s="1"/>
  <c r="F385" i="1"/>
  <c r="G378" i="1"/>
  <c r="G370" i="1"/>
  <c r="G59" i="1"/>
  <c r="G67" i="1" s="1"/>
  <c r="G71" i="1" s="1"/>
  <c r="G353" i="1"/>
  <c r="G355" i="1" s="1"/>
  <c r="G357" i="1" s="1"/>
  <c r="G385" i="1"/>
  <c r="F366" i="1" l="1"/>
  <c r="F376" i="1"/>
  <c r="F14" i="1"/>
  <c r="F59" i="1"/>
  <c r="F67" i="1" s="1"/>
  <c r="F71" i="1" s="1"/>
  <c r="F6" i="1" s="1"/>
  <c r="F370" i="1"/>
  <c r="G373" i="1"/>
  <c r="G83" i="1"/>
  <c r="G372" i="1"/>
  <c r="G6" i="1"/>
  <c r="F372" i="1" l="1"/>
  <c r="F83" i="1"/>
  <c r="F373" i="1"/>
  <c r="F371" i="1"/>
  <c r="F365" i="1"/>
  <c r="G371" i="1"/>
  <c r="G365" i="1"/>
</calcChain>
</file>

<file path=xl/sharedStrings.xml><?xml version="1.0" encoding="utf-8"?>
<sst xmlns="http://schemas.openxmlformats.org/spreadsheetml/2006/main" count="946" uniqueCount="555">
  <si>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</si>
  <si>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</si>
  <si>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</si>
  <si>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</si>
  <si>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</si>
  <si>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</si>
  <si>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</si>
  <si>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</si>
  <si>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</si>
  <si>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</si>
  <si>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</si>
  <si>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</si>
  <si>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</si>
  <si>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</si>
  <si>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</si>
  <si>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</si>
  <si>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</si>
  <si>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</si>
  <si>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</si>
  <si>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</si>
  <si>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</si>
  <si>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</si>
  <si>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</si>
  <si>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</si>
  <si>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</si>
  <si>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</si>
  <si>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</si>
  <si>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</si>
  <si>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</si>
  <si>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</si>
  <si>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</si>
  <si>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</si>
  <si>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</si>
  <si>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</si>
  <si>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</si>
  <si>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</si>
  <si>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</si>
  <si>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</si>
  <si>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</si>
  <si>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</si>
  <si>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</si>
  <si>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</si>
  <si>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</si>
  <si>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</si>
  <si>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</si>
  <si>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</si>
  <si>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</si>
  <si>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</si>
  <si>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</si>
  <si>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</si>
  <si>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</si>
  <si>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</si>
  <si>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</si>
  <si>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</si>
  <si>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</si>
  <si>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</si>
  <si>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</si>
  <si>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</si>
  <si>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</si>
  <si>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</si>
  <si>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</si>
  <si>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</si>
  <si>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</si>
  <si>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</si>
  <si>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</si>
  <si>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</si>
  <si>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</si>
  <si>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</si>
  <si>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</si>
  <si>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</si>
  <si>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</si>
  <si>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</si>
  <si>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</si>
  <si>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</si>
  <si>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</si>
  <si>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</si>
  <si>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</si>
  <si>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</si>
  <si>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</si>
  <si>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</si>
  <si>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</si>
  <si>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</si>
  <si>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</si>
  <si>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</si>
  <si>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</si>
  <si>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</si>
  <si>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</si>
  <si>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</si>
  <si>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</si>
  <si>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</si>
  <si>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</si>
  <si>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</si>
  <si>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</si>
  <si>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</si>
  <si>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</si>
  <si>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</si>
  <si>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</si>
  <si>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</si>
  <si>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</si>
  <si>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</si>
  <si>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</si>
  <si>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</si>
  <si>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</si>
  <si>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</si>
  <si>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</si>
  <si>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</si>
  <si>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</si>
  <si>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</si>
  <si>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</si>
  <si>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</si>
  <si>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</si>
  <si>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</si>
  <si>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</si>
  <si>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</si>
  <si>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</si>
  <si>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</si>
  <si>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</si>
  <si>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</si>
  <si>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</si>
  <si>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</si>
  <si>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</si>
  <si>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</si>
  <si>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</si>
  <si>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</si>
  <si>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</si>
  <si>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</si>
  <si>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</si>
  <si>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</si>
  <si>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</si>
  <si>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</si>
  <si>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</si>
  <si>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</si>
  <si>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</si>
  <si>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</si>
  <si>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</si>
  <si>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</si>
  <si>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</si>
  <si>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</si>
  <si>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</si>
  <si>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</si>
  <si>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</si>
  <si>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</si>
  <si>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</si>
  <si>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</si>
  <si>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</si>
  <si>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</si>
  <si>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</si>
  <si>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</si>
  <si>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</si>
  <si>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</si>
  <si>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</si>
  <si>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</si>
  <si>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</si>
  <si>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</si>
  <si>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</si>
  <si>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</si>
  <si>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</si>
  <si>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</si>
  <si>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</si>
  <si>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</si>
  <si>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</si>
  <si>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</si>
  <si>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</si>
  <si>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</si>
  <si>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</si>
  <si>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</si>
  <si>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</si>
  <si>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</si>
  <si>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</si>
  <si>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</si>
  <si>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</si>
  <si>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</si>
  <si>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</si>
  <si>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</si>
  <si>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</si>
  <si>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</si>
  <si>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</si>
  <si>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</si>
  <si>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</si>
  <si>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</si>
  <si>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</si>
  <si>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</si>
  <si>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</si>
  <si>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</si>
  <si>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</si>
  <si>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</si>
  <si>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</si>
  <si>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</si>
  <si>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</si>
  <si>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</si>
  <si>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</si>
  <si>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</si>
  <si>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</si>
  <si>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</si>
  <si>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</si>
  <si>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</si>
  <si>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</si>
  <si>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</si>
  <si>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</si>
  <si>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</si>
  <si>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</si>
  <si>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</si>
  <si>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</si>
  <si>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</si>
  <si>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</si>
  <si>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</si>
  <si>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</si>
  <si>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</si>
  <si>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</si>
  <si>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</si>
  <si>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</si>
  <si>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</si>
  <si>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</si>
  <si>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</si>
  <si>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</si>
  <si>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</si>
  <si>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</si>
  <si>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</si>
  <si>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</si>
  <si>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</si>
  <si>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</si>
  <si>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</si>
  <si>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</si>
  <si>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</si>
  <si>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</si>
  <si>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</si>
  <si>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</si>
  <si>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</si>
  <si>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</si>
  <si>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</si>
  <si>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</si>
  <si>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</si>
  <si>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</si>
  <si>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</si>
  <si>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</si>
  <si>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</si>
  <si>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</si>
  <si>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</si>
  <si>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</si>
  <si>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</si>
  <si>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</si>
  <si>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</si>
  <si>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</si>
  <si>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</si>
  <si>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</si>
  <si>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</si>
  <si>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</si>
  <si>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</si>
  <si>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</si>
  <si>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</si>
  <si>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</si>
  <si>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</si>
  <si>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</si>
  <si>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</si>
  <si>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</si>
  <si>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</si>
  <si>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</si>
  <si>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</si>
  <si>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</si>
  <si>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</si>
  <si>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</si>
  <si>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</si>
  <si>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</si>
  <si>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</si>
  <si>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</si>
  <si>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</si>
  <si>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</si>
  <si>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</si>
  <si>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</si>
  <si>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</si>
  <si>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</si>
  <si>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</si>
  <si>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</si>
  <si>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</si>
  <si>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</si>
  <si>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</si>
  <si>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</si>
  <si>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</si>
  <si>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</si>
  <si>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</si>
  <si>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</si>
  <si>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</si>
  <si>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</si>
  <si>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</si>
  <si>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</si>
  <si>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</si>
  <si>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</si>
  <si>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</si>
  <si>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</si>
  <si>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</si>
  <si>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</si>
  <si>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</si>
  <si>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</si>
  <si>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</si>
  <si>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</si>
  <si>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</si>
  <si>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</si>
  <si>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</si>
  <si>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</si>
  <si>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</si>
  <si>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</si>
  <si>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</si>
  <si>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</si>
  <si>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</si>
  <si>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</si>
  <si>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</si>
  <si>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</si>
  <si>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</si>
  <si>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</si>
  <si>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</si>
  <si>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</si>
  <si>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</si>
  <si>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</si>
  <si>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</si>
  <si>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</si>
  <si>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</si>
  <si>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</si>
  <si>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</si>
  <si>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</si>
  <si>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</si>
  <si>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</si>
  <si>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</si>
  <si>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</si>
  <si>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</si>
  <si>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</si>
  <si>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</si>
  <si>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</si>
  <si>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</si>
  <si>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</si>
  <si>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</si>
  <si>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</si>
  <si>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</si>
  <si>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</si>
  <si>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</si>
  <si>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</si>
  <si>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</si>
  <si>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</si>
  <si>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</si>
  <si>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</si>
  <si>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</si>
  <si>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</si>
  <si>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</si>
  <si>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</si>
  <si>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</si>
  <si>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</si>
  <si>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</si>
  <si>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</si>
  <si>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</si>
  <si>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</si>
  <si>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</si>
  <si>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</si>
  <si>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</si>
  <si>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</si>
  <si>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</si>
  <si>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</si>
  <si>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</si>
  <si>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</si>
  <si>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</si>
  <si>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</si>
  <si>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</si>
  <si>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</si>
  <si>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</si>
  <si>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</si>
  <si>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</si>
  <si>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</si>
  <si>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</si>
  <si>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</si>
  <si>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</si>
  <si>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</si>
  <si>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</si>
  <si>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</si>
  <si>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</si>
  <si>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</si>
  <si>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</si>
  <si>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</si>
  <si>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Investments, available for sale</t>
  </si>
  <si>
    <t>Fixed income securities, at fair value (amortized cost $158,411 and $157,451)</t>
  </si>
  <si>
    <t>Equity securities, at fair value (cost $7,969 and $5,598)</t>
  </si>
  <si>
    <t>Other investments</t>
  </si>
  <si>
    <t>Total Investments</t>
  </si>
  <si>
    <t>Cash and cash equivalents</t>
  </si>
  <si>
    <t>Accrued investment income</t>
  </si>
  <si>
    <t>Premiums receivable (net of allowance of $3,418 and $2,366)</t>
  </si>
  <si>
    <t>Reinsurance recoverables on amounts paid</t>
  </si>
  <si>
    <t>Reinsurance recoverables on amounts unpaid</t>
  </si>
  <si>
    <t>Prepaid reinsurance premiums</t>
  </si>
  <si>
    <t>Deferred policy acquisition costs</t>
  </si>
  <si>
    <t>Deferred tax asset, net</t>
  </si>
  <si>
    <t>Goodwill</t>
  </si>
  <si>
    <t>Intangible assets, net</t>
  </si>
  <si>
    <t>Other Intangibles</t>
  </si>
  <si>
    <t>Property and equipment, net</t>
  </si>
  <si>
    <t>Property and Equipment</t>
  </si>
  <si>
    <t>Other assets</t>
  </si>
  <si>
    <t>Liabilities</t>
  </si>
  <si>
    <t>Claims liabilities</t>
  </si>
  <si>
    <t>Unearned premium reserves</t>
  </si>
  <si>
    <t>Due to reinsurers</t>
  </si>
  <si>
    <t>Notes payable, net</t>
  </si>
  <si>
    <t>Other liabilities and accrued expenses</t>
  </si>
  <si>
    <t>Accruals</t>
  </si>
  <si>
    <t>Total Liabilities</t>
  </si>
  <si>
    <t>Commitments and contingencies (see Note 8)</t>
  </si>
  <si>
    <t>Shareholders Equity</t>
  </si>
  <si>
    <t>Ordinary voting common shares, $0.003 par value, 266,666,667 shares authorized,</t>
  </si>
  <si>
    <t>shares issued and outstanding: December 31, 2017 - 12,164,041 and December 31, 2016</t>
  </si>
  <si>
    <t>- 11,895,104</t>
  </si>
  <si>
    <t>Restricted voting common shares, $0.003 par value, 33,333,334 shares authorized, shares</t>
  </si>
  <si>
    <t>issued and outstanding: December 31, 2017 - 0 and December 31, 2016 - 128,191</t>
  </si>
  <si>
    <t>Additional paid-in capital</t>
  </si>
  <si>
    <t>Retained deficit</t>
  </si>
  <si>
    <t>Accumulated other comprehensive income (loss), net of tax</t>
  </si>
  <si>
    <t>Total Shareholders' Equity</t>
  </si>
  <si>
    <t>Consolidated Statements of Income (Loss)</t>
  </si>
  <si>
    <t>Net premiums earned</t>
  </si>
  <si>
    <t>Revenue</t>
  </si>
  <si>
    <t>Net investment income</t>
  </si>
  <si>
    <t>Net realized gains</t>
  </si>
  <si>
    <t>Gain on Disposals</t>
  </si>
  <si>
    <t>Other income</t>
  </si>
  <si>
    <t>Total revenue</t>
  </si>
  <si>
    <t>Total Cost of Revenue</t>
  </si>
  <si>
    <t>Total Cost of Revenue TODO REMOVE</t>
  </si>
  <si>
    <t>Net claims incurred</t>
  </si>
  <si>
    <t>Acquisition costs</t>
  </si>
  <si>
    <t>Other underwriting expenses</t>
  </si>
  <si>
    <t>Amortization of intangible assets</t>
  </si>
  <si>
    <t>Amortisation of assets</t>
  </si>
  <si>
    <t>Interest expense</t>
  </si>
  <si>
    <t>Expenses (recovered) incurred pursuant to stock purchase agreements</t>
  </si>
  <si>
    <t>Expenses incurred related to acquisition of subsidiaries</t>
  </si>
  <si>
    <t>Total expenses</t>
  </si>
  <si>
    <t>(Loss) income from operations before income taxes</t>
  </si>
  <si>
    <t>Profit before Zakat and Income tax</t>
  </si>
  <si>
    <t>Income tax (benefit) expense</t>
  </si>
  <si>
    <t>Net (loss) income</t>
  </si>
  <si>
    <t>Less: Preferred share dividends</t>
  </si>
  <si>
    <t>Net (loss) income attributable to common shareholders</t>
  </si>
  <si>
    <t>Share of profit or loss from associates, JVs</t>
  </si>
  <si>
    <t>Basic weighted average common shares outstanding</t>
  </si>
  <si>
    <t>(Loss) earnings per common share basic</t>
  </si>
  <si>
    <t>Diluted weighted average common shares outstanding</t>
  </si>
  <si>
    <t>(Loss) earnings per common share diluted</t>
  </si>
  <si>
    <t>Consolidated Statements of Comprehensive Income (Loss)</t>
  </si>
  <si>
    <t>Other comprehensive income (loss):</t>
  </si>
  <si>
    <t>Total Other Comprehensive Income</t>
  </si>
  <si>
    <t>Changes in net unrealized investment gains (losses)</t>
  </si>
  <si>
    <t>Reclassification to net (loss) income</t>
  </si>
  <si>
    <t>Effect of income taxes</t>
  </si>
  <si>
    <t>Profit before Zakat</t>
  </si>
  <si>
    <t>Other comprehensive income (loss)</t>
  </si>
  <si>
    <t>Ordinary</t>
  </si>
  <si>
    <t>Voting</t>
  </si>
  <si>
    <t>Common</t>
  </si>
  <si>
    <t>Shares</t>
  </si>
  <si>
    <t>Balance December 31, 2014 r</t>
  </si>
  <si>
    <t>Net income</t>
  </si>
  <si>
    <t>Other comprehensive loss</t>
  </si>
  <si>
    <t>Total Other Comprehensive Loss</t>
  </si>
  <si>
    <t>Options exercised</t>
  </si>
  <si>
    <t>Share-based compensation</t>
  </si>
  <si>
    <t>Balance December 31, 2015 r</t>
  </si>
  <si>
    <t>Preferred dividends paid</t>
  </si>
  <si>
    <t>Other comprehensive income</t>
  </si>
  <si>
    <t>Balance December 31, 2016</t>
  </si>
  <si>
    <t>ASU 2018-02, reclassification of certain tax effects</t>
  </si>
  <si>
    <t>Net loss</t>
  </si>
  <si>
    <t>Other</t>
  </si>
  <si>
    <t>Operating activities:</t>
  </si>
  <si>
    <t>Operating Activities</t>
  </si>
  <si>
    <t>Adjustments to reconcile net (loss) income to net cash flows provided by operating</t>
  </si>
  <si>
    <t>activities:</t>
  </si>
  <si>
    <t>Depreciation and amortization of property and equipment</t>
  </si>
  <si>
    <t>Share-based compensation expense</t>
  </si>
  <si>
    <t>Amortization of deferred gain on sale of headquarters building</t>
  </si>
  <si>
    <t>Deferred income taxes</t>
  </si>
  <si>
    <t>Gain in equity of investees</t>
  </si>
  <si>
    <t>Amortization of bond premiums and discounts</t>
  </si>
  <si>
    <t>Amortization of financing costs</t>
  </si>
  <si>
    <t>Net changes in operating assets and liabilities:</t>
  </si>
  <si>
    <t>Premiums receivable, net</t>
  </si>
  <si>
    <t>Due from reinsurers and prepaid reinsurance premiums</t>
  </si>
  <si>
    <t>Net cash flows provided by operating activities</t>
  </si>
  <si>
    <t>Investing activities:</t>
  </si>
  <si>
    <t>Investing Activities</t>
  </si>
  <si>
    <t>Purchase of subsidiary (net of cash acquired)</t>
  </si>
  <si>
    <t>Purchases of:</t>
  </si>
  <si>
    <t>Fixed income securities</t>
  </si>
  <si>
    <t>Equity securities</t>
  </si>
  <si>
    <t>Property, equipment and other</t>
  </si>
  <si>
    <t>Proceeds from sale and maturity of:</t>
  </si>
  <si>
    <t>Assets held for sale</t>
  </si>
  <si>
    <t>Net cash flows (used in) provided by investing activities</t>
  </si>
  <si>
    <t>Financing activities:</t>
  </si>
  <si>
    <t>Financing Activities</t>
  </si>
  <si>
    <t>Preferred share buyback</t>
  </si>
  <si>
    <t>Capital contributions</t>
  </si>
  <si>
    <t>Proceeds from notes payable, net of issuance costs</t>
  </si>
  <si>
    <t>Repayment of notes payable</t>
  </si>
  <si>
    <t>Net cash flows provided by (used in) financing activities</t>
  </si>
  <si>
    <t>Net change in cash and cash equivalents</t>
  </si>
  <si>
    <t>Cash and cash equivalents, beginning of period</t>
  </si>
  <si>
    <t>Cash and cash equivalents at beginning of period</t>
  </si>
  <si>
    <t>Supplemental disclosure of cash information:</t>
  </si>
  <si>
    <t>Cash paid for:</t>
  </si>
  <si>
    <t>Income taxes</t>
  </si>
  <si>
    <t>Interest</t>
  </si>
  <si>
    <t>Supplemental disclosure of noncash investing and financing activities:</t>
  </si>
  <si>
    <t>Issuance of preferred shares related to purchase of subsidiary</t>
  </si>
  <si>
    <t>Issuance of preferred shares pursuant to Gateway stock purchase agreement</t>
  </si>
  <si>
    <t>Redemption of preferred shares related to Gateway stock purchase agreement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</si>
  <si>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</si>
  <si>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</si>
  <si>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</si>
  <si>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</si>
  <si>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</si>
  <si>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land and buildings</t>
  </si>
  <si>
    <t>property, plant and equipment</t>
  </si>
  <si>
    <t>prepaid expenses</t>
  </si>
  <si>
    <t>ordinary shares</t>
  </si>
  <si>
    <t>changed value</t>
  </si>
  <si>
    <t>net premiums earned</t>
  </si>
  <si>
    <t>net investment income</t>
  </si>
  <si>
    <t>net realized gains</t>
  </si>
  <si>
    <t>other income</t>
  </si>
  <si>
    <t>added value</t>
  </si>
  <si>
    <t>other operating expenses</t>
  </si>
  <si>
    <t>net claims incurred</t>
  </si>
  <si>
    <t>acquisition costs</t>
  </si>
  <si>
    <t>other underwriting expenses</t>
  </si>
  <si>
    <t>deleted value</t>
  </si>
  <si>
    <t>other income (expenses)</t>
  </si>
  <si>
    <t>deleted this value</t>
  </si>
  <si>
    <t>changed sign</t>
  </si>
  <si>
    <t>buildings</t>
  </si>
  <si>
    <t>land</t>
  </si>
  <si>
    <t>building improvements</t>
  </si>
  <si>
    <t>leasehold improvements</t>
  </si>
  <si>
    <t>internal use software</t>
  </si>
  <si>
    <t>computer equipment</t>
  </si>
  <si>
    <t>furniture and office equipment</t>
  </si>
  <si>
    <t>accumulated depreciation</t>
  </si>
  <si>
    <t>leased assets</t>
  </si>
  <si>
    <t>accumulated depreciation and amortisation</t>
  </si>
  <si>
    <t>wrong years; its 2017 &amp; 2016</t>
  </si>
  <si>
    <t>long term investments</t>
  </si>
  <si>
    <t>Fixed income securities, at fair value</t>
  </si>
  <si>
    <t>Equity securities, at fair value</t>
  </si>
  <si>
    <t>other investments</t>
  </si>
  <si>
    <t>accrued investment income</t>
  </si>
  <si>
    <t>prepaid reinsurance premiums</t>
  </si>
  <si>
    <t>deferred policy acquisition costs</t>
  </si>
  <si>
    <t>unearned premium reserves</t>
  </si>
  <si>
    <t>due to reinsurers</t>
  </si>
  <si>
    <t>Ordinary voting common shares, $0.003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</si>
</sst>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4" fillId="0" borderId="0" xfId="2" applyFill="1"/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A5-4938-A78E-DE63F5B28B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B2-40C0-B29E-EA6F6EBAED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549-426C-BE5F-AA52F7BBC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1A-4551-B536-B7CDC8241B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2F-4061-8390-4E427C02D1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36-4CE5-81EC-C0546F6CB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F7-49CB-8223-B3F3F9D4C1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FF-4C6C-A39A-0EC3140F67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97-45AB-9753-A808DB505F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59-4860-96EA-B4A7135F35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F8-4309-B472-3C3B565503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4B-413D-AC60-679AEDD80E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EF-40EE-B1C2-BF0F55EF71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E23-48A7-993A-B4909525D8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30-4CA4-8FB2-BFFFA80012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47" t="s">
        <v>544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-38810</v>
      </c>
      <c r="G6" s="7">
        <f t="shared" ref="G6:O6" si="1">IF(G4=$BF$1,"",G71)</f>
        <v>2646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281714</v>
      </c>
      <c r="G7" s="7">
        <f t="shared" ref="G7:O7" si="2">IF(G4=$BF$1,"",G128)</f>
        <v>258547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200789</v>
      </c>
      <c r="G8" s="7">
        <f t="shared" ref="G8:O8" si="3">IF(G4=$BF$1,"",G161)</f>
        <v>165030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255404</v>
      </c>
      <c r="G9" s="7">
        <f t="shared" ref="G9:O9" si="4">IF(G4=$BF$1,"",G189)</f>
        <v>174695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136454</v>
      </c>
      <c r="G10" s="7">
        <f t="shared" ref="G10:O10" si="5">IF(G4=$BF$1,"",G210)</f>
        <v>121540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90645</v>
      </c>
      <c r="G11" s="7">
        <f t="shared" ref="G11:O11" si="6">IF(G4=$BF$1,"",G227)</f>
        <v>127342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482503</v>
      </c>
      <c r="G12" s="35">
        <f t="shared" ref="G12:O12" si="7">IF(G4=$BF$1,"",SUM(G7:G8))</f>
        <v>423577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482503</v>
      </c>
      <c r="G13" s="35">
        <f t="shared" ref="G13:O13" si="8">IF(G4=$BF$1,"",SUM(G9:G11))</f>
        <v>423577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215771+4897+872+435</f>
        <v>221975</v>
      </c>
      <c r="G24">
        <f>171058+4824+1230+467</f>
        <v>177579</v>
      </c>
      <c r="P24" s="47" t="s">
        <v>520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221975</v>
      </c>
      <c r="G30" s="7">
        <f>IF(G4=$BF$1,"",G24-G25+ABS(G26)-G27-G28-G29)</f>
        <v>177579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</row>
    <row r="35" spans="5:16">
      <c r="E35" s="1" t="s">
        <v>37</v>
      </c>
    </row>
    <row r="36" spans="5:16">
      <c r="E36" s="1" t="s">
        <v>38</v>
      </c>
      <c r="F36" s="38">
        <f>203873+27885+32140</f>
        <v>263898</v>
      </c>
      <c r="G36" s="38">
        <f>134746+18803+28399</f>
        <v>181948</v>
      </c>
      <c r="P36" s="47" t="s">
        <v>525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390</v>
      </c>
      <c r="G41">
        <v>390</v>
      </c>
      <c r="H41">
        <v>315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264288</v>
      </c>
      <c r="G43" s="7">
        <f>G32+G33+G34+G35+G36+G37+G38+G39+G40+G41+G42</f>
        <v>182338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-42313</v>
      </c>
      <c r="G44" s="7">
        <f>IF(G4=$BF$1,"",G30+G31-G43)</f>
        <v>-4759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F45"/>
      <c r="G45"/>
      <c r="P45" s="47" t="s">
        <v>530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1840</v>
      </c>
      <c r="G49">
        <v>1026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P52" s="47" t="s">
        <v>530</v>
      </c>
    </row>
    <row r="53" spans="5:16">
      <c r="E53" s="1" t="s">
        <v>55</v>
      </c>
    </row>
    <row r="54" spans="5:16">
      <c r="E54" s="1" t="s">
        <v>56</v>
      </c>
      <c r="G54" s="38">
        <v>6297</v>
      </c>
      <c r="P54" s="47" t="s">
        <v>525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-44153</v>
      </c>
      <c r="G59" s="7">
        <f>IF(G4=$BF$1,"",G44+G45+G46+G47+G48-G49-G50-G51+G52-G53+G54+G55-G56+G57+G58)</f>
        <v>512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>
        <v>-5343</v>
      </c>
      <c r="G60">
        <v>-2134</v>
      </c>
      <c r="H60">
        <v>7616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-38810</v>
      </c>
      <c r="G67" s="7">
        <f>IF(G4=$BF$1,"",SUM(G59,-G60,-ABS(G61),-G62,-G66))</f>
        <v>2646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  <c r="F68"/>
      <c r="G68"/>
      <c r="P68" s="47" t="s">
        <v>532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-38810</v>
      </c>
      <c r="G71" s="7">
        <f t="shared" ref="G71:O71" si="14">IF(G4=$BF$1,"",SUM(G67:G70))</f>
        <v>2646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  <c r="F76"/>
      <c r="G76"/>
      <c r="P76" s="47" t="s">
        <v>532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  <c r="F82">
        <v>0</v>
      </c>
      <c r="G82">
        <v>-281</v>
      </c>
      <c r="P82" s="47" t="s">
        <v>533</v>
      </c>
    </row>
    <row r="83" spans="5:16">
      <c r="E83" s="6" t="s">
        <v>77</v>
      </c>
      <c r="F83" s="7">
        <f>SUM(F71:F82)</f>
        <v>-38810</v>
      </c>
      <c r="G83" s="7">
        <f t="shared" ref="G83:O83" si="15">IF(G4=$BF$1,"",SUM(G71:G82))</f>
        <v>2365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48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7425+1840+7900</f>
        <v>17165</v>
      </c>
      <c r="G89" s="38">
        <f>7425+1840+139</f>
        <v>9404</v>
      </c>
      <c r="P89" s="47" t="s">
        <v>525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9567+1465+2582</f>
        <v>13614</v>
      </c>
      <c r="G92">
        <f>8078+2464+586</f>
        <v>11128</v>
      </c>
      <c r="P92" s="47" t="s">
        <v>525</v>
      </c>
    </row>
    <row r="93" spans="5:16">
      <c r="E93" s="1" t="s">
        <v>85</v>
      </c>
    </row>
    <row r="94" spans="5:16">
      <c r="E94" s="1" t="s">
        <v>86</v>
      </c>
      <c r="F94" s="38">
        <v>140</v>
      </c>
      <c r="G94" s="38">
        <v>527</v>
      </c>
      <c r="P94" s="47" t="s">
        <v>525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30919</v>
      </c>
      <c r="G98" s="7">
        <f>IF(G4=$BF$1,"",G89+G90+G91+G92+G93+G94+G95+G96)</f>
        <v>21059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-6480</v>
      </c>
      <c r="G99" s="38">
        <v>-9289</v>
      </c>
      <c r="P99" s="47" t="s">
        <v>525</v>
      </c>
    </row>
    <row r="100" spans="5:16">
      <c r="E100" s="6" t="s">
        <v>90</v>
      </c>
      <c r="F100" s="7">
        <f>F98+F99</f>
        <v>24439</v>
      </c>
      <c r="G100" s="7">
        <f t="shared" ref="G100:O100" si="17">IF(G4=$BF$1,"",G98+G99)</f>
        <v>11770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  <c r="F101">
        <v>2726</v>
      </c>
      <c r="G101">
        <v>2726</v>
      </c>
    </row>
    <row r="102" spans="5:16">
      <c r="E102" s="1" t="s">
        <v>92</v>
      </c>
      <c r="F102">
        <v>4145</v>
      </c>
      <c r="G102">
        <v>4535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6871</v>
      </c>
      <c r="G104" s="7">
        <f t="shared" ref="G104:O104" si="18">IF(G4=$BF$1,"",G101+G102+G103)</f>
        <v>7261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16985</v>
      </c>
      <c r="G111">
        <v>18498</v>
      </c>
    </row>
    <row r="112" spans="5:16">
      <c r="E112" s="1" t="s">
        <v>102</v>
      </c>
      <c r="F112">
        <v>0</v>
      </c>
      <c r="G112">
        <v>0</v>
      </c>
    </row>
    <row r="113" spans="5:16">
      <c r="E113" s="1" t="s">
        <v>103</v>
      </c>
      <c r="F113">
        <f>157984+8446+31438</f>
        <v>197868</v>
      </c>
      <c r="G113">
        <f>156487+6223+32181</f>
        <v>194891</v>
      </c>
      <c r="P113" s="47" t="s">
        <v>520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14797</v>
      </c>
      <c r="G125" s="38">
        <v>13222</v>
      </c>
      <c r="P125" s="47" t="s">
        <v>525</v>
      </c>
    </row>
    <row r="126" spans="5:16">
      <c r="E126" s="1" t="s">
        <v>113</v>
      </c>
      <c r="F126">
        <v>20754</v>
      </c>
      <c r="G126">
        <v>12905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281714</v>
      </c>
      <c r="G128" s="7">
        <f t="shared" ref="G128:O128" si="19">IF(G4=$BF$1,"",G100+SUM(G104:G126))</f>
        <v>258547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45615</v>
      </c>
      <c r="G130">
        <v>29888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45615</v>
      </c>
      <c r="G140" s="7">
        <f t="shared" ref="G140:O140" si="20">IF(G4=$BF$1,"",G130+G131+G132+G133+G134+G135+G136+G139)</f>
        <v>29888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 s="38">
        <v>12878</v>
      </c>
      <c r="G154" s="38">
        <v>13372</v>
      </c>
      <c r="P154" s="47" t="s">
        <v>525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79664</v>
      </c>
      <c r="G157">
        <v>77386</v>
      </c>
    </row>
    <row r="158" spans="5:16">
      <c r="E158" s="1" t="s">
        <v>138</v>
      </c>
      <c r="F158" s="38">
        <f>1248+7982+53402</f>
        <v>62632</v>
      </c>
      <c r="G158" s="38">
        <f>1228+7786+35370</f>
        <v>44384</v>
      </c>
      <c r="P158" s="47" t="s">
        <v>525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155174</v>
      </c>
      <c r="G160" s="7">
        <f>IF(G4=$BF$1,"",G146+G147+G148+G149+G150+G151+G152+G153+G154+G155+G156+G157+G158+G159)</f>
        <v>135142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200789</v>
      </c>
      <c r="G161" s="7">
        <f t="shared" ref="G161:O161" si="22">IF(G4=$BF$1,"",G140+G145+G160)</f>
        <v>165030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142</v>
      </c>
    </row>
    <row r="164" spans="5:15">
      <c r="E164" s="1" t="s">
        <v>143</v>
      </c>
    </row>
    <row r="165" spans="5:15">
      <c r="E165" s="1" t="s">
        <v>144</v>
      </c>
    </row>
    <row r="166" spans="5:15">
      <c r="E166" s="1" t="s">
        <v>145</v>
      </c>
      <c r="F166">
        <v>211648</v>
      </c>
      <c r="G166">
        <v>139004</v>
      </c>
    </row>
    <row r="167" spans="5:15">
      <c r="E167" s="1" t="s">
        <v>146</v>
      </c>
    </row>
    <row r="168" spans="5:15">
      <c r="E168" s="1" t="s">
        <v>147</v>
      </c>
    </row>
    <row r="169" spans="5:15">
      <c r="E169" s="1" t="s">
        <v>148</v>
      </c>
    </row>
    <row r="170" spans="5:15">
      <c r="E170" s="1" t="s">
        <v>149</v>
      </c>
    </row>
    <row r="171" spans="5:15">
      <c r="E171" s="1" t="s">
        <v>150</v>
      </c>
      <c r="F171">
        <v>24031</v>
      </c>
      <c r="G171">
        <v>19187</v>
      </c>
    </row>
    <row r="172" spans="5:15">
      <c r="E172" s="1" t="s">
        <v>151</v>
      </c>
    </row>
    <row r="173" spans="5:15">
      <c r="E173" s="1" t="s">
        <v>152</v>
      </c>
    </row>
    <row r="174" spans="5:15">
      <c r="E174" s="1" t="s">
        <v>153</v>
      </c>
    </row>
    <row r="175" spans="5:15">
      <c r="E175" s="1" t="s">
        <v>154</v>
      </c>
    </row>
    <row r="176" spans="5:15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19725</v>
      </c>
      <c r="G184">
        <v>16504</v>
      </c>
    </row>
    <row r="185" spans="5:16">
      <c r="E185" s="12" t="s">
        <v>162</v>
      </c>
      <c r="P185" s="49"/>
    </row>
    <row r="187" spans="5:16">
      <c r="E187" s="1" t="s">
        <v>163</v>
      </c>
    </row>
    <row r="188" spans="5:16">
      <c r="E188" s="1" t="s">
        <v>164</v>
      </c>
      <c r="F188"/>
      <c r="G188"/>
      <c r="P188" s="47" t="s">
        <v>532</v>
      </c>
    </row>
    <row r="189" spans="5:16">
      <c r="E189" s="6" t="s">
        <v>13</v>
      </c>
      <c r="F189" s="7">
        <f>SUM(F163:F188)</f>
        <v>255404</v>
      </c>
      <c r="G189" s="7">
        <f t="shared" ref="G189:O189" si="23">IF(G4=$BF$1,"",SUM(G163:G188))</f>
        <v>174695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128043</v>
      </c>
      <c r="G206" s="38">
        <v>113171</v>
      </c>
      <c r="P206" s="47" t="s">
        <v>525</v>
      </c>
    </row>
    <row r="209" spans="5:16">
      <c r="E209" s="1" t="s">
        <v>180</v>
      </c>
      <c r="F209">
        <v>8411</v>
      </c>
      <c r="G209">
        <v>8369</v>
      </c>
      <c r="P209" s="47" t="s">
        <v>525</v>
      </c>
    </row>
    <row r="210" spans="5:16">
      <c r="E210" s="6" t="s">
        <v>14</v>
      </c>
      <c r="F210" s="7">
        <f>SUM(F191:F209)</f>
        <v>136454</v>
      </c>
      <c r="G210" s="7">
        <f t="shared" ref="G210:O210" si="24">IF(G4=$BF$1,"",SUM(G191:G209))</f>
        <v>121540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36+201105</f>
        <v>201141</v>
      </c>
      <c r="G212">
        <f>36+199244</f>
        <v>199280</v>
      </c>
      <c r="P212" s="47" t="s">
        <v>520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-110535</v>
      </c>
      <c r="G217">
        <v>-71718</v>
      </c>
    </row>
    <row r="218" spans="5:16">
      <c r="E218" s="1" t="s">
        <v>188</v>
      </c>
    </row>
    <row r="219" spans="5:16">
      <c r="E219" s="1" t="s">
        <v>189</v>
      </c>
      <c r="F219">
        <v>39</v>
      </c>
      <c r="G219">
        <v>-220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90645</v>
      </c>
      <c r="G227" s="7">
        <f t="shared" ref="G227:O227" si="25">IF(G4=$BF$1,"",SUM(G212:G226))</f>
        <v>127342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-38810</v>
      </c>
      <c r="G267">
        <v>2646</v>
      </c>
      <c r="H267">
        <v>14430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1372</v>
      </c>
      <c r="G271">
        <v>1000</v>
      </c>
      <c r="H271">
        <v>966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1716</v>
      </c>
      <c r="G275">
        <v>1674</v>
      </c>
      <c r="H275">
        <v>1896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-1575</v>
      </c>
      <c r="G278">
        <v>-5284</v>
      </c>
      <c r="H278">
        <v>-240</v>
      </c>
    </row>
    <row r="279" spans="5:8">
      <c r="E279" s="1" t="s">
        <v>244</v>
      </c>
      <c r="F279">
        <v>-872</v>
      </c>
      <c r="G279">
        <v>-1230</v>
      </c>
      <c r="H279">
        <v>-455</v>
      </c>
    </row>
    <row r="280" spans="5:8" ht="25.5" customHeight="1">
      <c r="E280" s="1" t="s">
        <v>245</v>
      </c>
      <c r="F280">
        <v>-17</v>
      </c>
      <c r="G280">
        <v>-43</v>
      </c>
      <c r="H280">
        <v>-43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1176</v>
      </c>
      <c r="G285">
        <v>1612</v>
      </c>
      <c r="H285">
        <v>1819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1800</v>
      </c>
      <c r="G296" s="7">
        <f>IF(G4=$BF$1,"",G271+G272+G273+G274+G275+G276+G277+G278+G279+G280+G281+G282+G283+G284+G285+G286+G287+G288+G289+G290+G291+G292+G293+G294+G295)</f>
        <v>-2271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-37010</v>
      </c>
      <c r="G297" s="7">
        <f t="shared" ref="G297:O297" si="27">IF(G4=$BF$1,"",MIN(F267,F268,F269)+F296)</f>
        <v>-37010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1376</v>
      </c>
      <c r="G309">
        <v>452</v>
      </c>
      <c r="H309">
        <v>-174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-7847</v>
      </c>
      <c r="G316">
        <v>-6210</v>
      </c>
      <c r="H316">
        <v>8956</v>
      </c>
    </row>
    <row r="317" spans="5:15">
      <c r="E317" s="1" t="s">
        <v>277</v>
      </c>
      <c r="F317">
        <v>3238</v>
      </c>
      <c r="G317">
        <v>-1911</v>
      </c>
      <c r="H317">
        <v>1376</v>
      </c>
    </row>
    <row r="318" spans="5:15">
      <c r="E318" s="6" t="s">
        <v>278</v>
      </c>
      <c r="F318" s="7">
        <f>F299+F300+F301+F302+F303+F304+F305+F306+F307+F308+F309+F310+F311+F312+F313+F314+F315+F316+F317</f>
        <v>-3233</v>
      </c>
      <c r="G318" s="7">
        <f>IF(G4=$BF$1,"",G299+G300+G301+G302+G303+G304+G305+G306+G307+G308+G309+G310+G311+G312+G313+G314+G315+G316+G317)</f>
        <v>-7669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-40243</v>
      </c>
      <c r="G319" s="7">
        <f t="shared" ref="G319:O319" si="28">IF(G4=$BF$1,"",G297+G318)</f>
        <v>-44679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-40243</v>
      </c>
      <c r="G326" s="7">
        <f t="shared" ref="G326:O326" si="30">IF(G4=$BF$1,"",G325+G319)</f>
        <v>-44679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-14053</v>
      </c>
      <c r="G328">
        <v>-10181</v>
      </c>
      <c r="H328">
        <v>-11669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1559</v>
      </c>
      <c r="G331">
        <v>-7974</v>
      </c>
      <c r="H331">
        <v>-7332</v>
      </c>
    </row>
    <row r="332" spans="5:15">
      <c r="E332" s="12" t="s">
        <v>291</v>
      </c>
      <c r="F332">
        <v>0</v>
      </c>
      <c r="G332">
        <v>0</v>
      </c>
      <c r="H332">
        <v>0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-12494</v>
      </c>
      <c r="G337" s="7">
        <f>IF(G4=$BF$1,"",SUM(G328:G336))</f>
        <v>-18155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  <c r="F340">
        <v>23879</v>
      </c>
      <c r="G340">
        <v>2000</v>
      </c>
      <c r="H340">
        <v>17663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23879</v>
      </c>
      <c r="G352" s="7">
        <f>IF(G4=$BF$1,"",SUM(G339:G351))</f>
        <v>2000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-28858</v>
      </c>
      <c r="G353" s="7">
        <f t="shared" ref="G353:O353" si="33">IF(G4=$BF$1,"",G326+G337+G352)</f>
        <v>-60834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-28858</v>
      </c>
      <c r="G355" s="7">
        <f t="shared" ref="G355:O355" si="34">IF(G4=$BF$1,"",G353+G354)</f>
        <v>-60834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29888</v>
      </c>
      <c r="G356">
        <v>22354</v>
      </c>
      <c r="H356">
        <v>36586</v>
      </c>
    </row>
    <row r="357" spans="5:15">
      <c r="E357" s="6" t="s">
        <v>316</v>
      </c>
      <c r="F357" s="7">
        <f>F355+F356</f>
        <v>1030</v>
      </c>
      <c r="G357" s="7">
        <f t="shared" ref="G357:O357" si="35">IF(G4=$BF$1,"",G355+G356)</f>
        <v>-38480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0.25000703912061673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-15.667422524565382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0.1391152021946423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-0.19062056537898411</v>
      </c>
      <c r="G370" s="27">
        <f t="shared" si="42"/>
        <v>-2.6799340012050976E-2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-0.174839508953711</v>
      </c>
      <c r="G371" s="28">
        <f t="shared" si="43"/>
        <v>1.4900410521514367E-2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-8.0434733048291934E-2</v>
      </c>
      <c r="G372" s="27">
        <f t="shared" si="44"/>
        <v>6.2467981028242799E-3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-0.42815378675051025</v>
      </c>
      <c r="G373" s="27">
        <f t="shared" si="45"/>
        <v>2.0778690455623441E-2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0.81213588309295481</v>
      </c>
      <c r="G376" s="30">
        <f t="shared" si="47"/>
        <v>0.69936516855258901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4.3229963042638868</v>
      </c>
      <c r="G377" s="30">
        <f t="shared" si="48"/>
        <v>2.3262945453974337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-22.996195652173913</v>
      </c>
      <c r="G378" s="30">
        <f t="shared" si="49"/>
        <v>-4.6384015594541914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0.78616231539051851</v>
      </c>
      <c r="G382" s="32">
        <f t="shared" si="51"/>
        <v>0.94467500500872947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0.78616231539051851</v>
      </c>
      <c r="G383" s="32">
        <f t="shared" si="52"/>
        <v>0.94467500500872947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0.17859939546757295</v>
      </c>
      <c r="G384" s="32">
        <f t="shared" si="53"/>
        <v>0.17108675119493974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-0.15756605221531378</v>
      </c>
      <c r="G385" s="32">
        <f t="shared" si="54"/>
        <v>-0.25575431466269782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45615</v>
      </c>
      <c r="G418" s="17">
        <f>G130-G417</f>
        <v>29888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511</v>
      </c>
      <c r="B1" s="39" t="s">
        <v>512</v>
      </c>
      <c r="C1" s="39" t="s">
        <v>513</v>
      </c>
      <c r="D1" s="39"/>
    </row>
    <row r="2" spans="1:4">
      <c r="A2" t="s">
        <v>521</v>
      </c>
      <c r="B2" s="41" t="s">
        <v>514</v>
      </c>
      <c r="C2" s="39" t="s">
        <v>515</v>
      </c>
      <c r="D2" s="39"/>
    </row>
    <row r="3" spans="1:4">
      <c r="A3" s="41" t="s">
        <v>522</v>
      </c>
      <c r="B3" s="41" t="s">
        <v>514</v>
      </c>
      <c r="C3" s="39" t="s">
        <v>515</v>
      </c>
    </row>
    <row r="4" spans="1:4">
      <c r="A4" t="s">
        <v>523</v>
      </c>
      <c r="B4" s="41" t="s">
        <v>514</v>
      </c>
      <c r="C4" s="39" t="s">
        <v>515</v>
      </c>
    </row>
    <row r="5" spans="1:4">
      <c r="A5" t="s">
        <v>524</v>
      </c>
      <c r="B5" s="41" t="s">
        <v>514</v>
      </c>
      <c r="C5" s="39" t="s">
        <v>515</v>
      </c>
    </row>
    <row r="6" spans="1:4">
      <c r="A6" t="s">
        <v>527</v>
      </c>
      <c r="B6" s="41" t="s">
        <v>526</v>
      </c>
      <c r="C6" s="39" t="s">
        <v>515</v>
      </c>
    </row>
    <row r="7" spans="1:4">
      <c r="A7" t="s">
        <v>528</v>
      </c>
      <c r="B7" s="41" t="s">
        <v>526</v>
      </c>
      <c r="C7" s="39" t="s">
        <v>515</v>
      </c>
    </row>
    <row r="8" spans="1:4">
      <c r="A8" t="s">
        <v>529</v>
      </c>
      <c r="B8" s="41" t="s">
        <v>526</v>
      </c>
      <c r="C8" s="39" t="s">
        <v>515</v>
      </c>
    </row>
    <row r="9" spans="1:4">
      <c r="A9" t="s">
        <v>429</v>
      </c>
      <c r="B9" s="41" t="s">
        <v>531</v>
      </c>
      <c r="C9" s="39" t="s">
        <v>515</v>
      </c>
    </row>
    <row r="10" spans="1:4">
      <c r="A10" t="s">
        <v>436</v>
      </c>
      <c r="B10" s="41" t="s">
        <v>76</v>
      </c>
      <c r="C10" s="39" t="s">
        <v>515</v>
      </c>
    </row>
    <row r="11" spans="1:4">
      <c r="A11" s="41" t="s">
        <v>534</v>
      </c>
      <c r="B11" s="41" t="s">
        <v>516</v>
      </c>
      <c r="C11" s="39" t="s">
        <v>515</v>
      </c>
    </row>
    <row r="12" spans="1:4">
      <c r="A12" s="41" t="s">
        <v>535</v>
      </c>
      <c r="B12" s="41" t="s">
        <v>516</v>
      </c>
      <c r="C12" s="39" t="s">
        <v>515</v>
      </c>
    </row>
    <row r="13" spans="1:4">
      <c r="A13" s="42" t="s">
        <v>536</v>
      </c>
      <c r="B13" s="41" t="s">
        <v>516</v>
      </c>
      <c r="C13" s="39" t="s">
        <v>515</v>
      </c>
    </row>
    <row r="14" spans="1:4">
      <c r="A14" s="42" t="s">
        <v>537</v>
      </c>
      <c r="B14" s="41" t="s">
        <v>542</v>
      </c>
      <c r="C14" s="39" t="s">
        <v>515</v>
      </c>
    </row>
    <row r="15" spans="1:4">
      <c r="A15" s="42" t="s">
        <v>538</v>
      </c>
      <c r="B15" s="41" t="s">
        <v>517</v>
      </c>
      <c r="C15" s="39" t="s">
        <v>515</v>
      </c>
    </row>
    <row r="16" spans="1:4">
      <c r="A16" s="43" t="s">
        <v>539</v>
      </c>
      <c r="B16" s="41" t="s">
        <v>517</v>
      </c>
      <c r="C16" s="39" t="s">
        <v>515</v>
      </c>
    </row>
    <row r="17" spans="1:3">
      <c r="A17" s="43" t="s">
        <v>540</v>
      </c>
      <c r="B17" s="41" t="s">
        <v>517</v>
      </c>
      <c r="C17" s="39" t="s">
        <v>515</v>
      </c>
    </row>
    <row r="18" spans="1:3">
      <c r="A18" s="44" t="s">
        <v>541</v>
      </c>
      <c r="B18" s="45" t="s">
        <v>543</v>
      </c>
      <c r="C18" s="39" t="s">
        <v>515</v>
      </c>
    </row>
    <row r="19" spans="1:3">
      <c r="A19" t="s">
        <v>546</v>
      </c>
      <c r="B19" s="44" t="s">
        <v>545</v>
      </c>
      <c r="C19" s="39" t="s">
        <v>515</v>
      </c>
    </row>
    <row r="20" spans="1:3">
      <c r="A20" t="s">
        <v>547</v>
      </c>
      <c r="B20" s="45" t="s">
        <v>545</v>
      </c>
      <c r="C20" s="39" t="s">
        <v>515</v>
      </c>
    </row>
    <row r="21" spans="1:3">
      <c r="A21" s="44" t="s">
        <v>548</v>
      </c>
      <c r="B21" s="44" t="s">
        <v>545</v>
      </c>
      <c r="C21" s="39" t="s">
        <v>515</v>
      </c>
    </row>
    <row r="22" spans="1:3">
      <c r="A22" s="44" t="s">
        <v>549</v>
      </c>
      <c r="B22" s="45" t="s">
        <v>138</v>
      </c>
      <c r="C22" s="39" t="s">
        <v>515</v>
      </c>
    </row>
    <row r="23" spans="1:3">
      <c r="A23" t="s">
        <v>383</v>
      </c>
      <c r="B23" s="45" t="s">
        <v>138</v>
      </c>
      <c r="C23" s="39" t="s">
        <v>515</v>
      </c>
    </row>
    <row r="24" spans="1:3">
      <c r="A24" t="s">
        <v>384</v>
      </c>
      <c r="B24" s="45" t="s">
        <v>138</v>
      </c>
      <c r="C24" s="39" t="s">
        <v>515</v>
      </c>
    </row>
    <row r="25" spans="1:3">
      <c r="A25" s="44" t="s">
        <v>550</v>
      </c>
      <c r="B25" s="45" t="s">
        <v>518</v>
      </c>
      <c r="C25" s="39" t="s">
        <v>515</v>
      </c>
    </row>
    <row r="26" spans="1:3">
      <c r="A26" s="44" t="s">
        <v>551</v>
      </c>
      <c r="B26" s="45" t="s">
        <v>112</v>
      </c>
      <c r="C26" s="39" t="s">
        <v>515</v>
      </c>
    </row>
    <row r="27" spans="1:3">
      <c r="A27" s="44" t="s">
        <v>552</v>
      </c>
      <c r="B27" s="45" t="s">
        <v>179</v>
      </c>
      <c r="C27" s="39" t="s">
        <v>515</v>
      </c>
    </row>
    <row r="28" spans="1:3">
      <c r="A28" s="46" t="s">
        <v>553</v>
      </c>
      <c r="B28" s="45" t="s">
        <v>180</v>
      </c>
      <c r="C28" s="39" t="s">
        <v>515</v>
      </c>
    </row>
    <row r="29" spans="1:3">
      <c r="A29" t="s">
        <v>554</v>
      </c>
      <c r="B29" s="45" t="s">
        <v>519</v>
      </c>
      <c r="C29" s="39" t="s">
        <v>515</v>
      </c>
    </row>
    <row r="30" spans="1:3">
      <c r="A30" t="s">
        <v>409</v>
      </c>
      <c r="B30" s="45" t="s">
        <v>519</v>
      </c>
      <c r="C30" s="39" t="s">
        <v>515</v>
      </c>
    </row>
    <row r="31" spans="1:3">
      <c r="A31" s="45"/>
      <c r="B31" s="45"/>
      <c r="C31" s="39"/>
    </row>
    <row r="32" spans="1:3">
      <c r="A32" s="43"/>
      <c r="B32" s="45"/>
      <c r="C32" s="39"/>
    </row>
    <row r="33" spans="1:3">
      <c r="A33" s="45"/>
      <c r="B33" s="45"/>
      <c r="C33" s="39"/>
    </row>
    <row r="34" spans="1:3">
      <c r="A34" s="45"/>
      <c r="B34" s="45"/>
      <c r="C34" s="39"/>
    </row>
    <row r="35" spans="1:3">
      <c r="A35" s="45"/>
      <c r="B35" s="45"/>
      <c r="C35" s="39"/>
    </row>
    <row r="36" spans="1:3">
      <c r="A36" s="45"/>
      <c r="B36" s="45"/>
      <c r="C36" s="39"/>
    </row>
    <row r="37" spans="1:3">
      <c r="A37" s="45"/>
      <c r="B37" s="45"/>
      <c r="C37" s="39"/>
    </row>
    <row r="38" spans="1:3">
      <c r="A38" s="44"/>
      <c r="B38" s="45"/>
      <c r="C38" s="39"/>
    </row>
    <row r="39" spans="1:3">
      <c r="A39" s="44"/>
      <c r="B39" s="45"/>
      <c r="C39" s="39"/>
    </row>
    <row r="40" spans="1:3">
      <c r="A40" s="44"/>
      <c r="B40" s="45"/>
      <c r="C40" s="39"/>
    </row>
    <row r="41" spans="1:3">
      <c r="A41" s="44"/>
      <c r="B41" s="45"/>
      <c r="C41" s="39"/>
    </row>
    <row r="42" spans="1:3">
      <c r="A42" s="44"/>
      <c r="B42" s="45"/>
      <c r="C42" s="39"/>
    </row>
    <row r="43" spans="1:3">
      <c r="A43" s="45"/>
      <c r="B43" s="45"/>
      <c r="C43" s="39"/>
    </row>
    <row r="44" spans="1:3">
      <c r="A44" s="45"/>
      <c r="B44" s="45"/>
      <c r="C44" s="39"/>
    </row>
    <row r="45" spans="1:3">
      <c r="A45" s="45"/>
      <c r="B45" s="45"/>
      <c r="C45" s="39"/>
    </row>
    <row r="46" spans="1:3">
      <c r="A46" s="45"/>
      <c r="B46" s="45"/>
      <c r="C46" s="39"/>
    </row>
    <row r="47" spans="1:3">
      <c r="A47" s="45"/>
      <c r="B47" s="45"/>
    </row>
    <row r="48" spans="1:3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  <row r="53" spans="1:2">
      <c r="A53" s="45"/>
      <c r="B53" s="45"/>
    </row>
    <row r="54" spans="1:2">
      <c r="A54" s="45"/>
      <c r="B54" s="45"/>
    </row>
    <row r="55" spans="1:2">
      <c r="A55" s="45"/>
      <c r="B55" s="45"/>
    </row>
    <row r="56" spans="1:2">
      <c r="A56" s="45"/>
      <c r="B56" s="45"/>
    </row>
    <row r="57" spans="1:2">
      <c r="A57" s="45"/>
      <c r="B57" s="45"/>
    </row>
    <row r="58" spans="1:2">
      <c r="A58" s="45"/>
      <c r="B58" s="45"/>
    </row>
    <row r="59" spans="1:2">
      <c r="A59" s="45"/>
      <c r="B59" s="45"/>
    </row>
    <row r="60" spans="1:2">
      <c r="A60" s="45"/>
      <c r="B60" s="45"/>
    </row>
    <row r="61" spans="1:2">
      <c r="A61" s="45"/>
      <c r="B61" s="45"/>
    </row>
    <row r="62" spans="1:2">
      <c r="A62" s="45"/>
      <c r="B62" s="45"/>
    </row>
    <row r="63" spans="1:2">
      <c r="A63" s="45"/>
      <c r="B63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2.75"/>
  <cols>
    <col min="1" max="4" width="25.7109375" customWidth="1"/>
  </cols>
  <sheetData>
    <row r="1" spans="1:6">
      <c r="E1">
        <v>31</v>
      </c>
      <c r="F1">
        <v>31</v>
      </c>
    </row>
    <row r="2" spans="1:6">
      <c r="E2">
        <v>2017</v>
      </c>
      <c r="F2">
        <v>2016</v>
      </c>
    </row>
    <row r="3" spans="1:6">
      <c r="A3" t="s">
        <v>374</v>
      </c>
    </row>
    <row r="4" spans="1:6">
      <c r="A4" t="s">
        <v>375</v>
      </c>
      <c r="B4" t="s">
        <v>102</v>
      </c>
      <c r="C4" t="s">
        <v>102</v>
      </c>
      <c r="D4" t="s">
        <v>80</v>
      </c>
    </row>
    <row r="5" spans="1:6">
      <c r="A5" t="s">
        <v>376</v>
      </c>
      <c r="E5">
        <v>157984</v>
      </c>
      <c r="F5">
        <v>156487</v>
      </c>
    </row>
    <row r="6" spans="1:6">
      <c r="A6" t="s">
        <v>377</v>
      </c>
      <c r="E6">
        <v>8446</v>
      </c>
      <c r="F6">
        <v>6223</v>
      </c>
    </row>
    <row r="7" spans="1:6">
      <c r="A7" t="s">
        <v>378</v>
      </c>
      <c r="B7" t="s">
        <v>103</v>
      </c>
      <c r="C7" t="s">
        <v>103</v>
      </c>
      <c r="D7" t="s">
        <v>80</v>
      </c>
      <c r="E7">
        <v>31438</v>
      </c>
      <c r="F7">
        <v>32181</v>
      </c>
    </row>
    <row r="8" spans="1:6">
      <c r="A8" t="s">
        <v>379</v>
      </c>
      <c r="B8" t="s">
        <v>103</v>
      </c>
      <c r="C8" t="s">
        <v>103</v>
      </c>
      <c r="E8">
        <v>197868</v>
      </c>
      <c r="F8">
        <v>194891</v>
      </c>
    </row>
    <row r="9" spans="1:6">
      <c r="A9" t="s">
        <v>380</v>
      </c>
      <c r="B9" t="s">
        <v>117</v>
      </c>
      <c r="C9" t="s">
        <v>117</v>
      </c>
      <c r="D9" t="s">
        <v>116</v>
      </c>
      <c r="E9">
        <v>45615</v>
      </c>
      <c r="F9">
        <v>29888</v>
      </c>
    </row>
    <row r="10" spans="1:6">
      <c r="A10" t="s">
        <v>381</v>
      </c>
      <c r="D10" t="s">
        <v>116</v>
      </c>
      <c r="E10">
        <v>1248</v>
      </c>
      <c r="F10">
        <v>1228</v>
      </c>
    </row>
    <row r="11" spans="1:6">
      <c r="A11" t="s">
        <v>382</v>
      </c>
      <c r="B11" t="s">
        <v>352</v>
      </c>
      <c r="C11" t="s">
        <v>137</v>
      </c>
      <c r="D11" t="s">
        <v>116</v>
      </c>
      <c r="E11">
        <v>79664</v>
      </c>
      <c r="F11">
        <v>77386</v>
      </c>
    </row>
    <row r="12" spans="1:6">
      <c r="A12" t="s">
        <v>383</v>
      </c>
      <c r="D12" t="s">
        <v>116</v>
      </c>
      <c r="E12">
        <v>7982</v>
      </c>
      <c r="F12">
        <v>7786</v>
      </c>
    </row>
    <row r="13" spans="1:6">
      <c r="A13" t="s">
        <v>384</v>
      </c>
      <c r="D13" t="s">
        <v>116</v>
      </c>
      <c r="E13">
        <v>53402</v>
      </c>
      <c r="F13">
        <v>35370</v>
      </c>
    </row>
    <row r="14" spans="1:6">
      <c r="A14" t="s">
        <v>385</v>
      </c>
      <c r="D14" t="s">
        <v>116</v>
      </c>
      <c r="E14">
        <v>12878</v>
      </c>
      <c r="F14">
        <v>13372</v>
      </c>
    </row>
    <row r="15" spans="1:6">
      <c r="A15" t="s">
        <v>386</v>
      </c>
      <c r="D15" t="s">
        <v>116</v>
      </c>
      <c r="E15">
        <v>14797</v>
      </c>
      <c r="F15">
        <v>13222</v>
      </c>
    </row>
    <row r="16" spans="1:6">
      <c r="A16" t="s">
        <v>387</v>
      </c>
      <c r="B16" t="s">
        <v>101</v>
      </c>
      <c r="C16" t="s">
        <v>101</v>
      </c>
      <c r="D16" t="s">
        <v>80</v>
      </c>
      <c r="E16">
        <v>16985</v>
      </c>
      <c r="F16">
        <v>18498</v>
      </c>
    </row>
    <row r="17" spans="1:6">
      <c r="A17" t="s">
        <v>388</v>
      </c>
      <c r="B17" t="s">
        <v>388</v>
      </c>
      <c r="C17" t="s">
        <v>91</v>
      </c>
      <c r="D17" t="s">
        <v>80</v>
      </c>
      <c r="E17">
        <v>2726</v>
      </c>
      <c r="F17">
        <v>2726</v>
      </c>
    </row>
    <row r="18" spans="1:6">
      <c r="A18" t="s">
        <v>389</v>
      </c>
      <c r="B18" t="s">
        <v>390</v>
      </c>
      <c r="C18" t="s">
        <v>92</v>
      </c>
      <c r="D18" t="s">
        <v>80</v>
      </c>
      <c r="E18">
        <v>4145</v>
      </c>
      <c r="F18">
        <v>4535</v>
      </c>
    </row>
    <row r="19" spans="1:6">
      <c r="A19" t="s">
        <v>391</v>
      </c>
      <c r="B19" t="s">
        <v>392</v>
      </c>
      <c r="C19" t="s">
        <v>84</v>
      </c>
      <c r="D19" t="s">
        <v>80</v>
      </c>
      <c r="E19">
        <v>24439</v>
      </c>
      <c r="F19">
        <v>11770</v>
      </c>
    </row>
    <row r="20" spans="1:6">
      <c r="A20" t="s">
        <v>393</v>
      </c>
      <c r="B20" t="s">
        <v>113</v>
      </c>
      <c r="C20" t="s">
        <v>113</v>
      </c>
      <c r="D20" t="s">
        <v>80</v>
      </c>
      <c r="E20">
        <v>20754</v>
      </c>
      <c r="F20">
        <v>12905</v>
      </c>
    </row>
    <row r="21" spans="1:6">
      <c r="A21" t="s">
        <v>16</v>
      </c>
      <c r="D21" t="s">
        <v>80</v>
      </c>
      <c r="E21">
        <v>482503</v>
      </c>
      <c r="F21">
        <v>423577</v>
      </c>
    </row>
    <row r="22" spans="1:6">
      <c r="A22" t="s">
        <v>394</v>
      </c>
      <c r="B22" t="s">
        <v>145</v>
      </c>
      <c r="C22" t="s">
        <v>145</v>
      </c>
      <c r="D22" t="s">
        <v>80</v>
      </c>
    </row>
    <row r="23" spans="1:6">
      <c r="A23" t="s">
        <v>395</v>
      </c>
      <c r="B23" t="s">
        <v>145</v>
      </c>
      <c r="C23" t="s">
        <v>145</v>
      </c>
      <c r="D23" t="s">
        <v>141</v>
      </c>
      <c r="E23">
        <v>211648</v>
      </c>
      <c r="F23">
        <v>139004</v>
      </c>
    </row>
    <row r="24" spans="1:6">
      <c r="A24" t="s">
        <v>396</v>
      </c>
      <c r="D24" t="s">
        <v>80</v>
      </c>
      <c r="E24">
        <v>128043</v>
      </c>
      <c r="F24">
        <v>113171</v>
      </c>
    </row>
    <row r="25" spans="1:6">
      <c r="A25" t="s">
        <v>397</v>
      </c>
      <c r="D25" t="s">
        <v>80</v>
      </c>
      <c r="E25">
        <v>8411</v>
      </c>
      <c r="F25">
        <v>8369</v>
      </c>
    </row>
    <row r="26" spans="1:6">
      <c r="A26" t="s">
        <v>398</v>
      </c>
      <c r="B26" t="s">
        <v>150</v>
      </c>
      <c r="C26" t="s">
        <v>150</v>
      </c>
      <c r="D26" t="s">
        <v>141</v>
      </c>
      <c r="E26">
        <v>24031</v>
      </c>
      <c r="F26">
        <v>19187</v>
      </c>
    </row>
    <row r="27" spans="1:6">
      <c r="A27" t="s">
        <v>399</v>
      </c>
      <c r="B27" t="s">
        <v>400</v>
      </c>
      <c r="C27" t="s">
        <v>161</v>
      </c>
      <c r="D27" t="s">
        <v>141</v>
      </c>
      <c r="E27">
        <v>19725</v>
      </c>
      <c r="F27">
        <v>16504</v>
      </c>
    </row>
    <row r="28" spans="1:6">
      <c r="A28" t="s">
        <v>401</v>
      </c>
      <c r="B28" t="s">
        <v>164</v>
      </c>
      <c r="C28" t="s">
        <v>164</v>
      </c>
      <c r="D28" t="s">
        <v>141</v>
      </c>
      <c r="E28">
        <v>391858</v>
      </c>
      <c r="F28">
        <v>296235</v>
      </c>
    </row>
    <row r="29" spans="1:6">
      <c r="A29" t="s">
        <v>402</v>
      </c>
      <c r="B29" t="s">
        <v>180</v>
      </c>
      <c r="C29" t="s">
        <v>180</v>
      </c>
      <c r="D29" t="s">
        <v>165</v>
      </c>
    </row>
    <row r="30" spans="1:6">
      <c r="A30" t="s">
        <v>403</v>
      </c>
      <c r="B30" t="s">
        <v>181</v>
      </c>
      <c r="C30" t="s">
        <v>181</v>
      </c>
      <c r="D30" t="s">
        <v>181</v>
      </c>
    </row>
    <row r="31" spans="1:6">
      <c r="A31" t="s">
        <v>404</v>
      </c>
      <c r="D31" t="s">
        <v>181</v>
      </c>
    </row>
    <row r="32" spans="1:6">
      <c r="A32" t="s">
        <v>405</v>
      </c>
      <c r="D32" t="s">
        <v>181</v>
      </c>
    </row>
    <row r="33" spans="1:6">
      <c r="A33" t="s">
        <v>406</v>
      </c>
      <c r="D33" t="s">
        <v>181</v>
      </c>
      <c r="E33">
        <v>36</v>
      </c>
      <c r="F33">
        <v>36</v>
      </c>
    </row>
    <row r="34" spans="1:6">
      <c r="A34" t="s">
        <v>407</v>
      </c>
      <c r="D34" t="s">
        <v>181</v>
      </c>
    </row>
    <row r="35" spans="1:6">
      <c r="A35" t="s">
        <v>408</v>
      </c>
      <c r="D35" t="s">
        <v>181</v>
      </c>
    </row>
    <row r="36" spans="1:6">
      <c r="A36" t="s">
        <v>409</v>
      </c>
      <c r="B36" t="s">
        <v>182</v>
      </c>
      <c r="C36" t="s">
        <v>182</v>
      </c>
      <c r="D36" t="s">
        <v>181</v>
      </c>
      <c r="E36">
        <v>201105</v>
      </c>
      <c r="F36">
        <v>199244</v>
      </c>
    </row>
    <row r="37" spans="1:6">
      <c r="A37" t="s">
        <v>410</v>
      </c>
      <c r="B37" t="s">
        <v>187</v>
      </c>
      <c r="C37" t="s">
        <v>187</v>
      </c>
      <c r="D37" t="s">
        <v>181</v>
      </c>
      <c r="E37">
        <v>-110535</v>
      </c>
      <c r="F37">
        <v>-71718</v>
      </c>
    </row>
    <row r="38" spans="1:6">
      <c r="A38" t="s">
        <v>411</v>
      </c>
      <c r="B38" t="s">
        <v>189</v>
      </c>
      <c r="C38" t="s">
        <v>189</v>
      </c>
      <c r="D38" t="s">
        <v>181</v>
      </c>
      <c r="E38">
        <v>39</v>
      </c>
      <c r="F38">
        <v>-220</v>
      </c>
    </row>
    <row r="39" spans="1:6">
      <c r="A39" t="s">
        <v>412</v>
      </c>
      <c r="B39" t="s">
        <v>195</v>
      </c>
      <c r="C39" t="s">
        <v>195</v>
      </c>
      <c r="D39" t="s">
        <v>181</v>
      </c>
      <c r="E39">
        <v>90645</v>
      </c>
      <c r="F39">
        <v>127342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workbookViewId="0">
      <selection activeCell="A9" sqref="A9"/>
    </sheetView>
  </sheetViews>
  <sheetFormatPr defaultRowHeight="12.75"/>
  <cols>
    <col min="1" max="4" width="25.7109375" customWidth="1"/>
  </cols>
  <sheetData>
    <row r="2" spans="1:7">
      <c r="A2" t="s">
        <v>413</v>
      </c>
    </row>
    <row r="3" spans="1:7">
      <c r="E3">
        <v>2017</v>
      </c>
      <c r="F3">
        <v>2016</v>
      </c>
      <c r="G3">
        <v>2015</v>
      </c>
    </row>
    <row r="4" spans="1:7">
      <c r="A4" t="s">
        <v>414</v>
      </c>
      <c r="B4" t="s">
        <v>415</v>
      </c>
      <c r="C4" t="s">
        <v>26</v>
      </c>
      <c r="E4">
        <v>215771</v>
      </c>
      <c r="F4">
        <v>171058</v>
      </c>
      <c r="G4">
        <v>152064</v>
      </c>
    </row>
    <row r="5" spans="1:7">
      <c r="A5" t="s">
        <v>416</v>
      </c>
      <c r="B5" t="s">
        <v>54</v>
      </c>
      <c r="C5" t="s">
        <v>54</v>
      </c>
      <c r="D5" t="s">
        <v>415</v>
      </c>
      <c r="E5">
        <v>4897</v>
      </c>
      <c r="F5">
        <v>4824</v>
      </c>
      <c r="G5">
        <v>3976</v>
      </c>
    </row>
    <row r="6" spans="1:7">
      <c r="A6" t="s">
        <v>417</v>
      </c>
      <c r="B6" t="s">
        <v>418</v>
      </c>
      <c r="C6" t="s">
        <v>47</v>
      </c>
      <c r="D6" t="s">
        <v>415</v>
      </c>
      <c r="E6">
        <v>872</v>
      </c>
      <c r="F6">
        <v>1230</v>
      </c>
      <c r="G6">
        <v>455</v>
      </c>
    </row>
    <row r="7" spans="1:7">
      <c r="A7" t="s">
        <v>419</v>
      </c>
      <c r="B7" t="s">
        <v>415</v>
      </c>
      <c r="C7" t="s">
        <v>26</v>
      </c>
      <c r="D7" t="s">
        <v>415</v>
      </c>
      <c r="E7">
        <v>435</v>
      </c>
      <c r="F7">
        <v>467</v>
      </c>
      <c r="G7">
        <v>356</v>
      </c>
    </row>
    <row r="8" spans="1:7">
      <c r="A8" t="s">
        <v>420</v>
      </c>
      <c r="B8" t="s">
        <v>421</v>
      </c>
      <c r="C8" t="s">
        <v>422</v>
      </c>
      <c r="D8" t="s">
        <v>415</v>
      </c>
      <c r="E8">
        <v>-221975</v>
      </c>
      <c r="F8">
        <v>-177579</v>
      </c>
      <c r="G8">
        <v>156851</v>
      </c>
    </row>
    <row r="9" spans="1:7">
      <c r="A9" t="s">
        <v>423</v>
      </c>
      <c r="D9" t="s">
        <v>415</v>
      </c>
      <c r="E9">
        <v>203873</v>
      </c>
      <c r="F9">
        <v>134746</v>
      </c>
      <c r="G9">
        <v>89994</v>
      </c>
    </row>
    <row r="10" spans="1:7">
      <c r="A10" t="s">
        <v>424</v>
      </c>
      <c r="D10" t="s">
        <v>415</v>
      </c>
      <c r="E10">
        <v>27885</v>
      </c>
      <c r="F10">
        <v>18803</v>
      </c>
      <c r="G10">
        <v>18592</v>
      </c>
    </row>
    <row r="11" spans="1:7">
      <c r="A11" t="s">
        <v>425</v>
      </c>
      <c r="D11" t="s">
        <v>415</v>
      </c>
      <c r="E11">
        <v>32140</v>
      </c>
      <c r="F11">
        <v>28399</v>
      </c>
      <c r="G11">
        <v>23269</v>
      </c>
    </row>
    <row r="12" spans="1:7">
      <c r="A12" t="s">
        <v>426</v>
      </c>
      <c r="B12" t="s">
        <v>427</v>
      </c>
      <c r="C12" t="s">
        <v>43</v>
      </c>
      <c r="D12" t="s">
        <v>415</v>
      </c>
      <c r="E12">
        <v>390</v>
      </c>
      <c r="F12">
        <v>390</v>
      </c>
      <c r="G12">
        <v>315</v>
      </c>
    </row>
    <row r="13" spans="1:7">
      <c r="A13" t="s">
        <v>428</v>
      </c>
      <c r="B13" t="s">
        <v>51</v>
      </c>
      <c r="C13" t="s">
        <v>51</v>
      </c>
      <c r="D13" t="s">
        <v>415</v>
      </c>
      <c r="E13">
        <v>1840</v>
      </c>
      <c r="F13">
        <v>1026</v>
      </c>
      <c r="G13">
        <v>694</v>
      </c>
    </row>
    <row r="14" spans="1:7">
      <c r="A14" t="s">
        <v>429</v>
      </c>
      <c r="D14" t="s">
        <v>415</v>
      </c>
      <c r="F14">
        <v>-6297</v>
      </c>
      <c r="G14">
        <v>942</v>
      </c>
    </row>
    <row r="15" spans="1:7">
      <c r="A15" t="s">
        <v>430</v>
      </c>
      <c r="D15" t="s">
        <v>415</v>
      </c>
      <c r="G15">
        <v>999</v>
      </c>
    </row>
    <row r="16" spans="1:7">
      <c r="A16" t="s">
        <v>431</v>
      </c>
      <c r="B16" t="s">
        <v>45</v>
      </c>
      <c r="C16" t="s">
        <v>45</v>
      </c>
      <c r="D16" t="s">
        <v>415</v>
      </c>
      <c r="E16">
        <v>266128</v>
      </c>
      <c r="F16">
        <v>177067</v>
      </c>
      <c r="G16">
        <v>134805</v>
      </c>
    </row>
    <row r="17" spans="1:7">
      <c r="A17" t="s">
        <v>432</v>
      </c>
      <c r="B17" t="s">
        <v>433</v>
      </c>
      <c r="C17" t="s">
        <v>61</v>
      </c>
      <c r="D17" t="s">
        <v>415</v>
      </c>
      <c r="E17">
        <v>-44153</v>
      </c>
      <c r="F17">
        <v>512</v>
      </c>
      <c r="G17">
        <v>22046</v>
      </c>
    </row>
    <row r="18" spans="1:7">
      <c r="A18" t="s">
        <v>434</v>
      </c>
      <c r="B18" t="s">
        <v>62</v>
      </c>
      <c r="C18" t="s">
        <v>62</v>
      </c>
      <c r="D18" t="s">
        <v>415</v>
      </c>
      <c r="E18">
        <v>-5343</v>
      </c>
      <c r="F18">
        <v>-2134</v>
      </c>
      <c r="G18">
        <v>7616</v>
      </c>
    </row>
    <row r="19" spans="1:7">
      <c r="A19" t="s">
        <v>435</v>
      </c>
      <c r="D19" t="s">
        <v>415</v>
      </c>
      <c r="E19">
        <v>-38810</v>
      </c>
      <c r="F19">
        <v>2646</v>
      </c>
      <c r="G19">
        <v>14430</v>
      </c>
    </row>
    <row r="20" spans="1:7">
      <c r="A20" t="s">
        <v>436</v>
      </c>
      <c r="B20" t="s">
        <v>76</v>
      </c>
      <c r="C20" t="s">
        <v>76</v>
      </c>
      <c r="D20" t="s">
        <v>415</v>
      </c>
      <c r="F20">
        <v>281</v>
      </c>
      <c r="G20">
        <v>276</v>
      </c>
    </row>
    <row r="21" spans="1:7">
      <c r="A21" t="s">
        <v>437</v>
      </c>
      <c r="B21" t="s">
        <v>438</v>
      </c>
      <c r="C21" t="s">
        <v>67</v>
      </c>
      <c r="D21" t="s">
        <v>415</v>
      </c>
      <c r="E21">
        <v>-38810</v>
      </c>
      <c r="F21">
        <v>2365</v>
      </c>
      <c r="G21">
        <v>14154</v>
      </c>
    </row>
    <row r="22" spans="1:7">
      <c r="A22" t="s">
        <v>439</v>
      </c>
      <c r="D22" t="s">
        <v>415</v>
      </c>
      <c r="E22">
        <v>12064880</v>
      </c>
      <c r="F22">
        <v>12045519</v>
      </c>
      <c r="G22">
        <v>11975579</v>
      </c>
    </row>
    <row r="23" spans="1:7">
      <c r="A23" t="s">
        <v>440</v>
      </c>
      <c r="D23" t="s">
        <v>415</v>
      </c>
      <c r="E23">
        <v>-322</v>
      </c>
      <c r="F23">
        <v>20</v>
      </c>
      <c r="G23">
        <v>118</v>
      </c>
    </row>
    <row r="24" spans="1:7">
      <c r="A24" t="s">
        <v>441</v>
      </c>
      <c r="D24" t="s">
        <v>415</v>
      </c>
      <c r="E24">
        <v>12064880</v>
      </c>
      <c r="F24">
        <v>12222883</v>
      </c>
      <c r="G24">
        <v>12735679</v>
      </c>
    </row>
    <row r="25" spans="1:7">
      <c r="A25" t="s">
        <v>442</v>
      </c>
      <c r="D25" t="s">
        <v>415</v>
      </c>
      <c r="E25">
        <v>-322</v>
      </c>
      <c r="F25">
        <v>19</v>
      </c>
      <c r="G25">
        <v>113</v>
      </c>
    </row>
    <row r="26" spans="1:7">
      <c r="A26" t="s">
        <v>443</v>
      </c>
      <c r="D26" t="s">
        <v>415</v>
      </c>
    </row>
    <row r="27" spans="1:7">
      <c r="A27" t="s">
        <v>435</v>
      </c>
      <c r="B27" t="s">
        <v>70</v>
      </c>
      <c r="C27" t="s">
        <v>70</v>
      </c>
      <c r="D27" t="s">
        <v>415</v>
      </c>
      <c r="E27">
        <v>-38810</v>
      </c>
      <c r="F27">
        <v>2646</v>
      </c>
      <c r="G27">
        <v>14430</v>
      </c>
    </row>
    <row r="28" spans="1:7">
      <c r="A28" t="s">
        <v>444</v>
      </c>
      <c r="B28" t="s">
        <v>445</v>
      </c>
      <c r="C28" t="s">
        <v>445</v>
      </c>
      <c r="D28" t="s">
        <v>415</v>
      </c>
    </row>
    <row r="29" spans="1:7">
      <c r="A29" t="s">
        <v>446</v>
      </c>
      <c r="B29" t="s">
        <v>418</v>
      </c>
      <c r="C29" t="s">
        <v>47</v>
      </c>
      <c r="D29" t="s">
        <v>415</v>
      </c>
      <c r="E29">
        <v>437</v>
      </c>
      <c r="F29">
        <v>855</v>
      </c>
      <c r="G29">
        <v>-1912</v>
      </c>
    </row>
    <row r="30" spans="1:7">
      <c r="A30" t="s">
        <v>447</v>
      </c>
      <c r="B30" t="s">
        <v>73</v>
      </c>
      <c r="C30" t="s">
        <v>73</v>
      </c>
      <c r="D30" t="s">
        <v>415</v>
      </c>
      <c r="E30">
        <v>-49</v>
      </c>
      <c r="F30">
        <v>394</v>
      </c>
      <c r="G30">
        <v>203</v>
      </c>
    </row>
    <row r="31" spans="1:7">
      <c r="A31" t="s">
        <v>448</v>
      </c>
      <c r="B31" t="s">
        <v>449</v>
      </c>
      <c r="C31" t="s">
        <v>61</v>
      </c>
      <c r="D31" t="s">
        <v>415</v>
      </c>
      <c r="E31">
        <v>-136</v>
      </c>
      <c r="F31">
        <v>-437</v>
      </c>
      <c r="G31">
        <v>597</v>
      </c>
    </row>
    <row r="32" spans="1:7">
      <c r="A32" t="s">
        <v>450</v>
      </c>
      <c r="B32" t="s">
        <v>445</v>
      </c>
      <c r="C32" t="s">
        <v>445</v>
      </c>
      <c r="D32" t="s">
        <v>415</v>
      </c>
      <c r="E32">
        <v>252</v>
      </c>
      <c r="F32">
        <v>812</v>
      </c>
      <c r="G32">
        <v>-1112</v>
      </c>
    </row>
    <row r="33" spans="1:7">
      <c r="A33" t="s">
        <v>451</v>
      </c>
      <c r="D33" t="s">
        <v>415</v>
      </c>
    </row>
    <row r="34" spans="1:7">
      <c r="A34" t="s">
        <v>452</v>
      </c>
      <c r="D34" t="s">
        <v>415</v>
      </c>
    </row>
    <row r="35" spans="1:7">
      <c r="A35" t="s">
        <v>453</v>
      </c>
      <c r="D35" t="s">
        <v>415</v>
      </c>
    </row>
    <row r="36" spans="1:7">
      <c r="A36" t="s">
        <v>454</v>
      </c>
      <c r="D36" t="s">
        <v>415</v>
      </c>
    </row>
    <row r="37" spans="1:7">
      <c r="A37" t="s">
        <v>455</v>
      </c>
      <c r="D37" t="s">
        <v>415</v>
      </c>
      <c r="F37">
        <v>196079</v>
      </c>
      <c r="G37">
        <v>-88794</v>
      </c>
    </row>
    <row r="38" spans="1:7">
      <c r="A38" t="s">
        <v>456</v>
      </c>
      <c r="B38" t="s">
        <v>70</v>
      </c>
      <c r="C38" t="s">
        <v>70</v>
      </c>
      <c r="D38" t="s">
        <v>415</v>
      </c>
      <c r="G38">
        <v>14430</v>
      </c>
    </row>
    <row r="39" spans="1:7">
      <c r="A39" t="s">
        <v>457</v>
      </c>
      <c r="B39" t="s">
        <v>458</v>
      </c>
      <c r="C39" t="s">
        <v>445</v>
      </c>
      <c r="D39" t="s">
        <v>415</v>
      </c>
    </row>
    <row r="40" spans="1:7">
      <c r="A40" t="s">
        <v>459</v>
      </c>
      <c r="D40" t="s">
        <v>415</v>
      </c>
      <c r="F40">
        <v>145</v>
      </c>
    </row>
    <row r="41" spans="1:7">
      <c r="A41" t="s">
        <v>460</v>
      </c>
      <c r="D41" t="s">
        <v>415</v>
      </c>
      <c r="F41">
        <v>1817</v>
      </c>
    </row>
    <row r="42" spans="1:7">
      <c r="A42" t="s">
        <v>461</v>
      </c>
      <c r="D42" t="s">
        <v>415</v>
      </c>
      <c r="F42">
        <v>198041</v>
      </c>
      <c r="G42">
        <v>-74364</v>
      </c>
    </row>
    <row r="43" spans="1:7">
      <c r="A43" t="s">
        <v>456</v>
      </c>
      <c r="B43" t="s">
        <v>70</v>
      </c>
      <c r="C43" t="s">
        <v>70</v>
      </c>
      <c r="D43" t="s">
        <v>415</v>
      </c>
      <c r="G43">
        <v>2646</v>
      </c>
    </row>
    <row r="44" spans="1:7">
      <c r="A44" t="s">
        <v>462</v>
      </c>
      <c r="B44" t="s">
        <v>67</v>
      </c>
      <c r="C44" t="s">
        <v>67</v>
      </c>
      <c r="D44" t="s">
        <v>415</v>
      </c>
      <c r="F44">
        <v>-409</v>
      </c>
    </row>
    <row r="45" spans="1:7">
      <c r="A45" t="s">
        <v>463</v>
      </c>
      <c r="B45" t="s">
        <v>445</v>
      </c>
      <c r="C45" t="s">
        <v>445</v>
      </c>
      <c r="D45" t="s">
        <v>415</v>
      </c>
    </row>
    <row r="46" spans="1:7">
      <c r="A46" t="s">
        <v>460</v>
      </c>
      <c r="D46" t="s">
        <v>415</v>
      </c>
      <c r="F46">
        <v>1612</v>
      </c>
    </row>
    <row r="47" spans="1:7">
      <c r="A47" t="s">
        <v>464</v>
      </c>
      <c r="D47" t="s">
        <v>415</v>
      </c>
      <c r="F47">
        <v>199244</v>
      </c>
      <c r="G47">
        <v>-71718</v>
      </c>
    </row>
    <row r="48" spans="1:7">
      <c r="A48" t="s">
        <v>465</v>
      </c>
      <c r="D48" t="s">
        <v>415</v>
      </c>
      <c r="G48">
        <v>-7</v>
      </c>
    </row>
    <row r="49" spans="1:7">
      <c r="A49" t="s">
        <v>466</v>
      </c>
      <c r="B49" t="s">
        <v>66</v>
      </c>
      <c r="C49" t="s">
        <v>66</v>
      </c>
      <c r="D49" t="s">
        <v>415</v>
      </c>
      <c r="G49">
        <v>-38810</v>
      </c>
    </row>
    <row r="50" spans="1:7">
      <c r="A50" t="s">
        <v>463</v>
      </c>
      <c r="B50" t="s">
        <v>445</v>
      </c>
      <c r="C50" t="s">
        <v>445</v>
      </c>
      <c r="D50" t="s">
        <v>415</v>
      </c>
    </row>
    <row r="51" spans="1:7">
      <c r="A51" t="s">
        <v>459</v>
      </c>
      <c r="D51" t="s">
        <v>415</v>
      </c>
      <c r="F51">
        <v>655</v>
      </c>
    </row>
    <row r="52" spans="1:7">
      <c r="A52" t="s">
        <v>460</v>
      </c>
      <c r="D52" t="s">
        <v>415</v>
      </c>
      <c r="F52">
        <v>1176</v>
      </c>
    </row>
    <row r="53" spans="1:7">
      <c r="A53" t="s">
        <v>467</v>
      </c>
      <c r="D53" t="s">
        <v>415</v>
      </c>
      <c r="F53">
        <v>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workbookViewId="0"/>
  </sheetViews>
  <sheetFormatPr defaultRowHeight="12.75"/>
  <cols>
    <col min="1" max="4" width="25.7109375" customWidth="1"/>
  </cols>
  <sheetData>
    <row r="2" spans="1:7">
      <c r="E2">
        <v>2017</v>
      </c>
      <c r="F2">
        <v>2016</v>
      </c>
      <c r="G2">
        <v>2015</v>
      </c>
    </row>
    <row r="3" spans="1:7">
      <c r="A3" t="s">
        <v>468</v>
      </c>
      <c r="B3" t="s">
        <v>231</v>
      </c>
      <c r="C3" t="s">
        <v>231</v>
      </c>
      <c r="D3" t="s">
        <v>469</v>
      </c>
    </row>
    <row r="4" spans="1:7">
      <c r="A4" t="s">
        <v>435</v>
      </c>
      <c r="B4" t="s">
        <v>232</v>
      </c>
      <c r="C4" t="s">
        <v>232</v>
      </c>
      <c r="D4" t="s">
        <v>469</v>
      </c>
      <c r="E4">
        <v>-38810</v>
      </c>
      <c r="F4">
        <v>2646</v>
      </c>
      <c r="G4">
        <v>14430</v>
      </c>
    </row>
    <row r="5" spans="1:7">
      <c r="A5" t="s">
        <v>470</v>
      </c>
      <c r="B5" t="s">
        <v>258</v>
      </c>
      <c r="C5" t="s">
        <v>258</v>
      </c>
      <c r="D5" t="s">
        <v>469</v>
      </c>
    </row>
    <row r="6" spans="1:7">
      <c r="A6" t="s">
        <v>471</v>
      </c>
      <c r="D6" t="s">
        <v>469</v>
      </c>
    </row>
    <row r="7" spans="1:7">
      <c r="A7" t="s">
        <v>472</v>
      </c>
      <c r="B7" t="s">
        <v>236</v>
      </c>
      <c r="C7" t="s">
        <v>236</v>
      </c>
      <c r="D7" t="s">
        <v>469</v>
      </c>
      <c r="E7">
        <v>1372</v>
      </c>
      <c r="F7">
        <v>1000</v>
      </c>
      <c r="G7">
        <v>966</v>
      </c>
    </row>
    <row r="8" spans="1:7">
      <c r="A8" t="s">
        <v>473</v>
      </c>
      <c r="B8" t="s">
        <v>248</v>
      </c>
      <c r="C8" t="s">
        <v>248</v>
      </c>
      <c r="D8" t="s">
        <v>469</v>
      </c>
      <c r="E8">
        <v>1176</v>
      </c>
      <c r="F8">
        <v>1612</v>
      </c>
      <c r="G8">
        <v>1819</v>
      </c>
    </row>
    <row r="9" spans="1:7">
      <c r="A9" t="s">
        <v>474</v>
      </c>
      <c r="B9" t="s">
        <v>245</v>
      </c>
      <c r="C9" t="s">
        <v>245</v>
      </c>
      <c r="D9" t="s">
        <v>469</v>
      </c>
      <c r="E9">
        <v>-17</v>
      </c>
      <c r="F9">
        <v>-43</v>
      </c>
      <c r="G9">
        <v>-43</v>
      </c>
    </row>
    <row r="10" spans="1:7">
      <c r="A10" t="s">
        <v>426</v>
      </c>
      <c r="B10" t="s">
        <v>240</v>
      </c>
      <c r="C10" t="s">
        <v>240</v>
      </c>
      <c r="D10" t="s">
        <v>469</v>
      </c>
      <c r="E10">
        <v>390</v>
      </c>
      <c r="F10">
        <v>390</v>
      </c>
      <c r="G10">
        <v>315</v>
      </c>
    </row>
    <row r="11" spans="1:7">
      <c r="A11" t="s">
        <v>475</v>
      </c>
      <c r="B11" t="s">
        <v>269</v>
      </c>
      <c r="C11" t="s">
        <v>269</v>
      </c>
      <c r="D11" t="s">
        <v>469</v>
      </c>
      <c r="E11">
        <v>1376</v>
      </c>
      <c r="F11">
        <v>452</v>
      </c>
      <c r="G11">
        <v>-174</v>
      </c>
    </row>
    <row r="12" spans="1:7">
      <c r="A12" t="s">
        <v>417</v>
      </c>
      <c r="B12" t="s">
        <v>244</v>
      </c>
      <c r="C12" t="s">
        <v>244</v>
      </c>
      <c r="D12" t="s">
        <v>469</v>
      </c>
      <c r="E12">
        <v>-872</v>
      </c>
      <c r="F12">
        <v>-1230</v>
      </c>
      <c r="G12">
        <v>-455</v>
      </c>
    </row>
    <row r="13" spans="1:7">
      <c r="A13" t="s">
        <v>476</v>
      </c>
      <c r="D13" t="s">
        <v>469</v>
      </c>
      <c r="E13">
        <v>-810</v>
      </c>
      <c r="F13">
        <v>-1271</v>
      </c>
      <c r="G13">
        <v>-1238</v>
      </c>
    </row>
    <row r="14" spans="1:7">
      <c r="A14" t="s">
        <v>477</v>
      </c>
      <c r="B14" t="s">
        <v>240</v>
      </c>
      <c r="C14" t="s">
        <v>240</v>
      </c>
      <c r="D14" t="s">
        <v>469</v>
      </c>
      <c r="E14">
        <v>961</v>
      </c>
      <c r="F14">
        <v>1217</v>
      </c>
      <c r="G14">
        <v>1525</v>
      </c>
    </row>
    <row r="15" spans="1:7">
      <c r="A15" t="s">
        <v>478</v>
      </c>
      <c r="B15" t="s">
        <v>240</v>
      </c>
      <c r="C15" t="s">
        <v>240</v>
      </c>
      <c r="D15" t="s">
        <v>469</v>
      </c>
      <c r="E15">
        <v>365</v>
      </c>
      <c r="F15">
        <v>67</v>
      </c>
      <c r="G15">
        <v>56</v>
      </c>
    </row>
    <row r="16" spans="1:7">
      <c r="A16" t="s">
        <v>429</v>
      </c>
      <c r="D16" t="s">
        <v>469</v>
      </c>
      <c r="F16">
        <v>-6623</v>
      </c>
      <c r="G16">
        <v>941</v>
      </c>
    </row>
    <row r="17" spans="1:7">
      <c r="A17" t="s">
        <v>479</v>
      </c>
      <c r="D17" t="s">
        <v>469</v>
      </c>
    </row>
    <row r="18" spans="1:7">
      <c r="A18" t="s">
        <v>381</v>
      </c>
      <c r="D18" t="s">
        <v>469</v>
      </c>
      <c r="E18">
        <v>-20</v>
      </c>
      <c r="F18">
        <v>-192</v>
      </c>
      <c r="G18">
        <v>-13</v>
      </c>
    </row>
    <row r="19" spans="1:7">
      <c r="A19" t="s">
        <v>480</v>
      </c>
      <c r="D19" t="s">
        <v>469</v>
      </c>
      <c r="E19">
        <v>-2278</v>
      </c>
      <c r="F19">
        <v>5143</v>
      </c>
      <c r="G19">
        <v>-35144</v>
      </c>
    </row>
    <row r="20" spans="1:7">
      <c r="A20" t="s">
        <v>481</v>
      </c>
      <c r="D20" t="s">
        <v>469</v>
      </c>
      <c r="E20">
        <v>-17735</v>
      </c>
      <c r="F20">
        <v>-6440</v>
      </c>
      <c r="G20">
        <v>-7931</v>
      </c>
    </row>
    <row r="21" spans="1:7">
      <c r="A21" t="s">
        <v>386</v>
      </c>
      <c r="B21" t="s">
        <v>243</v>
      </c>
      <c r="C21" t="s">
        <v>243</v>
      </c>
      <c r="D21" t="s">
        <v>469</v>
      </c>
      <c r="E21">
        <v>-1575</v>
      </c>
      <c r="F21">
        <v>-2987</v>
      </c>
      <c r="G21">
        <v>-240</v>
      </c>
    </row>
    <row r="22" spans="1:7">
      <c r="A22" t="s">
        <v>393</v>
      </c>
      <c r="B22" t="s">
        <v>276</v>
      </c>
      <c r="C22" t="s">
        <v>276</v>
      </c>
      <c r="D22" t="s">
        <v>469</v>
      </c>
      <c r="E22">
        <v>-7847</v>
      </c>
      <c r="F22">
        <v>-6210</v>
      </c>
      <c r="G22">
        <v>8956</v>
      </c>
    </row>
    <row r="23" spans="1:7">
      <c r="A23" t="s">
        <v>395</v>
      </c>
      <c r="D23" t="s">
        <v>469</v>
      </c>
      <c r="E23">
        <v>72644</v>
      </c>
      <c r="F23">
        <v>11993</v>
      </c>
      <c r="G23">
        <v>-6150</v>
      </c>
    </row>
    <row r="24" spans="1:7">
      <c r="A24" t="s">
        <v>396</v>
      </c>
      <c r="D24" t="s">
        <v>469</v>
      </c>
      <c r="E24">
        <v>14872</v>
      </c>
      <c r="F24">
        <v>4969</v>
      </c>
      <c r="G24">
        <v>26276</v>
      </c>
    </row>
    <row r="25" spans="1:7">
      <c r="A25" t="s">
        <v>397</v>
      </c>
      <c r="D25" t="s">
        <v>469</v>
      </c>
      <c r="E25">
        <v>42</v>
      </c>
      <c r="F25">
        <v>-2412</v>
      </c>
      <c r="G25">
        <v>3542</v>
      </c>
    </row>
    <row r="26" spans="1:7">
      <c r="A26" t="s">
        <v>399</v>
      </c>
      <c r="B26" t="s">
        <v>277</v>
      </c>
      <c r="C26" t="s">
        <v>277</v>
      </c>
      <c r="D26" t="s">
        <v>469</v>
      </c>
      <c r="E26">
        <v>3238</v>
      </c>
      <c r="F26">
        <v>-1911</v>
      </c>
      <c r="G26">
        <v>1376</v>
      </c>
    </row>
    <row r="27" spans="1:7">
      <c r="A27" t="s">
        <v>482</v>
      </c>
      <c r="B27" t="s">
        <v>285</v>
      </c>
      <c r="C27" t="s">
        <v>285</v>
      </c>
      <c r="D27" t="s">
        <v>469</v>
      </c>
      <c r="E27">
        <v>26472</v>
      </c>
      <c r="F27">
        <v>170</v>
      </c>
      <c r="G27">
        <v>8814</v>
      </c>
    </row>
    <row r="28" spans="1:7">
      <c r="A28" t="s">
        <v>483</v>
      </c>
      <c r="B28" t="s">
        <v>286</v>
      </c>
      <c r="C28" t="s">
        <v>286</v>
      </c>
      <c r="D28" t="s">
        <v>484</v>
      </c>
    </row>
    <row r="29" spans="1:7">
      <c r="A29" t="s">
        <v>485</v>
      </c>
      <c r="B29" t="s">
        <v>287</v>
      </c>
      <c r="C29" t="s">
        <v>287</v>
      </c>
      <c r="D29" t="s">
        <v>484</v>
      </c>
      <c r="G29">
        <v>-10956</v>
      </c>
    </row>
    <row r="30" spans="1:7">
      <c r="A30" t="s">
        <v>486</v>
      </c>
      <c r="D30" t="s">
        <v>469</v>
      </c>
    </row>
    <row r="31" spans="1:7">
      <c r="A31" t="s">
        <v>487</v>
      </c>
      <c r="D31" t="s">
        <v>469</v>
      </c>
      <c r="E31">
        <v>-48529</v>
      </c>
      <c r="F31">
        <v>-58061</v>
      </c>
      <c r="G31">
        <v>-78921</v>
      </c>
    </row>
    <row r="32" spans="1:7">
      <c r="A32" t="s">
        <v>488</v>
      </c>
      <c r="D32" t="s">
        <v>469</v>
      </c>
      <c r="E32">
        <v>-7900</v>
      </c>
      <c r="F32">
        <v>-2000</v>
      </c>
      <c r="G32">
        <v>-3340</v>
      </c>
    </row>
    <row r="33" spans="1:7">
      <c r="A33" t="s">
        <v>378</v>
      </c>
      <c r="B33" t="s">
        <v>290</v>
      </c>
      <c r="C33" t="s">
        <v>290</v>
      </c>
      <c r="D33" t="s">
        <v>484</v>
      </c>
      <c r="E33">
        <v>-3615</v>
      </c>
      <c r="F33">
        <v>-11404</v>
      </c>
      <c r="G33">
        <v>-7332</v>
      </c>
    </row>
    <row r="34" spans="1:7">
      <c r="A34" t="s">
        <v>489</v>
      </c>
      <c r="B34" t="s">
        <v>287</v>
      </c>
      <c r="C34" t="s">
        <v>287</v>
      </c>
      <c r="D34" t="s">
        <v>484</v>
      </c>
      <c r="E34">
        <v>-14055</v>
      </c>
      <c r="F34">
        <v>-10181</v>
      </c>
      <c r="G34">
        <v>-713</v>
      </c>
    </row>
    <row r="35" spans="1:7">
      <c r="A35" t="s">
        <v>490</v>
      </c>
      <c r="B35" t="s">
        <v>291</v>
      </c>
      <c r="C35" t="s">
        <v>291</v>
      </c>
      <c r="D35" t="s">
        <v>484</v>
      </c>
    </row>
    <row r="36" spans="1:7">
      <c r="A36" t="s">
        <v>487</v>
      </c>
      <c r="D36" t="s">
        <v>469</v>
      </c>
      <c r="E36">
        <v>46853</v>
      </c>
      <c r="F36">
        <v>86013</v>
      </c>
      <c r="G36">
        <v>59395</v>
      </c>
    </row>
    <row r="37" spans="1:7">
      <c r="A37" t="s">
        <v>488</v>
      </c>
      <c r="D37" t="s">
        <v>469</v>
      </c>
      <c r="E37">
        <v>6161</v>
      </c>
      <c r="F37">
        <v>615</v>
      </c>
      <c r="G37">
        <v>1402</v>
      </c>
    </row>
    <row r="38" spans="1:7">
      <c r="A38" t="s">
        <v>378</v>
      </c>
      <c r="B38" t="s">
        <v>290</v>
      </c>
      <c r="C38" t="s">
        <v>290</v>
      </c>
      <c r="D38" t="s">
        <v>484</v>
      </c>
      <c r="E38">
        <v>5174</v>
      </c>
      <c r="F38">
        <v>3430</v>
      </c>
    </row>
    <row r="39" spans="1:7">
      <c r="A39" t="s">
        <v>489</v>
      </c>
      <c r="B39" t="s">
        <v>287</v>
      </c>
      <c r="C39" t="s">
        <v>287</v>
      </c>
      <c r="D39" t="s">
        <v>484</v>
      </c>
      <c r="E39">
        <v>2</v>
      </c>
    </row>
    <row r="40" spans="1:7">
      <c r="A40" t="s">
        <v>491</v>
      </c>
      <c r="D40" t="s">
        <v>484</v>
      </c>
      <c r="G40">
        <v>111</v>
      </c>
    </row>
    <row r="41" spans="1:7">
      <c r="A41" t="s">
        <v>492</v>
      </c>
      <c r="B41" t="s">
        <v>296</v>
      </c>
      <c r="C41" t="s">
        <v>296</v>
      </c>
      <c r="D41" t="s">
        <v>484</v>
      </c>
      <c r="E41">
        <v>-15909</v>
      </c>
      <c r="F41">
        <v>8412</v>
      </c>
      <c r="G41">
        <v>-40354</v>
      </c>
    </row>
    <row r="42" spans="1:7">
      <c r="A42" t="s">
        <v>493</v>
      </c>
      <c r="B42" t="s">
        <v>297</v>
      </c>
      <c r="C42" t="s">
        <v>297</v>
      </c>
      <c r="D42" t="s">
        <v>494</v>
      </c>
    </row>
    <row r="43" spans="1:7">
      <c r="A43" t="s">
        <v>495</v>
      </c>
      <c r="D43" t="s">
        <v>484</v>
      </c>
      <c r="F43">
        <v>-2539</v>
      </c>
    </row>
    <row r="44" spans="1:7">
      <c r="A44" t="s">
        <v>496</v>
      </c>
      <c r="D44" t="s">
        <v>484</v>
      </c>
      <c r="E44">
        <v>30</v>
      </c>
    </row>
    <row r="45" spans="1:7">
      <c r="A45" t="s">
        <v>497</v>
      </c>
      <c r="B45" t="s">
        <v>299</v>
      </c>
      <c r="C45" t="s">
        <v>299</v>
      </c>
      <c r="D45" t="s">
        <v>494</v>
      </c>
      <c r="E45">
        <v>23879</v>
      </c>
      <c r="F45">
        <v>2000</v>
      </c>
      <c r="G45">
        <v>17663</v>
      </c>
    </row>
    <row r="46" spans="1:7">
      <c r="A46" t="s">
        <v>498</v>
      </c>
      <c r="D46" t="s">
        <v>484</v>
      </c>
      <c r="E46">
        <v>-19400</v>
      </c>
      <c r="F46">
        <v>-100</v>
      </c>
      <c r="G46">
        <v>-500</v>
      </c>
    </row>
    <row r="47" spans="1:7">
      <c r="A47" t="s">
        <v>462</v>
      </c>
      <c r="D47" t="s">
        <v>484</v>
      </c>
      <c r="F47">
        <v>-409</v>
      </c>
    </row>
    <row r="48" spans="1:7">
      <c r="A48" t="s">
        <v>459</v>
      </c>
      <c r="D48" t="s">
        <v>484</v>
      </c>
      <c r="E48">
        <v>655</v>
      </c>
      <c r="G48">
        <v>145</v>
      </c>
    </row>
    <row r="49" spans="1:7">
      <c r="A49" t="s">
        <v>499</v>
      </c>
      <c r="B49" t="s">
        <v>311</v>
      </c>
      <c r="C49" t="s">
        <v>311</v>
      </c>
      <c r="D49" t="s">
        <v>494</v>
      </c>
      <c r="E49">
        <v>5164</v>
      </c>
      <c r="F49">
        <v>-1048</v>
      </c>
      <c r="G49">
        <v>17308</v>
      </c>
    </row>
    <row r="50" spans="1:7">
      <c r="A50" t="s">
        <v>500</v>
      </c>
      <c r="B50" t="s">
        <v>314</v>
      </c>
      <c r="C50" t="s">
        <v>314</v>
      </c>
      <c r="D50" t="s">
        <v>494</v>
      </c>
      <c r="E50">
        <v>15727</v>
      </c>
      <c r="F50">
        <v>7534</v>
      </c>
      <c r="G50">
        <v>-14232</v>
      </c>
    </row>
    <row r="51" spans="1:7">
      <c r="A51" t="s">
        <v>501</v>
      </c>
      <c r="B51" t="s">
        <v>502</v>
      </c>
      <c r="C51" t="s">
        <v>315</v>
      </c>
      <c r="D51" t="s">
        <v>494</v>
      </c>
      <c r="E51">
        <v>29888</v>
      </c>
      <c r="F51">
        <v>22354</v>
      </c>
      <c r="G51">
        <v>36586</v>
      </c>
    </row>
    <row r="52" spans="1:7">
      <c r="A52" t="s">
        <v>503</v>
      </c>
      <c r="D52" t="s">
        <v>494</v>
      </c>
    </row>
    <row r="53" spans="1:7">
      <c r="D53" t="s">
        <v>494</v>
      </c>
      <c r="E53">
        <v>2017</v>
      </c>
      <c r="F53">
        <v>2016</v>
      </c>
      <c r="G53">
        <v>2015</v>
      </c>
    </row>
    <row r="54" spans="1:7">
      <c r="A54" t="s">
        <v>504</v>
      </c>
      <c r="D54" t="s">
        <v>494</v>
      </c>
    </row>
    <row r="55" spans="1:7">
      <c r="A55" t="s">
        <v>505</v>
      </c>
      <c r="D55" t="s">
        <v>494</v>
      </c>
      <c r="E55">
        <v>744</v>
      </c>
      <c r="F55">
        <v>7015</v>
      </c>
      <c r="G55">
        <v>8636</v>
      </c>
    </row>
    <row r="56" spans="1:7">
      <c r="A56" t="s">
        <v>506</v>
      </c>
      <c r="B56" t="s">
        <v>243</v>
      </c>
      <c r="C56" t="s">
        <v>243</v>
      </c>
      <c r="D56" t="s">
        <v>494</v>
      </c>
      <c r="E56">
        <v>1338</v>
      </c>
      <c r="F56">
        <v>885</v>
      </c>
      <c r="G56">
        <v>567</v>
      </c>
    </row>
    <row r="57" spans="1:7">
      <c r="A57" t="s">
        <v>507</v>
      </c>
      <c r="D57" t="s">
        <v>494</v>
      </c>
    </row>
    <row r="58" spans="1:7">
      <c r="A58" t="s">
        <v>508</v>
      </c>
      <c r="D58" t="s">
        <v>494</v>
      </c>
      <c r="G58">
        <v>4000</v>
      </c>
    </row>
    <row r="59" spans="1:7">
      <c r="A59" t="s">
        <v>509</v>
      </c>
      <c r="D59" t="s">
        <v>494</v>
      </c>
      <c r="G59">
        <v>941</v>
      </c>
    </row>
    <row r="60" spans="1:7">
      <c r="A60" t="s">
        <v>510</v>
      </c>
      <c r="B60" t="s">
        <v>243</v>
      </c>
      <c r="C60" t="s">
        <v>243</v>
      </c>
      <c r="D60" t="s">
        <v>469</v>
      </c>
      <c r="F60">
        <v>-2297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31632A-30D0-4AFE-8F51-E74D35E85E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B6C9C9B-2335-4F04-A270-6D2CBF126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DC7BCA-A95E-449F-A847-D363C2ABD5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2021-10-18T07:12:02Z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