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7" i="1" l="1"/>
  <c r="F187" i="1"/>
  <c r="G92" i="1"/>
  <c r="F92" i="1"/>
  <c r="G24" i="1"/>
  <c r="G36" i="1"/>
  <c r="F36" i="1"/>
  <c r="F24" i="1"/>
  <c r="G432" i="1" l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F381" i="1"/>
  <c r="M377" i="1"/>
  <c r="O376" i="1"/>
  <c r="O375" i="1"/>
  <c r="N375" i="1"/>
  <c r="M375" i="1"/>
  <c r="L375" i="1"/>
  <c r="K375" i="1"/>
  <c r="J375" i="1"/>
  <c r="I375" i="1"/>
  <c r="F375" i="1"/>
  <c r="K373" i="1"/>
  <c r="O371" i="1"/>
  <c r="L371" i="1"/>
  <c r="N370" i="1"/>
  <c r="I370" i="1"/>
  <c r="K369" i="1"/>
  <c r="J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8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F11" i="1"/>
  <c r="O10" i="1"/>
  <c r="N10" i="1"/>
  <c r="N376" i="1" s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K6" i="1"/>
  <c r="K371" i="1" s="1"/>
  <c r="J6" i="1"/>
  <c r="J371" i="1" s="1"/>
  <c r="I6" i="1"/>
  <c r="I365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382" i="1" s="1"/>
  <c r="F161" i="1"/>
  <c r="F8" i="1" s="1"/>
  <c r="F12" i="1" s="1"/>
  <c r="H373" i="1"/>
  <c r="F382" i="1"/>
  <c r="F383" i="1"/>
  <c r="G326" i="1"/>
  <c r="F384" i="1"/>
  <c r="F13" i="1"/>
  <c r="F377" i="1"/>
  <c r="F353" i="1"/>
  <c r="F355" i="1" s="1"/>
  <c r="F357" i="1" s="1"/>
  <c r="F385" i="1"/>
  <c r="L366" i="1"/>
  <c r="J368" i="1"/>
  <c r="J372" i="1"/>
  <c r="J377" i="1"/>
  <c r="H378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M372" i="1"/>
  <c r="F363" i="1"/>
  <c r="N368" i="1"/>
  <c r="J370" i="1"/>
  <c r="H371" i="1"/>
  <c r="N372" i="1"/>
  <c r="L373" i="1"/>
  <c r="H376" i="1"/>
  <c r="N377" i="1"/>
  <c r="L378" i="1"/>
  <c r="H382" i="1"/>
  <c r="H381" i="1"/>
  <c r="G363" i="1"/>
  <c r="O368" i="1"/>
  <c r="K370" i="1"/>
  <c r="I371" i="1"/>
  <c r="O372" i="1"/>
  <c r="I376" i="1"/>
  <c r="G377" i="1"/>
  <c r="O377" i="1"/>
  <c r="M378" i="1"/>
  <c r="I382" i="1"/>
  <c r="H375" i="1"/>
  <c r="F44" i="1"/>
  <c r="H363" i="1"/>
  <c r="J376" i="1"/>
  <c r="K384" i="1"/>
  <c r="G13" i="1"/>
  <c r="G44" i="1"/>
  <c r="I363" i="1"/>
  <c r="G12" i="1" l="1"/>
  <c r="G14" i="1" s="1"/>
  <c r="G383" i="1"/>
  <c r="F14" i="1"/>
  <c r="F376" i="1"/>
  <c r="G378" i="1"/>
  <c r="G370" i="1"/>
  <c r="G59" i="1"/>
  <c r="G67" i="1" s="1"/>
  <c r="G71" i="1" s="1"/>
  <c r="F378" i="1"/>
  <c r="F59" i="1"/>
  <c r="F67" i="1" s="1"/>
  <c r="F71" i="1" s="1"/>
  <c r="F370" i="1"/>
  <c r="G353" i="1"/>
  <c r="G355" i="1" s="1"/>
  <c r="G357" i="1" s="1"/>
  <c r="G385" i="1"/>
  <c r="G366" i="1" l="1"/>
  <c r="F366" i="1"/>
  <c r="G376" i="1"/>
  <c r="G373" i="1"/>
  <c r="G83" i="1"/>
  <c r="G372" i="1"/>
  <c r="G6" i="1"/>
  <c r="F373" i="1"/>
  <c r="F83" i="1"/>
  <c r="F6" i="1"/>
  <c r="F372" i="1"/>
  <c r="F371" i="1" l="1"/>
  <c r="F365" i="1"/>
  <c r="G371" i="1"/>
  <c r="G365" i="1"/>
</calcChain>
</file>

<file path=xl/sharedStrings.xml><?xml version="1.0" encoding="utf-8"?>
<sst xmlns="http://schemas.openxmlformats.org/spreadsheetml/2006/main" count="899" uniqueCount="548">
  <si>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</si>
  <si>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</si>
  <si>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</si>
  <si>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</si>
  <si>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</si>
  <si>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</si>
  <si>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</si>
  <si>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</si>
  <si>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</si>
  <si>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</si>
  <si>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</si>
  <si>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</si>
  <si>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</si>
  <si>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</si>
  <si>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</si>
  <si>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</si>
  <si>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</si>
  <si>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</si>
  <si>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</si>
  <si>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</si>
  <si>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</si>
  <si>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</si>
  <si>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</si>
  <si>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</si>
  <si>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</si>
  <si>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</si>
  <si>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</si>
  <si>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</si>
  <si>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</si>
  <si>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</si>
  <si>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</si>
  <si>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</si>
  <si>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</si>
  <si>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</si>
  <si>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</si>
  <si>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</si>
  <si>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</si>
  <si>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</si>
  <si>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</si>
  <si>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</si>
  <si>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</si>
  <si>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</si>
  <si>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</si>
  <si>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</si>
  <si>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</si>
  <si>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</si>
  <si>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</si>
  <si>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</si>
  <si>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</si>
  <si>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</si>
  <si>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</si>
  <si>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</si>
  <si>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</si>
  <si>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</si>
  <si>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</si>
  <si>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</si>
  <si>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</si>
  <si>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</si>
  <si>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</si>
  <si>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</si>
  <si>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</si>
  <si>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</si>
  <si>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</si>
  <si>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</si>
  <si>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</si>
  <si>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</si>
  <si>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</si>
  <si>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</si>
  <si>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</si>
  <si>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</si>
  <si>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</si>
  <si>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</si>
  <si>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</si>
  <si>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</si>
  <si>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</si>
  <si>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</si>
  <si>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</si>
  <si>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</si>
  <si>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</si>
  <si>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</si>
  <si>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</si>
  <si>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</si>
  <si>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</si>
  <si>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</si>
  <si>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</si>
  <si>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</si>
  <si>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</si>
  <si>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</si>
  <si>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</si>
  <si>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</si>
  <si>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</si>
  <si>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</si>
  <si>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</si>
  <si>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</si>
  <si>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</si>
  <si>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</si>
  <si>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</si>
  <si>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</si>
  <si>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</si>
  <si>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</si>
  <si>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</si>
  <si>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</si>
  <si>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</si>
  <si>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</si>
  <si>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</si>
  <si>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</si>
  <si>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</si>
  <si>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</si>
  <si>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</si>
  <si>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</si>
  <si>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</si>
  <si>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</si>
  <si>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</si>
  <si>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</si>
  <si>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</si>
  <si>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</si>
  <si>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</si>
  <si>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</si>
  <si>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</si>
  <si>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</si>
  <si>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</si>
  <si>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</si>
  <si>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</si>
  <si>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</si>
  <si>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</si>
  <si>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</si>
  <si>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</si>
  <si>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</si>
  <si>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</si>
  <si>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</si>
  <si>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</si>
  <si>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</si>
  <si>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</si>
  <si>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</si>
  <si>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</si>
  <si>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</si>
  <si>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</si>
  <si>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</si>
  <si>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</si>
  <si>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</si>
  <si>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</si>
  <si>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</si>
  <si>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</si>
  <si>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</si>
  <si>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</si>
  <si>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</si>
  <si>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</si>
  <si>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</si>
  <si>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</si>
  <si>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</si>
  <si>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</si>
  <si>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</si>
  <si>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</si>
  <si>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</si>
  <si>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</si>
  <si>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</si>
  <si>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</si>
  <si>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</si>
  <si>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</si>
  <si>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</si>
  <si>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</si>
  <si>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</si>
  <si>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</si>
  <si>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</si>
  <si>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</si>
  <si>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</si>
  <si>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</si>
  <si>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</si>
  <si>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</si>
  <si>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</si>
  <si>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</si>
  <si>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</si>
  <si>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</si>
  <si>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</si>
  <si>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</si>
  <si>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</si>
  <si>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</si>
  <si>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</si>
  <si>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</si>
  <si>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</si>
  <si>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</si>
  <si>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</si>
  <si>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</si>
  <si>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</si>
  <si>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</si>
  <si>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</si>
  <si>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</si>
  <si>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</si>
  <si>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</si>
  <si>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</si>
  <si>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</si>
  <si>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</si>
  <si>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</si>
  <si>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</si>
  <si>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</si>
  <si>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</si>
  <si>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</si>
  <si>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</si>
  <si>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</si>
  <si>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</si>
  <si>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</si>
  <si>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</si>
  <si>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</si>
  <si>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</si>
  <si>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</si>
  <si>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</si>
  <si>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</si>
  <si>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</si>
  <si>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</si>
  <si>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</si>
  <si>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</si>
  <si>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</si>
  <si>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</si>
  <si>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</si>
  <si>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</si>
  <si>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</si>
  <si>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</si>
  <si>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</si>
  <si>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</si>
  <si>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</si>
  <si>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</si>
  <si>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</si>
  <si>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</si>
  <si>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</si>
  <si>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</si>
  <si>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</si>
  <si>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</si>
  <si>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</si>
  <si>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</si>
  <si>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</si>
  <si>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</si>
  <si>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</si>
  <si>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</si>
  <si>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</si>
  <si>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</si>
  <si>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</si>
  <si>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</si>
  <si>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</si>
  <si>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</si>
  <si>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</si>
  <si>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</si>
  <si>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</si>
  <si>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</si>
  <si>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</si>
  <si>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</si>
  <si>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</si>
  <si>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</si>
  <si>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</si>
  <si>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</si>
  <si>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</si>
  <si>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</si>
  <si>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</si>
  <si>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</si>
  <si>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</si>
  <si>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</si>
  <si>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</si>
  <si>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</si>
  <si>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</si>
  <si>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</si>
  <si>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</si>
  <si>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</si>
  <si>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</si>
  <si>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</si>
  <si>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</si>
  <si>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</si>
  <si>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</si>
  <si>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</si>
  <si>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</si>
  <si>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</si>
  <si>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</si>
  <si>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</si>
  <si>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</si>
  <si>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</si>
  <si>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</si>
  <si>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</si>
  <si>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</si>
  <si>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</si>
  <si>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</si>
  <si>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</si>
  <si>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</si>
  <si>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</si>
  <si>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</si>
  <si>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</si>
  <si>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</si>
  <si>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</si>
  <si>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</si>
  <si>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</si>
  <si>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</si>
  <si>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</si>
  <si>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</si>
  <si>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</si>
  <si>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</si>
  <si>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</si>
  <si>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</si>
  <si>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</si>
  <si>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</si>
  <si>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</si>
  <si>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</si>
  <si>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</si>
  <si>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</si>
  <si>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</si>
  <si>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</si>
  <si>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</si>
  <si>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</si>
  <si>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</si>
  <si>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</si>
  <si>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</si>
  <si>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</si>
  <si>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</si>
  <si>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</si>
  <si>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</si>
  <si>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</si>
  <si>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</si>
  <si>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</si>
  <si>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</si>
  <si>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</si>
  <si>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</si>
  <si>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</si>
  <si>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</si>
  <si>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</si>
  <si>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</si>
  <si>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</si>
  <si>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</si>
  <si>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</si>
  <si>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</si>
  <si>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</si>
  <si>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</si>
  <si>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</si>
  <si>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</si>
  <si>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</si>
  <si>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</si>
  <si>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</si>
  <si>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</si>
  <si>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</si>
  <si>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</si>
  <si>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</si>
  <si>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</si>
  <si>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</si>
  <si>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</si>
  <si>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</si>
  <si>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</si>
  <si>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</si>
  <si>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</si>
  <si>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</si>
  <si>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</si>
  <si>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</si>
  <si>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</si>
  <si>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</si>
  <si>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</si>
  <si>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</si>
  <si>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</si>
  <si>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</si>
  <si>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</si>
  <si>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</si>
  <si>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</si>
  <si>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</si>
  <si>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</si>
  <si>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</si>
  <si>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</si>
  <si>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</si>
  <si>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</si>
  <si>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</si>
  <si>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</si>
  <si>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</si>
  <si>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</si>
  <si>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</si>
  <si>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</si>
  <si>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</si>
  <si>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</si>
  <si>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</si>
  <si>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</si>
  <si>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</si>
  <si>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</si>
  <si>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</si>
  <si>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CURRENT ASSETS</t>
  </si>
  <si>
    <t>Cash and cash equivalents</t>
  </si>
  <si>
    <t>Restricted cash</t>
  </si>
  <si>
    <t>Short-term investments</t>
  </si>
  <si>
    <t>Accounts receivable</t>
  </si>
  <si>
    <t>Expendable parts, supplies and fuel, net of reserve of $14,410 and $13,756</t>
  </si>
  <si>
    <t>Other current assets</t>
  </si>
  <si>
    <t>TOTAL CURRENT ASSETS</t>
  </si>
  <si>
    <t>Property and equipment (including $145,393 and $112,750 from VIEs, Note 6), net of accumulated depreciation of $373,977 and $276,548</t>
  </si>
  <si>
    <t>Long-term investments</t>
  </si>
  <si>
    <t>Deferred major maintenance, net of accumulated amortization of $13,694 and $8,218</t>
  </si>
  <si>
    <t>Deposits and other assets</t>
  </si>
  <si>
    <t>TOTAL ASSETS:</t>
  </si>
  <si>
    <t>CURRENT LIABILITIES</t>
  </si>
  <si>
    <t>Accounts payable</t>
  </si>
  <si>
    <t>Accrued liabilities</t>
  </si>
  <si>
    <t>Air traffic liability</t>
  </si>
  <si>
    <t>Current maturities of long-term debt and capital lease obligations (including $11,538 and $8,935 from VIEs, Note 6), net of related costs of $1,443 and $2,298</t>
  </si>
  <si>
    <t>TOTAL CURRENT LIABILITIES</t>
  </si>
  <si>
    <t>LONG-TERM DEBT AND OTHER NONCURRENT LIABILITIES</t>
  </si>
  <si>
    <t>Long-term debt and capital lease obligations (including $123,696 and $92,424 from VIEs, Note 6), net of current maturities and related costs of $3,591 and $3,812</t>
  </si>
  <si>
    <t>Deferred income taxes</t>
  </si>
  <si>
    <t>Other noncurrent liabilities</t>
  </si>
  <si>
    <t>TOTAL LIABILITIES:</t>
  </si>
  <si>
    <t>COMMITMENTS AND CONTINGENCIES (NOTE 12)</t>
  </si>
  <si>
    <t>SHAREHOLDERS' EQUITY</t>
  </si>
  <si>
    <t>Common stock, par value $.001, 100,000,000 shares authorized; 22,622,548 and 22,515,997 shares issued; 16,183,274 and 16,066,404 shares outstanding in 2018 and 2017, respectively</t>
  </si>
  <si>
    <t>Treasury stock, at cost, 6,439,274 and 6,449,593 shares in 2018 and 2017, respectively</t>
  </si>
  <si>
    <t>Treasury Stock</t>
  </si>
  <si>
    <t>Additional paid in capital</t>
  </si>
  <si>
    <t>Accumulated other comprehensive loss, net</t>
  </si>
  <si>
    <t>Retained earnings</t>
  </si>
  <si>
    <t>TOTAL EQUITY:</t>
  </si>
  <si>
    <t>OPERATING REVENUES:</t>
  </si>
  <si>
    <t>Revenue</t>
  </si>
  <si>
    <t>Passenger</t>
  </si>
  <si>
    <t>Third party products</t>
  </si>
  <si>
    <t>Fixed fee contract</t>
  </si>
  <si>
    <t>Other</t>
  </si>
  <si>
    <t>Total operating revenues</t>
  </si>
  <si>
    <t>OPERATING EXPENSES:</t>
  </si>
  <si>
    <t>Aircraft fuel</t>
  </si>
  <si>
    <t>Salary and benefits</t>
  </si>
  <si>
    <t>Station operations</t>
  </si>
  <si>
    <t>Depreciation and amortization</t>
  </si>
  <si>
    <t>Maintenance and repairs</t>
  </si>
  <si>
    <t>Sales and marketing</t>
  </si>
  <si>
    <t>Selling and distribution expenses</t>
  </si>
  <si>
    <t>Aircraft lease rentals</t>
  </si>
  <si>
    <t>Special charge</t>
  </si>
  <si>
    <t>Total operating expenses</t>
  </si>
  <si>
    <t>OPERATING INCOME</t>
  </si>
  <si>
    <t>OTHER (INCOME) EXPENSES:</t>
  </si>
  <si>
    <t>Interest income</t>
  </si>
  <si>
    <t>Interest expense</t>
  </si>
  <si>
    <t>Other, net</t>
  </si>
  <si>
    <t>Other Income - net</t>
  </si>
  <si>
    <t>Total other expenses</t>
  </si>
  <si>
    <t>INCOME BEFORE INCOME TAXES</t>
  </si>
  <si>
    <t>Profit before Zakat</t>
  </si>
  <si>
    <t>PROVISION FOR INCOME TAXES</t>
  </si>
  <si>
    <t>NET INCOME</t>
  </si>
  <si>
    <t>Earnings per share to common shareholders:</t>
  </si>
  <si>
    <t>Basic</t>
  </si>
  <si>
    <t>Diluted</t>
  </si>
  <si>
    <t>Shares used for computation:</t>
  </si>
  <si>
    <t>ALLEGIANT TRAVEL COMPANY</t>
  </si>
  <si>
    <t>(in thousands)</t>
  </si>
  <si>
    <t>Other comprehensive income (loss):</t>
  </si>
  <si>
    <t>Total Other Comprehensive Income</t>
  </si>
  <si>
    <t>Change in available for sale securities, net of tax</t>
  </si>
  <si>
    <t>Foreign currency translation adjustments</t>
  </si>
  <si>
    <t>Change in derivatives, net of tax</t>
  </si>
  <si>
    <t>Total other comprehensive income (loss)</t>
  </si>
  <si>
    <t>Total Other Comprehensive Income (Loss)</t>
  </si>
  <si>
    <t>TOTAL COMPREHENSIVE INCOME</t>
  </si>
  <si>
    <t>The accompanying notes are an integral part of these consolidated financial statements</t>
  </si>
  <si>
    <t>OPERATING ACTIVITIES:</t>
  </si>
  <si>
    <t>Operating Activities</t>
  </si>
  <si>
    <t>Net income</t>
  </si>
  <si>
    <t>Adjustments to reconcile net income to net cash provided by operating activities:</t>
  </si>
  <si>
    <t>Loss on aircraft and other equipment disposals</t>
  </si>
  <si>
    <t>Share-based compensation expense</t>
  </si>
  <si>
    <t>Other adjustments</t>
  </si>
  <si>
    <t>Changes in certain assets and liabilities:</t>
  </si>
  <si>
    <t>(Increase) decrease in accounts receivable</t>
  </si>
  <si>
    <t>(Increase) decrease in prepaid expenses</t>
  </si>
  <si>
    <t>Increase (decrease) in accounts payable</t>
  </si>
  <si>
    <t>Increase (decrease) in accrued liabilities</t>
  </si>
  <si>
    <t>Increase (decrease) in air traffic liability</t>
  </si>
  <si>
    <t>Change in deferred major maintenance</t>
  </si>
  <si>
    <t>Other assets/liabilities</t>
  </si>
  <si>
    <t>Net cash provided by operating activities</t>
  </si>
  <si>
    <t>INVESTING ACTIVITIES:</t>
  </si>
  <si>
    <t>Investing Activities</t>
  </si>
  <si>
    <t>Purchase of investment securities</t>
  </si>
  <si>
    <t>Proceeds from maturities of investment securities</t>
  </si>
  <si>
    <t>Financing Activities</t>
  </si>
  <si>
    <t>Aircraft pre-delivery deposits</t>
  </si>
  <si>
    <t>Purchase of property and equipment, including capitalized interest</t>
  </si>
  <si>
    <t>Other investing activities</t>
  </si>
  <si>
    <t>Net cash used in investing activities</t>
  </si>
  <si>
    <t>FINANCING ACTIVITIES:</t>
  </si>
  <si>
    <t>Cash dividends paid to shareholders</t>
  </si>
  <si>
    <t xml:space="preserve">Dividend paid to shareholders to parent on minority interests </t>
  </si>
  <si>
    <t>Proceeds from the issuance of debt</t>
  </si>
  <si>
    <t>Repurchase of common stock</t>
  </si>
  <si>
    <t>Principal payments on debt and capital lease obligations</t>
  </si>
  <si>
    <t>Other financing activities</t>
  </si>
  <si>
    <t>Net cash (used in) provided by financing activities</t>
  </si>
  <si>
    <t>Net change in cash, cash equivalents, and restricted cash</t>
  </si>
  <si>
    <t>CASH, CASH EQUIVALENTS, AND RESTRICTED CASH AT BEGINNING</t>
  </si>
  <si>
    <t>Cash and cash equivalents at beginning of period</t>
  </si>
  <si>
    <t>OF PERIOD</t>
  </si>
  <si>
    <t>CASH, CASH EQUIVALENTS, AND RESTRICTED CASH AT END OF</t>
  </si>
  <si>
    <t>PERIOD</t>
  </si>
  <si>
    <t>CASH PAYMENTS/(RECEIPTS) FOR:</t>
  </si>
  <si>
    <t>Interest paid, net of amount capitalized</t>
  </si>
  <si>
    <t>Income tax (refunds)/payments</t>
  </si>
  <si>
    <t xml:space="preserve">Adjustment for Income Tax Paid </t>
  </si>
  <si>
    <t>SUPPLEMENTAL DISCLOSURE OF NONCASH TRANSACTIONS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</si>
  <si>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</si>
  <si>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</si>
  <si>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</si>
  <si>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</si>
  <si>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changed value</t>
  </si>
  <si>
    <t>turnover</t>
  </si>
  <si>
    <t>passenger</t>
  </si>
  <si>
    <t>third party products</t>
  </si>
  <si>
    <t>fixed fee contract</t>
  </si>
  <si>
    <t>other</t>
  </si>
  <si>
    <t>deleted value</t>
  </si>
  <si>
    <t>changed signs</t>
  </si>
  <si>
    <t>salaries and wages</t>
  </si>
  <si>
    <t>salary and benefits</t>
  </si>
  <si>
    <t>sales and distribution expenses</t>
  </si>
  <si>
    <t>sales and marketing</t>
  </si>
  <si>
    <t>depreciation</t>
  </si>
  <si>
    <t>depreciation and amortization</t>
  </si>
  <si>
    <t>other operating expenses</t>
  </si>
  <si>
    <t>aircraft fuel</t>
  </si>
  <si>
    <t>station operations</t>
  </si>
  <si>
    <t>maintenance and repairs</t>
  </si>
  <si>
    <t>aircraft lease rentals</t>
  </si>
  <si>
    <t>special charge</t>
  </si>
  <si>
    <t>added value</t>
  </si>
  <si>
    <t>other lease expenses</t>
  </si>
  <si>
    <t>deleted this value</t>
  </si>
  <si>
    <t>other income (expenses)</t>
  </si>
  <si>
    <t>other, net</t>
  </si>
  <si>
    <t>changed value and signs</t>
  </si>
  <si>
    <t>interest income</t>
  </si>
  <si>
    <t>Flight equipment, including pre-delivery deposits</t>
  </si>
  <si>
    <t>Computer hardware and software</t>
  </si>
  <si>
    <t>Land and buildings/leasehold improvements</t>
  </si>
  <si>
    <t>Other property and equipment</t>
  </si>
  <si>
    <t>Less accumulated depreciation and amortization</t>
  </si>
  <si>
    <t>accumulated depreciation and amortisation</t>
  </si>
  <si>
    <t>property, plant and equipment</t>
  </si>
  <si>
    <t>land and buildings</t>
  </si>
  <si>
    <t>other fixed assets</t>
  </si>
  <si>
    <t>stock - raw materials</t>
  </si>
  <si>
    <t>expendable parts, supplies and fuel, net of reserve of $14,410 and $13,756</t>
  </si>
  <si>
    <t>other non-operating current assets</t>
  </si>
  <si>
    <t>restricted cash</t>
  </si>
  <si>
    <t>long term investments</t>
  </si>
  <si>
    <t>long-term investments</t>
  </si>
  <si>
    <t>long term deposits</t>
  </si>
  <si>
    <t>deposits and other assets</t>
  </si>
  <si>
    <t>deferred major maintenance, net of accumulated amortization of $13,694 and $8,218</t>
  </si>
  <si>
    <t>other non-current assets</t>
  </si>
  <si>
    <t>air traffic liability</t>
  </si>
  <si>
    <t>deferred tax liability</t>
  </si>
  <si>
    <t>deferred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</si>
</sst>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/>
    <xf numFmtId="3" fontId="4" fillId="0" borderId="0" xfId="2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69-4670-AA4B-6C418B7F3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A5-4728-9F1F-6B00F3FED4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A5-4401-93A1-9F6A5EF88D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78-4B00-8B28-FE87FE2E8D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BD-402C-9BB3-61F21FCA8D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8A-4493-A7FE-4957E1E3B2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44-4DB6-9ADB-FF430112F2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6A-40E3-BEDF-5FBD82A522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9A-4DDD-8E5A-3B22027B27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677-4576-8E18-B6A2439D0E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7A8-4467-A9D1-94049504C9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0A-4267-BB2D-BD72D64794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EC-44D2-98B9-24FEB48108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11-4674-A7B6-999F7C5C3D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D0-4D29-97ED-0B5AF5E7A0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161802</v>
      </c>
      <c r="G6" s="7">
        <f t="shared" ref="G6:O6" si="1">IF(G4=$BF$1,"",G71)</f>
        <v>198148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2003420</v>
      </c>
      <c r="G7" s="7">
        <f t="shared" ref="G7:O7" si="2">IF(G4=$BF$1,"",G128)</f>
        <v>1638882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495248</v>
      </c>
      <c r="G8" s="7">
        <f t="shared" ref="G8:O8" si="3">IF(G4=$BF$1,"",G161)</f>
        <v>541275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513996</v>
      </c>
      <c r="G9" s="7">
        <f t="shared" ref="G9:O9" si="4">IF(G4=$BF$1,"",G189)</f>
        <v>544295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1294351</v>
      </c>
      <c r="G10" s="7">
        <f t="shared" ref="G10:O10" si="5">IF(G4=$BF$1,"",G210)</f>
        <v>1082551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690321</v>
      </c>
      <c r="G11" s="7">
        <f t="shared" ref="G11:O11" si="6">IF(G4=$BF$1,"",G227)</f>
        <v>553311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2498668</v>
      </c>
      <c r="G12" s="35">
        <f t="shared" ref="G12:O12" si="7">IF(G4=$BF$1,"",SUM(G7:G8))</f>
        <v>2180157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2498668</v>
      </c>
      <c r="G13" s="35">
        <f t="shared" ref="G13:O13" si="8">IF(G4=$BF$1,"",SUM(G9:G11))</f>
        <v>2180157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1533701+58060+50286+25400</f>
        <v>1667447</v>
      </c>
      <c r="G24">
        <f>1372037+52707+48708+37751</f>
        <v>1511203</v>
      </c>
      <c r="P24" s="47" t="s">
        <v>499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1667447</v>
      </c>
      <c r="G30" s="7">
        <f>IF(G4=$BF$1,"",G24-G25+ABS(G26)-G27-G28-G29)</f>
        <v>1511203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47" t="s">
        <v>505</v>
      </c>
    </row>
    <row r="32" spans="5:16">
      <c r="E32" s="1" t="s">
        <v>34</v>
      </c>
      <c r="F32">
        <v>413892</v>
      </c>
      <c r="G32">
        <v>371599</v>
      </c>
      <c r="P32" s="47" t="s">
        <v>506</v>
      </c>
    </row>
    <row r="33" spans="5:16">
      <c r="E33" s="1" t="s">
        <v>35</v>
      </c>
      <c r="F33">
        <v>73514</v>
      </c>
      <c r="G33">
        <v>56675</v>
      </c>
      <c r="P33" s="47" t="s">
        <v>506</v>
      </c>
    </row>
    <row r="34" spans="5:16">
      <c r="E34" s="1" t="s">
        <v>36</v>
      </c>
    </row>
    <row r="35" spans="5:16">
      <c r="E35" s="1" t="s">
        <v>37</v>
      </c>
    </row>
    <row r="36" spans="5:16">
      <c r="E36" s="1" t="s">
        <v>38</v>
      </c>
      <c r="F36">
        <f>445814+161019+99015+100515</f>
        <v>806363</v>
      </c>
      <c r="G36">
        <f>343333+142581+113481+92840+35253</f>
        <v>727488</v>
      </c>
      <c r="P36" s="47" t="s">
        <v>499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 s="38">
        <v>868</v>
      </c>
      <c r="G39" s="38">
        <v>3098</v>
      </c>
      <c r="P39" s="47" t="s">
        <v>519</v>
      </c>
    </row>
    <row r="40" spans="5:16">
      <c r="E40" s="1" t="s">
        <v>42</v>
      </c>
      <c r="F40">
        <v>129351</v>
      </c>
      <c r="G40">
        <v>121713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1423988</v>
      </c>
      <c r="G43" s="7">
        <f>G32+G33+G34+G35+G36+G37+G38+G39+G40+G41+G42</f>
        <v>1280573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8"/>
    </row>
    <row r="44" spans="5:16">
      <c r="E44" s="6" t="s">
        <v>46</v>
      </c>
      <c r="F44" s="7">
        <f>F30+F31-F43</f>
        <v>243459</v>
      </c>
      <c r="G44" s="7">
        <f>IF(G4=$BF$1,"",G30+G31-G43)</f>
        <v>230630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8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53762</v>
      </c>
      <c r="G49">
        <v>38990</v>
      </c>
      <c r="H49">
        <v>28836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9226</v>
      </c>
      <c r="G52">
        <v>5808</v>
      </c>
      <c r="H52">
        <v>-3010</v>
      </c>
      <c r="P52" s="47" t="s">
        <v>506</v>
      </c>
    </row>
    <row r="53" spans="5:16">
      <c r="E53" s="1" t="s">
        <v>55</v>
      </c>
    </row>
    <row r="54" spans="5:16">
      <c r="E54" s="1" t="s">
        <v>56</v>
      </c>
      <c r="F54">
        <v>395</v>
      </c>
      <c r="G54">
        <v>1559</v>
      </c>
      <c r="P54" s="47" t="s">
        <v>524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  <c r="F57"/>
      <c r="G57"/>
      <c r="P57" s="47" t="s">
        <v>521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199318</v>
      </c>
      <c r="G59" s="7">
        <f>IF(G4=$BF$1,"",G44+G45+G46+G47+G48-G49-G50-G51+G52-G53+G54+G55-G56+G57+G58)</f>
        <v>199007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>
        <v>37516</v>
      </c>
      <c r="G60">
        <v>859</v>
      </c>
      <c r="H60">
        <v>127101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161802</v>
      </c>
      <c r="G67" s="7">
        <f>IF(G4=$BF$1,"",SUM(G59,-G60,-ABS(G61),-G62,-G66))</f>
        <v>198148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8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161802</v>
      </c>
      <c r="G71" s="7">
        <f t="shared" ref="G71:O71" si="14">IF(G4=$BF$1,"",SUM(G67:G70))</f>
        <v>198148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>
        <v>-1153</v>
      </c>
      <c r="G75">
        <v>49</v>
      </c>
      <c r="H75">
        <v>318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160649</v>
      </c>
      <c r="G83" s="7">
        <f t="shared" ref="G83:O83" si="15">IF(G4=$BF$1,"",SUM(G71:G82))</f>
        <v>198197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v>85925</v>
      </c>
      <c r="G89" s="38">
        <v>77409</v>
      </c>
      <c r="P89" s="47" t="s">
        <v>519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1905157+140385</f>
        <v>2045542</v>
      </c>
      <c r="G92">
        <f>1539433+123675</f>
        <v>1663108</v>
      </c>
      <c r="P92" s="47" t="s">
        <v>519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  <c r="F95" s="38">
        <v>89778</v>
      </c>
      <c r="G95" s="38">
        <v>48446</v>
      </c>
      <c r="P95" s="47" t="s">
        <v>519</v>
      </c>
    </row>
    <row r="96" spans="5:16">
      <c r="E96" s="12"/>
    </row>
    <row r="98" spans="5:16">
      <c r="E98" s="6" t="s">
        <v>88</v>
      </c>
      <c r="F98" s="7">
        <f>F89+F90+F91+F92+F93+F94+F95+F96</f>
        <v>2221245</v>
      </c>
      <c r="G98" s="7">
        <f>IF(G4=$BF$1,"",G89+G90+G91+G92+G93+G94+G95+G96)</f>
        <v>1788963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-373977</v>
      </c>
      <c r="G99" s="38">
        <v>-276548</v>
      </c>
      <c r="P99" s="47" t="s">
        <v>519</v>
      </c>
    </row>
    <row r="100" spans="5:16">
      <c r="E100" s="6" t="s">
        <v>90</v>
      </c>
      <c r="F100" s="7">
        <f>F98+F99</f>
        <v>1847268</v>
      </c>
      <c r="G100" s="7">
        <f t="shared" ref="G100:O100" si="17">IF(G4=$BF$1,"",G98+G99)</f>
        <v>1512415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>
        <v>0</v>
      </c>
      <c r="G108">
        <v>0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47" t="s">
        <v>521</v>
      </c>
    </row>
    <row r="112" spans="5:16">
      <c r="E112" s="1" t="s">
        <v>102</v>
      </c>
    </row>
    <row r="113" spans="5:16">
      <c r="E113" s="1" t="s">
        <v>103</v>
      </c>
      <c r="F113">
        <v>51526</v>
      </c>
      <c r="G113">
        <v>78570</v>
      </c>
      <c r="P113" s="47" t="s">
        <v>499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  <c r="F123" s="38">
        <v>36753</v>
      </c>
      <c r="G123" s="38">
        <v>16571</v>
      </c>
      <c r="P123" s="47" t="s">
        <v>519</v>
      </c>
    </row>
    <row r="124" spans="5:16">
      <c r="E124" s="1" t="s">
        <v>111</v>
      </c>
    </row>
    <row r="125" spans="5:16">
      <c r="E125" s="1" t="s">
        <v>112</v>
      </c>
      <c r="F125" s="38">
        <v>67873</v>
      </c>
      <c r="G125" s="38">
        <v>31326</v>
      </c>
      <c r="P125" s="47" t="s">
        <v>519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2003420</v>
      </c>
      <c r="G128" s="7">
        <f t="shared" ref="G128:O128" si="19">IF(G4=$BF$1,"",G100+SUM(G104:G126))</f>
        <v>1638882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81520</v>
      </c>
      <c r="G130">
        <v>59449</v>
      </c>
    </row>
    <row r="131" spans="5:16">
      <c r="E131" s="1" t="s">
        <v>118</v>
      </c>
      <c r="F131">
        <v>314464</v>
      </c>
      <c r="G131">
        <v>352681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395984</v>
      </c>
      <c r="G140" s="7">
        <f t="shared" ref="G140:O140" si="20">IF(G4=$BF$1,"",G130+G131+G132+G133+G134+G135+G136+G139)</f>
        <v>412130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19516</v>
      </c>
      <c r="G142" s="38">
        <v>17647</v>
      </c>
      <c r="P142" s="47" t="s">
        <v>519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19516</v>
      </c>
      <c r="G145" s="7">
        <f t="shared" ref="G145:O145" si="21">IF(G4=$BF$1,"",G141+G142+G143+G144)</f>
        <v>17647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29122</v>
      </c>
      <c r="G154">
        <v>23931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36014</v>
      </c>
      <c r="G157">
        <v>71057</v>
      </c>
    </row>
    <row r="158" spans="5:16">
      <c r="E158" s="1" t="s">
        <v>138</v>
      </c>
      <c r="F158">
        <v>221</v>
      </c>
      <c r="G158">
        <v>5320</v>
      </c>
    </row>
    <row r="159" spans="5:16">
      <c r="E159" s="1" t="s">
        <v>139</v>
      </c>
      <c r="F159" s="38">
        <v>14391</v>
      </c>
      <c r="G159" s="38">
        <v>11190</v>
      </c>
      <c r="P159" s="47" t="s">
        <v>519</v>
      </c>
    </row>
    <row r="160" spans="5:16">
      <c r="E160" s="6" t="s">
        <v>140</v>
      </c>
      <c r="F160" s="7">
        <f>F146+F147+F148+F149+F150+F151+F152+F153+F154+F155+F156+F157+F158+F159</f>
        <v>79748</v>
      </c>
      <c r="G160" s="7">
        <f>IF(G4=$BF$1,"",G146+G147+G148+G149+G150+G151+G152+G153+G154+G155+G156+G157+G158+G159)</f>
        <v>111498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495248</v>
      </c>
      <c r="G161" s="7">
        <f t="shared" ref="G161:O161" si="22">IF(G4=$BF$1,"",G140+G145+G160)</f>
        <v>541275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v>152287</v>
      </c>
      <c r="G166">
        <v>214761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122027</v>
      </c>
      <c r="G172">
        <v>105127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</row>
    <row r="187" spans="5:16">
      <c r="E187" s="1" t="s">
        <v>163</v>
      </c>
      <c r="F187">
        <f>27452+212230</f>
        <v>239682</v>
      </c>
      <c r="G187">
        <f>20108+204299</f>
        <v>224407</v>
      </c>
      <c r="P187" s="47" t="s">
        <v>499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513996</v>
      </c>
      <c r="G189" s="7">
        <f t="shared" ref="G189:O189" si="23">IF(G4=$BF$1,"",SUM(G163:G188))</f>
        <v>544295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  <c r="F195">
        <v>1119446</v>
      </c>
      <c r="G195">
        <v>950131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164027</v>
      </c>
      <c r="G203" s="38">
        <v>119013</v>
      </c>
      <c r="P203" s="47" t="s">
        <v>519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10878</v>
      </c>
      <c r="G209">
        <v>13407</v>
      </c>
    </row>
    <row r="210" spans="5:16">
      <c r="E210" s="6" t="s">
        <v>14</v>
      </c>
      <c r="F210" s="7">
        <f>SUM(F191:F209)</f>
        <v>1294351</v>
      </c>
      <c r="G210" s="7">
        <f t="shared" ref="G210:O210" si="24">IF(G4=$BF$1,"",SUM(G191:G209))</f>
        <v>1082551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270958</v>
      </c>
      <c r="G212">
        <v>253863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1025061</v>
      </c>
      <c r="G217">
        <v>907943</v>
      </c>
    </row>
    <row r="218" spans="5:16">
      <c r="E218" s="1" t="s">
        <v>188</v>
      </c>
    </row>
    <row r="219" spans="5:16">
      <c r="E219" s="1" t="s">
        <v>189</v>
      </c>
      <c r="F219">
        <v>-661</v>
      </c>
      <c r="G219">
        <v>-2840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-605037</v>
      </c>
      <c r="G223">
        <v>-605655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690321</v>
      </c>
      <c r="G227" s="7">
        <f t="shared" ref="G227:O227" si="25">IF(G4=$BF$1,"",SUM(G212:G226))</f>
        <v>553311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161802</v>
      </c>
      <c r="G267">
        <v>198148</v>
      </c>
      <c r="H267">
        <v>220866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129351</v>
      </c>
      <c r="G271">
        <v>121713</v>
      </c>
      <c r="H271">
        <v>105216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52323</v>
      </c>
      <c r="G278">
        <v>35998</v>
      </c>
      <c r="H278">
        <v>26454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15098</v>
      </c>
      <c r="G285">
        <v>13856</v>
      </c>
      <c r="H285">
        <v>9389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196772</v>
      </c>
      <c r="G296" s="7">
        <f>IF(G4=$BF$1,"",G271+G272+G273+G274+G275+G276+G277+G278+G279+G280+G281+G282+G283+G284+G285+G286+G287+G288+G289+G290+G291+G292+G293+G294+G295)</f>
        <v>171567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358574</v>
      </c>
      <c r="G297" s="7">
        <f t="shared" ref="G297:O297" si="27">IF(G4=$BF$1,"",MIN(F267,F268,F269)+F296)</f>
        <v>358574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35624</v>
      </c>
      <c r="G303">
        <v>-30568</v>
      </c>
      <c r="H303">
        <v>-18201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-5191</v>
      </c>
      <c r="G313">
        <v>-7654</v>
      </c>
      <c r="H313">
        <v>1999</v>
      </c>
    </row>
    <row r="314" spans="5:15">
      <c r="E314" s="1" t="s">
        <v>274</v>
      </c>
    </row>
    <row r="315" spans="5:15">
      <c r="E315" s="1" t="s">
        <v>275</v>
      </c>
      <c r="F315">
        <v>8633</v>
      </c>
      <c r="G315">
        <v>4798</v>
      </c>
      <c r="H315">
        <v>9209</v>
      </c>
    </row>
    <row r="316" spans="5:15">
      <c r="E316" s="1" t="s">
        <v>276</v>
      </c>
    </row>
    <row r="317" spans="5:15">
      <c r="E317" s="1" t="s">
        <v>277</v>
      </c>
      <c r="F317">
        <v>3789</v>
      </c>
      <c r="G317">
        <v>8608</v>
      </c>
      <c r="H317">
        <v>-8913</v>
      </c>
    </row>
    <row r="318" spans="5:15">
      <c r="E318" s="6" t="s">
        <v>278</v>
      </c>
      <c r="F318" s="7">
        <f>F299+F300+F301+F302+F303+F304+F305+F306+F307+F308+F309+F310+F311+F312+F313+F314+F315+F316+F317</f>
        <v>42855</v>
      </c>
      <c r="G318" s="7">
        <f>IF(G4=$BF$1,"",G299+G300+G301+G302+G303+G304+G305+G306+G307+G308+G309+G310+G311+G312+G313+G314+G315+G316+G317)</f>
        <v>-24816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401429</v>
      </c>
      <c r="G319" s="7">
        <f t="shared" ref="G319:O319" si="28">IF(G4=$BF$1,"",G297+G318)</f>
        <v>333758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401429</v>
      </c>
      <c r="G326" s="7">
        <f t="shared" ref="G326:O326" si="30">IF(G4=$BF$1,"",G325+G319)</f>
        <v>333758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-334774</v>
      </c>
      <c r="G328">
        <v>-568439</v>
      </c>
      <c r="H328">
        <v>-199743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-371461</v>
      </c>
      <c r="G331">
        <v>-363300</v>
      </c>
      <c r="H331">
        <v>-444532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-706235</v>
      </c>
      <c r="G337" s="7">
        <f>IF(G4=$BF$1,"",SUM(G328:G336))</f>
        <v>-931739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207575</v>
      </c>
      <c r="G339">
        <v>407083</v>
      </c>
      <c r="H339">
        <v>254789</v>
      </c>
    </row>
    <row r="340" spans="5:15">
      <c r="E340" s="1" t="s">
        <v>299</v>
      </c>
      <c r="F340">
        <v>436581</v>
      </c>
      <c r="G340">
        <v>319915</v>
      </c>
      <c r="H340">
        <v>361082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-232227</v>
      </c>
      <c r="G343">
        <v>-138858</v>
      </c>
      <c r="H343">
        <v>-154080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-45247</v>
      </c>
      <c r="G348">
        <v>-45720</v>
      </c>
      <c r="H348">
        <v>-67540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366682</v>
      </c>
      <c r="G352" s="7">
        <f>IF(G4=$BF$1,"",SUM(G339:G351))</f>
        <v>542420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61876</v>
      </c>
      <c r="G353" s="7">
        <f t="shared" ref="G353:O353" si="33">IF(G4=$BF$1,"",G326+G337+G352)</f>
        <v>-55561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61876</v>
      </c>
      <c r="G355" s="7">
        <f t="shared" ref="G355:O355" si="34">IF(G4=$BF$1,"",G353+G354)</f>
        <v>-55561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0</v>
      </c>
      <c r="G356">
        <v>0</v>
      </c>
      <c r="H356">
        <v>0</v>
      </c>
    </row>
    <row r="357" spans="5:15">
      <c r="E357" s="6" t="s">
        <v>316</v>
      </c>
      <c r="F357" s="7">
        <f>F355+F356</f>
        <v>61876</v>
      </c>
      <c r="G357" s="7">
        <f t="shared" ref="G357:O357" si="35">IF(G4=$BF$1,"",G355+G356)</f>
        <v>-55561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0.10339047765257216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-0.18342854835779315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0.14609544175029596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0.14600703950410418</v>
      </c>
      <c r="G370" s="27">
        <f t="shared" si="42"/>
        <v>0.15261351386941396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9.7035767853490995E-2</v>
      </c>
      <c r="G371" s="28">
        <f t="shared" si="43"/>
        <v>0.13111937972595342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6.475530162470565E-2</v>
      </c>
      <c r="G372" s="27">
        <f t="shared" si="44"/>
        <v>9.0887032447663177E-2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0.23438661144597947</v>
      </c>
      <c r="G373" s="27">
        <f t="shared" si="45"/>
        <v>0.35811324914921266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0.72372440036051211</v>
      </c>
      <c r="G376" s="30">
        <f t="shared" si="47"/>
        <v>0.7462058925114109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2.6195740822023379</v>
      </c>
      <c r="G377" s="30">
        <f t="shared" si="48"/>
        <v>2.9402018033257971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4.5284587626948403</v>
      </c>
      <c r="G378" s="30">
        <f t="shared" si="49"/>
        <v>5.9151064375480891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0.96352500797671581</v>
      </c>
      <c r="G382" s="32">
        <f t="shared" si="51"/>
        <v>0.99445153822835042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0.92555584090148557</v>
      </c>
      <c r="G383" s="32">
        <f t="shared" si="52"/>
        <v>0.96202978164414521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0.77040288251270439</v>
      </c>
      <c r="G384" s="32">
        <f t="shared" si="53"/>
        <v>0.75718130793044214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0.7809963501661491</v>
      </c>
      <c r="G385" s="32">
        <f t="shared" si="54"/>
        <v>0.61319321323914422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81520</v>
      </c>
      <c r="G418" s="17">
        <f>G130-G417</f>
        <v>59449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122027</v>
      </c>
      <c r="G433" s="17">
        <f>G172-G432</f>
        <v>105127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495</v>
      </c>
      <c r="B1" s="39" t="s">
        <v>496</v>
      </c>
      <c r="C1" s="39" t="s">
        <v>497</v>
      </c>
      <c r="D1" s="39"/>
    </row>
    <row r="2" spans="1:4">
      <c r="A2" t="s">
        <v>501</v>
      </c>
      <c r="B2" s="41" t="s">
        <v>500</v>
      </c>
      <c r="C2" s="39" t="s">
        <v>498</v>
      </c>
      <c r="D2" s="39"/>
    </row>
    <row r="3" spans="1:4">
      <c r="A3" t="s">
        <v>502</v>
      </c>
      <c r="B3" s="41" t="s">
        <v>500</v>
      </c>
      <c r="C3" s="39" t="s">
        <v>498</v>
      </c>
    </row>
    <row r="4" spans="1:4">
      <c r="A4" t="s">
        <v>503</v>
      </c>
      <c r="B4" s="41" t="s">
        <v>500</v>
      </c>
      <c r="C4" s="39" t="s">
        <v>498</v>
      </c>
    </row>
    <row r="5" spans="1:4">
      <c r="A5" t="s">
        <v>504</v>
      </c>
      <c r="B5" s="41" t="s">
        <v>500</v>
      </c>
      <c r="C5" s="39" t="s">
        <v>498</v>
      </c>
    </row>
    <row r="6" spans="1:4">
      <c r="A6" t="s">
        <v>508</v>
      </c>
      <c r="B6" s="42" t="s">
        <v>507</v>
      </c>
      <c r="C6" s="39" t="s">
        <v>498</v>
      </c>
    </row>
    <row r="7" spans="1:4">
      <c r="A7" t="s">
        <v>510</v>
      </c>
      <c r="B7" s="41" t="s">
        <v>509</v>
      </c>
      <c r="C7" s="39" t="s">
        <v>498</v>
      </c>
    </row>
    <row r="8" spans="1:4">
      <c r="A8" t="s">
        <v>512</v>
      </c>
      <c r="B8" s="41" t="s">
        <v>511</v>
      </c>
      <c r="C8" s="39" t="s">
        <v>498</v>
      </c>
    </row>
    <row r="9" spans="1:4">
      <c r="A9" t="s">
        <v>514</v>
      </c>
      <c r="B9" s="41" t="s">
        <v>513</v>
      </c>
      <c r="C9" s="39" t="s">
        <v>498</v>
      </c>
    </row>
    <row r="10" spans="1:4">
      <c r="A10" t="s">
        <v>515</v>
      </c>
      <c r="B10" s="41" t="s">
        <v>513</v>
      </c>
      <c r="C10" s="39" t="s">
        <v>498</v>
      </c>
    </row>
    <row r="11" spans="1:4">
      <c r="A11" s="41" t="s">
        <v>516</v>
      </c>
      <c r="B11" s="41" t="s">
        <v>513</v>
      </c>
      <c r="C11" s="39" t="s">
        <v>498</v>
      </c>
    </row>
    <row r="12" spans="1:4">
      <c r="A12" s="41" t="s">
        <v>517</v>
      </c>
      <c r="B12" s="41" t="s">
        <v>520</v>
      </c>
      <c r="C12" s="39" t="s">
        <v>498</v>
      </c>
    </row>
    <row r="13" spans="1:4">
      <c r="A13" s="42" t="s">
        <v>504</v>
      </c>
      <c r="B13" s="41" t="s">
        <v>513</v>
      </c>
      <c r="C13" s="39" t="s">
        <v>498</v>
      </c>
    </row>
    <row r="14" spans="1:4">
      <c r="A14" s="42" t="s">
        <v>518</v>
      </c>
      <c r="B14" s="42" t="s">
        <v>513</v>
      </c>
      <c r="C14" s="39" t="s">
        <v>498</v>
      </c>
    </row>
    <row r="15" spans="1:4">
      <c r="A15" s="42" t="s">
        <v>523</v>
      </c>
      <c r="B15" s="42" t="s">
        <v>522</v>
      </c>
      <c r="C15" s="39" t="s">
        <v>498</v>
      </c>
    </row>
    <row r="16" spans="1:4">
      <c r="A16" s="43" t="s">
        <v>525</v>
      </c>
      <c r="B16" s="41" t="s">
        <v>54</v>
      </c>
      <c r="C16" s="39" t="s">
        <v>498</v>
      </c>
    </row>
    <row r="17" spans="1:3">
      <c r="A17" t="s">
        <v>526</v>
      </c>
      <c r="B17" s="41" t="s">
        <v>532</v>
      </c>
      <c r="C17" s="39" t="s">
        <v>498</v>
      </c>
    </row>
    <row r="18" spans="1:3">
      <c r="A18" t="s">
        <v>527</v>
      </c>
      <c r="B18" s="44" t="s">
        <v>532</v>
      </c>
      <c r="C18" s="39" t="s">
        <v>498</v>
      </c>
    </row>
    <row r="19" spans="1:3">
      <c r="A19" t="s">
        <v>528</v>
      </c>
      <c r="B19" s="46" t="s">
        <v>533</v>
      </c>
      <c r="C19" s="39" t="s">
        <v>498</v>
      </c>
    </row>
    <row r="20" spans="1:3">
      <c r="A20" t="s">
        <v>529</v>
      </c>
      <c r="B20" s="44" t="s">
        <v>534</v>
      </c>
      <c r="C20" s="39" t="s">
        <v>498</v>
      </c>
    </row>
    <row r="21" spans="1:3">
      <c r="A21" t="s">
        <v>530</v>
      </c>
      <c r="B21" t="s">
        <v>531</v>
      </c>
      <c r="C21" s="39" t="s">
        <v>498</v>
      </c>
    </row>
    <row r="22" spans="1:3">
      <c r="A22" t="s">
        <v>536</v>
      </c>
      <c r="B22" s="46" t="s">
        <v>535</v>
      </c>
      <c r="C22" s="39" t="s">
        <v>498</v>
      </c>
    </row>
    <row r="23" spans="1:3">
      <c r="A23" t="s">
        <v>538</v>
      </c>
      <c r="B23" s="44" t="s">
        <v>537</v>
      </c>
      <c r="C23" s="39" t="s">
        <v>498</v>
      </c>
    </row>
    <row r="24" spans="1:3">
      <c r="A24" t="s">
        <v>540</v>
      </c>
      <c r="B24" s="44" t="s">
        <v>539</v>
      </c>
      <c r="C24" s="39" t="s">
        <v>498</v>
      </c>
    </row>
    <row r="25" spans="1:3">
      <c r="A25" t="s">
        <v>542</v>
      </c>
      <c r="B25" s="44" t="s">
        <v>541</v>
      </c>
      <c r="C25" s="39" t="s">
        <v>498</v>
      </c>
    </row>
    <row r="26" spans="1:3">
      <c r="A26" t="s">
        <v>543</v>
      </c>
      <c r="B26" s="44" t="s">
        <v>544</v>
      </c>
      <c r="C26" s="39" t="s">
        <v>498</v>
      </c>
    </row>
    <row r="27" spans="1:3">
      <c r="A27" t="s">
        <v>545</v>
      </c>
      <c r="B27" s="44" t="s">
        <v>163</v>
      </c>
      <c r="C27" s="39" t="s">
        <v>498</v>
      </c>
    </row>
    <row r="28" spans="1:3">
      <c r="A28" s="45" t="s">
        <v>547</v>
      </c>
      <c r="B28" s="44" t="s">
        <v>546</v>
      </c>
      <c r="C28" s="39" t="s">
        <v>498</v>
      </c>
    </row>
    <row r="29" spans="1:3">
      <c r="A29" s="45"/>
      <c r="B29" s="44"/>
      <c r="C29" s="39"/>
    </row>
    <row r="30" spans="1:3">
      <c r="A30" s="45"/>
      <c r="B30" s="44"/>
      <c r="C30" s="39"/>
    </row>
    <row r="31" spans="1:3">
      <c r="A31" s="44"/>
      <c r="B31" s="44"/>
      <c r="C31" s="39"/>
    </row>
    <row r="32" spans="1:3">
      <c r="A32" s="43"/>
      <c r="B32" s="44"/>
      <c r="C32" s="39"/>
    </row>
    <row r="33" spans="1:3">
      <c r="A33" s="44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 s="46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21" sqref="A21"/>
    </sheetView>
  </sheetViews>
  <sheetFormatPr defaultRowHeight="12.75"/>
  <cols>
    <col min="1" max="4" width="25.7109375" customWidth="1"/>
  </cols>
  <sheetData>
    <row r="1" spans="1:6">
      <c r="E1">
        <v>31</v>
      </c>
      <c r="F1">
        <v>31</v>
      </c>
    </row>
    <row r="2" spans="1:6">
      <c r="E2">
        <v>2018</v>
      </c>
      <c r="F2">
        <v>2017</v>
      </c>
    </row>
    <row r="4" spans="1:6">
      <c r="A4" t="s">
        <v>374</v>
      </c>
      <c r="B4" t="s">
        <v>116</v>
      </c>
      <c r="C4" t="s">
        <v>116</v>
      </c>
      <c r="D4" t="s">
        <v>116</v>
      </c>
    </row>
    <row r="5" spans="1:6">
      <c r="A5" t="s">
        <v>375</v>
      </c>
      <c r="B5" t="s">
        <v>117</v>
      </c>
      <c r="C5" t="s">
        <v>117</v>
      </c>
      <c r="D5" t="s">
        <v>116</v>
      </c>
      <c r="E5">
        <v>81520</v>
      </c>
      <c r="F5">
        <v>59449</v>
      </c>
    </row>
    <row r="6" spans="1:6">
      <c r="A6" t="s">
        <v>376</v>
      </c>
      <c r="B6" t="s">
        <v>139</v>
      </c>
      <c r="C6" t="s">
        <v>139</v>
      </c>
      <c r="D6" t="s">
        <v>80</v>
      </c>
      <c r="E6">
        <v>14391</v>
      </c>
      <c r="F6">
        <v>11190</v>
      </c>
    </row>
    <row r="7" spans="1:6">
      <c r="A7" t="s">
        <v>377</v>
      </c>
      <c r="B7" t="s">
        <v>118</v>
      </c>
      <c r="C7" t="s">
        <v>118</v>
      </c>
      <c r="D7" t="s">
        <v>116</v>
      </c>
      <c r="E7">
        <v>314464</v>
      </c>
      <c r="F7">
        <v>352681</v>
      </c>
    </row>
    <row r="8" spans="1:6">
      <c r="A8" t="s">
        <v>378</v>
      </c>
      <c r="B8" t="s">
        <v>352</v>
      </c>
      <c r="C8" t="s">
        <v>137</v>
      </c>
      <c r="D8" t="s">
        <v>116</v>
      </c>
      <c r="E8">
        <v>36014</v>
      </c>
      <c r="F8">
        <v>71057</v>
      </c>
    </row>
    <row r="9" spans="1:6">
      <c r="A9" t="s">
        <v>379</v>
      </c>
      <c r="D9" t="s">
        <v>116</v>
      </c>
      <c r="E9">
        <v>19516</v>
      </c>
      <c r="F9">
        <v>17647</v>
      </c>
    </row>
    <row r="10" spans="1:6">
      <c r="A10" t="s">
        <v>348</v>
      </c>
      <c r="B10" t="s">
        <v>134</v>
      </c>
      <c r="C10" t="s">
        <v>134</v>
      </c>
      <c r="D10" t="s">
        <v>116</v>
      </c>
      <c r="E10">
        <v>29122</v>
      </c>
      <c r="F10">
        <v>23931</v>
      </c>
    </row>
    <row r="11" spans="1:6">
      <c r="A11" t="s">
        <v>380</v>
      </c>
      <c r="B11" t="s">
        <v>138</v>
      </c>
      <c r="C11" t="s">
        <v>138</v>
      </c>
      <c r="D11" t="s">
        <v>116</v>
      </c>
      <c r="E11">
        <v>221</v>
      </c>
      <c r="F11">
        <v>5320</v>
      </c>
    </row>
    <row r="12" spans="1:6">
      <c r="A12" t="s">
        <v>381</v>
      </c>
      <c r="B12" t="s">
        <v>12</v>
      </c>
      <c r="C12" t="s">
        <v>12</v>
      </c>
      <c r="D12" t="s">
        <v>116</v>
      </c>
      <c r="E12">
        <v>495248</v>
      </c>
      <c r="F12">
        <v>541275</v>
      </c>
    </row>
    <row r="13" spans="1:6">
      <c r="A13" t="s">
        <v>382</v>
      </c>
      <c r="B13" t="s">
        <v>84</v>
      </c>
      <c r="C13" t="s">
        <v>84</v>
      </c>
      <c r="D13" t="s">
        <v>80</v>
      </c>
      <c r="E13">
        <v>1847268</v>
      </c>
      <c r="F13">
        <v>1512415</v>
      </c>
    </row>
    <row r="14" spans="1:6">
      <c r="A14" t="s">
        <v>383</v>
      </c>
      <c r="B14" t="s">
        <v>103</v>
      </c>
      <c r="C14" t="s">
        <v>103</v>
      </c>
      <c r="D14" t="s">
        <v>80</v>
      </c>
      <c r="E14">
        <v>51526</v>
      </c>
      <c r="F14">
        <v>78570</v>
      </c>
    </row>
    <row r="15" spans="1:6">
      <c r="A15" t="s">
        <v>384</v>
      </c>
      <c r="D15" t="s">
        <v>80</v>
      </c>
      <c r="E15">
        <v>67873</v>
      </c>
      <c r="F15">
        <v>31326</v>
      </c>
    </row>
    <row r="16" spans="1:6">
      <c r="A16" t="s">
        <v>385</v>
      </c>
      <c r="B16" t="s">
        <v>103</v>
      </c>
      <c r="C16" t="s">
        <v>103</v>
      </c>
      <c r="D16" t="s">
        <v>80</v>
      </c>
      <c r="E16">
        <v>36753</v>
      </c>
      <c r="F16">
        <v>16571</v>
      </c>
    </row>
    <row r="17" spans="1:6">
      <c r="A17" t="s">
        <v>386</v>
      </c>
      <c r="D17" t="s">
        <v>80</v>
      </c>
      <c r="E17">
        <v>2498668</v>
      </c>
      <c r="F17">
        <v>2180157</v>
      </c>
    </row>
    <row r="18" spans="1:6">
      <c r="A18" t="s">
        <v>387</v>
      </c>
      <c r="B18" t="s">
        <v>141</v>
      </c>
      <c r="C18" t="s">
        <v>141</v>
      </c>
      <c r="D18" t="s">
        <v>141</v>
      </c>
    </row>
    <row r="19" spans="1:6">
      <c r="A19" t="s">
        <v>388</v>
      </c>
      <c r="B19" t="s">
        <v>388</v>
      </c>
      <c r="C19" t="s">
        <v>163</v>
      </c>
      <c r="D19" t="s">
        <v>141</v>
      </c>
      <c r="E19">
        <v>27452</v>
      </c>
      <c r="F19">
        <v>20108</v>
      </c>
    </row>
    <row r="20" spans="1:6">
      <c r="A20" t="s">
        <v>389</v>
      </c>
      <c r="B20" t="s">
        <v>151</v>
      </c>
      <c r="C20" t="s">
        <v>151</v>
      </c>
      <c r="D20" t="s">
        <v>141</v>
      </c>
      <c r="E20">
        <v>122027</v>
      </c>
      <c r="F20">
        <v>105127</v>
      </c>
    </row>
    <row r="21" spans="1:6">
      <c r="A21" t="s">
        <v>390</v>
      </c>
      <c r="D21" t="s">
        <v>141</v>
      </c>
      <c r="E21">
        <v>212230</v>
      </c>
      <c r="F21">
        <v>204299</v>
      </c>
    </row>
    <row r="22" spans="1:6">
      <c r="A22" t="s">
        <v>391</v>
      </c>
      <c r="B22" t="s">
        <v>145</v>
      </c>
      <c r="C22" t="s">
        <v>145</v>
      </c>
      <c r="D22" t="s">
        <v>141</v>
      </c>
      <c r="E22">
        <v>152287</v>
      </c>
      <c r="F22">
        <v>214761</v>
      </c>
    </row>
    <row r="23" spans="1:6">
      <c r="A23" t="s">
        <v>392</v>
      </c>
      <c r="B23" t="s">
        <v>13</v>
      </c>
      <c r="C23" t="s">
        <v>13</v>
      </c>
      <c r="D23" t="s">
        <v>141</v>
      </c>
      <c r="E23">
        <v>513996</v>
      </c>
      <c r="F23">
        <v>544295</v>
      </c>
    </row>
    <row r="24" spans="1:6">
      <c r="A24" t="s">
        <v>393</v>
      </c>
      <c r="B24" t="s">
        <v>98</v>
      </c>
      <c r="C24" t="s">
        <v>98</v>
      </c>
      <c r="D24" t="s">
        <v>80</v>
      </c>
    </row>
    <row r="25" spans="1:6">
      <c r="A25" t="s">
        <v>394</v>
      </c>
      <c r="B25" t="s">
        <v>170</v>
      </c>
      <c r="C25" t="s">
        <v>170</v>
      </c>
      <c r="D25" t="s">
        <v>165</v>
      </c>
      <c r="E25">
        <v>1119446</v>
      </c>
      <c r="F25">
        <v>950131</v>
      </c>
    </row>
    <row r="26" spans="1:6">
      <c r="A26" t="s">
        <v>395</v>
      </c>
      <c r="B26" t="s">
        <v>101</v>
      </c>
      <c r="C26" t="s">
        <v>101</v>
      </c>
      <c r="D26" t="s">
        <v>80</v>
      </c>
      <c r="E26">
        <v>164027</v>
      </c>
      <c r="F26">
        <v>119013</v>
      </c>
    </row>
    <row r="27" spans="1:6">
      <c r="A27" t="s">
        <v>396</v>
      </c>
      <c r="B27" t="s">
        <v>180</v>
      </c>
      <c r="C27" t="s">
        <v>180</v>
      </c>
      <c r="D27" t="s">
        <v>165</v>
      </c>
      <c r="E27">
        <v>10878</v>
      </c>
      <c r="F27">
        <v>13407</v>
      </c>
    </row>
    <row r="28" spans="1:6">
      <c r="A28" t="s">
        <v>397</v>
      </c>
      <c r="B28" t="s">
        <v>164</v>
      </c>
      <c r="C28" t="s">
        <v>164</v>
      </c>
      <c r="D28" t="s">
        <v>165</v>
      </c>
      <c r="E28">
        <v>1808347</v>
      </c>
      <c r="F28">
        <v>1626846</v>
      </c>
    </row>
    <row r="29" spans="1:6">
      <c r="A29" t="s">
        <v>398</v>
      </c>
      <c r="B29" t="s">
        <v>180</v>
      </c>
      <c r="C29" t="s">
        <v>180</v>
      </c>
      <c r="D29" t="s">
        <v>165</v>
      </c>
    </row>
    <row r="30" spans="1:6">
      <c r="A30" t="s">
        <v>399</v>
      </c>
      <c r="B30" t="s">
        <v>181</v>
      </c>
      <c r="C30" t="s">
        <v>181</v>
      </c>
      <c r="D30" t="s">
        <v>181</v>
      </c>
    </row>
    <row r="31" spans="1:6">
      <c r="A31" t="s">
        <v>400</v>
      </c>
      <c r="B31" t="s">
        <v>182</v>
      </c>
      <c r="C31" t="s">
        <v>182</v>
      </c>
      <c r="D31" t="s">
        <v>181</v>
      </c>
      <c r="E31">
        <v>23</v>
      </c>
      <c r="F31">
        <v>23</v>
      </c>
    </row>
    <row r="32" spans="1:6">
      <c r="A32" t="s">
        <v>401</v>
      </c>
      <c r="B32" t="s">
        <v>402</v>
      </c>
      <c r="C32" t="s">
        <v>192</v>
      </c>
      <c r="D32" t="s">
        <v>181</v>
      </c>
      <c r="E32">
        <v>-605037</v>
      </c>
      <c r="F32">
        <v>-605655</v>
      </c>
    </row>
    <row r="33" spans="1:6">
      <c r="A33" t="s">
        <v>403</v>
      </c>
      <c r="B33" t="s">
        <v>182</v>
      </c>
      <c r="C33" t="s">
        <v>182</v>
      </c>
      <c r="D33" t="s">
        <v>181</v>
      </c>
      <c r="E33">
        <v>270935</v>
      </c>
      <c r="F33">
        <v>253840</v>
      </c>
    </row>
    <row r="34" spans="1:6">
      <c r="A34" t="s">
        <v>404</v>
      </c>
      <c r="B34" t="s">
        <v>189</v>
      </c>
      <c r="C34" t="s">
        <v>189</v>
      </c>
      <c r="D34" t="s">
        <v>181</v>
      </c>
      <c r="E34">
        <v>-661</v>
      </c>
      <c r="F34">
        <v>-2840</v>
      </c>
    </row>
    <row r="35" spans="1:6">
      <c r="A35" t="s">
        <v>405</v>
      </c>
      <c r="B35" t="s">
        <v>187</v>
      </c>
      <c r="C35" t="s">
        <v>187</v>
      </c>
      <c r="D35" t="s">
        <v>181</v>
      </c>
      <c r="E35">
        <v>1025061</v>
      </c>
      <c r="F35">
        <v>907943</v>
      </c>
    </row>
    <row r="36" spans="1:6">
      <c r="A36" t="s">
        <v>406</v>
      </c>
      <c r="B36" t="s">
        <v>195</v>
      </c>
      <c r="C36" t="s">
        <v>195</v>
      </c>
      <c r="D36" t="s">
        <v>181</v>
      </c>
      <c r="E36">
        <v>690321</v>
      </c>
      <c r="F36">
        <v>553311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4" spans="1:7">
      <c r="A4" t="s">
        <v>407</v>
      </c>
      <c r="B4" t="s">
        <v>408</v>
      </c>
      <c r="C4" t="s">
        <v>26</v>
      </c>
      <c r="D4" t="s">
        <v>408</v>
      </c>
    </row>
    <row r="5" spans="1:7">
      <c r="A5" t="s">
        <v>409</v>
      </c>
      <c r="D5" t="s">
        <v>408</v>
      </c>
      <c r="E5">
        <v>1533701</v>
      </c>
      <c r="F5">
        <v>1372037</v>
      </c>
      <c r="G5">
        <v>1269067</v>
      </c>
    </row>
    <row r="6" spans="1:7">
      <c r="A6" t="s">
        <v>410</v>
      </c>
      <c r="D6" t="s">
        <v>408</v>
      </c>
      <c r="E6">
        <v>58060</v>
      </c>
      <c r="F6">
        <v>52707</v>
      </c>
      <c r="G6">
        <v>44940</v>
      </c>
    </row>
    <row r="7" spans="1:7">
      <c r="A7" t="s">
        <v>411</v>
      </c>
      <c r="D7" t="s">
        <v>408</v>
      </c>
      <c r="E7">
        <v>50286</v>
      </c>
      <c r="F7">
        <v>48708</v>
      </c>
      <c r="G7">
        <v>31972</v>
      </c>
    </row>
    <row r="8" spans="1:7">
      <c r="A8" t="s">
        <v>412</v>
      </c>
      <c r="D8" t="s">
        <v>408</v>
      </c>
      <c r="E8">
        <v>25400</v>
      </c>
      <c r="F8">
        <v>37751</v>
      </c>
      <c r="G8">
        <v>32963</v>
      </c>
    </row>
    <row r="9" spans="1:7">
      <c r="A9" t="s">
        <v>413</v>
      </c>
      <c r="B9" t="s">
        <v>408</v>
      </c>
      <c r="C9" t="s">
        <v>26</v>
      </c>
      <c r="D9" t="s">
        <v>408</v>
      </c>
      <c r="E9">
        <v>1667447</v>
      </c>
      <c r="F9">
        <v>1511203</v>
      </c>
      <c r="G9">
        <v>1378942</v>
      </c>
    </row>
    <row r="10" spans="1:7">
      <c r="A10" t="s">
        <v>414</v>
      </c>
      <c r="B10" t="s">
        <v>58</v>
      </c>
      <c r="C10" t="s">
        <v>58</v>
      </c>
      <c r="D10" t="s">
        <v>408</v>
      </c>
    </row>
    <row r="11" spans="1:7">
      <c r="A11" t="s">
        <v>415</v>
      </c>
      <c r="D11" t="s">
        <v>408</v>
      </c>
      <c r="E11">
        <v>445814</v>
      </c>
      <c r="F11">
        <v>343333</v>
      </c>
      <c r="G11">
        <v>257332</v>
      </c>
    </row>
    <row r="12" spans="1:7">
      <c r="A12" t="s">
        <v>416</v>
      </c>
      <c r="B12" t="s">
        <v>34</v>
      </c>
      <c r="C12" t="s">
        <v>34</v>
      </c>
      <c r="D12" t="s">
        <v>408</v>
      </c>
      <c r="E12">
        <v>-413892</v>
      </c>
      <c r="F12">
        <v>-371599</v>
      </c>
      <c r="G12">
        <v>291974</v>
      </c>
    </row>
    <row r="13" spans="1:7">
      <c r="A13" t="s">
        <v>417</v>
      </c>
      <c r="D13" t="s">
        <v>408</v>
      </c>
      <c r="E13">
        <v>161019</v>
      </c>
      <c r="F13">
        <v>142581</v>
      </c>
      <c r="G13">
        <v>124052</v>
      </c>
    </row>
    <row r="14" spans="1:7">
      <c r="A14" t="s">
        <v>418</v>
      </c>
      <c r="B14" t="s">
        <v>42</v>
      </c>
      <c r="C14" t="s">
        <v>42</v>
      </c>
      <c r="D14" t="s">
        <v>408</v>
      </c>
      <c r="E14">
        <v>129351</v>
      </c>
      <c r="F14">
        <v>121713</v>
      </c>
      <c r="G14">
        <v>105216</v>
      </c>
    </row>
    <row r="15" spans="1:7">
      <c r="A15" t="s">
        <v>419</v>
      </c>
      <c r="B15" t="s">
        <v>38</v>
      </c>
      <c r="C15" t="s">
        <v>38</v>
      </c>
      <c r="D15" t="s">
        <v>408</v>
      </c>
      <c r="E15">
        <v>99015</v>
      </c>
      <c r="F15">
        <v>113481</v>
      </c>
      <c r="G15">
        <v>111070</v>
      </c>
    </row>
    <row r="16" spans="1:7">
      <c r="A16" t="s">
        <v>420</v>
      </c>
      <c r="B16" t="s">
        <v>421</v>
      </c>
      <c r="C16" t="s">
        <v>35</v>
      </c>
      <c r="D16" t="s">
        <v>408</v>
      </c>
      <c r="E16">
        <v>-73514</v>
      </c>
      <c r="F16">
        <v>-56675</v>
      </c>
      <c r="G16">
        <v>34629</v>
      </c>
    </row>
    <row r="17" spans="1:7">
      <c r="A17" t="s">
        <v>422</v>
      </c>
      <c r="D17" t="s">
        <v>408</v>
      </c>
      <c r="E17">
        <v>868</v>
      </c>
      <c r="F17">
        <v>3098</v>
      </c>
      <c r="G17">
        <v>924</v>
      </c>
    </row>
    <row r="18" spans="1:7">
      <c r="A18" t="s">
        <v>412</v>
      </c>
      <c r="D18" t="s">
        <v>408</v>
      </c>
      <c r="E18">
        <v>100515</v>
      </c>
      <c r="F18">
        <v>92840</v>
      </c>
      <c r="G18">
        <v>81178</v>
      </c>
    </row>
    <row r="19" spans="1:7">
      <c r="A19" t="s">
        <v>423</v>
      </c>
      <c r="D19" t="s">
        <v>408</v>
      </c>
      <c r="F19">
        <v>35253</v>
      </c>
    </row>
    <row r="20" spans="1:7">
      <c r="A20" t="s">
        <v>424</v>
      </c>
      <c r="B20" t="s">
        <v>45</v>
      </c>
      <c r="C20" t="s">
        <v>45</v>
      </c>
      <c r="D20" t="s">
        <v>408</v>
      </c>
      <c r="E20">
        <v>1423988</v>
      </c>
      <c r="F20">
        <v>1280573</v>
      </c>
      <c r="G20">
        <v>1006375</v>
      </c>
    </row>
    <row r="21" spans="1:7">
      <c r="A21" t="s">
        <v>425</v>
      </c>
      <c r="B21" t="s">
        <v>408</v>
      </c>
      <c r="C21" t="s">
        <v>26</v>
      </c>
      <c r="D21" t="s">
        <v>408</v>
      </c>
      <c r="E21">
        <v>243459</v>
      </c>
      <c r="F21">
        <v>230630</v>
      </c>
      <c r="G21">
        <v>372567</v>
      </c>
    </row>
    <row r="22" spans="1:7">
      <c r="A22" t="s">
        <v>426</v>
      </c>
      <c r="B22" t="s">
        <v>56</v>
      </c>
      <c r="C22" t="s">
        <v>56</v>
      </c>
      <c r="D22" t="s">
        <v>408</v>
      </c>
    </row>
    <row r="23" spans="1:7">
      <c r="A23" t="s">
        <v>427</v>
      </c>
      <c r="B23" t="s">
        <v>54</v>
      </c>
      <c r="C23" t="s">
        <v>54</v>
      </c>
      <c r="D23" t="s">
        <v>408</v>
      </c>
      <c r="E23">
        <v>-9226</v>
      </c>
      <c r="F23">
        <v>-5808</v>
      </c>
      <c r="G23">
        <v>-3010</v>
      </c>
    </row>
    <row r="24" spans="1:7">
      <c r="A24" t="s">
        <v>428</v>
      </c>
      <c r="B24" t="s">
        <v>51</v>
      </c>
      <c r="C24" t="s">
        <v>51</v>
      </c>
      <c r="D24" t="s">
        <v>408</v>
      </c>
      <c r="E24">
        <v>53762</v>
      </c>
      <c r="F24">
        <v>38990</v>
      </c>
      <c r="G24">
        <v>28836</v>
      </c>
    </row>
    <row r="25" spans="1:7">
      <c r="A25" t="s">
        <v>429</v>
      </c>
      <c r="B25" t="s">
        <v>430</v>
      </c>
      <c r="C25" t="s">
        <v>33</v>
      </c>
      <c r="D25" t="s">
        <v>408</v>
      </c>
      <c r="E25">
        <v>-395</v>
      </c>
      <c r="F25">
        <v>-1559</v>
      </c>
      <c r="G25">
        <v>-1226</v>
      </c>
    </row>
    <row r="26" spans="1:7">
      <c r="A26" t="s">
        <v>431</v>
      </c>
      <c r="B26" t="s">
        <v>38</v>
      </c>
      <c r="C26" t="s">
        <v>38</v>
      </c>
      <c r="D26" t="s">
        <v>408</v>
      </c>
      <c r="E26">
        <v>-44141</v>
      </c>
      <c r="F26">
        <v>-31623</v>
      </c>
      <c r="G26">
        <v>24600</v>
      </c>
    </row>
    <row r="27" spans="1:7">
      <c r="A27" t="s">
        <v>432</v>
      </c>
      <c r="B27" t="s">
        <v>433</v>
      </c>
      <c r="C27" t="s">
        <v>61</v>
      </c>
      <c r="D27" t="s">
        <v>408</v>
      </c>
      <c r="E27">
        <v>199318</v>
      </c>
      <c r="F27">
        <v>199007</v>
      </c>
      <c r="G27">
        <v>347967</v>
      </c>
    </row>
    <row r="28" spans="1:7">
      <c r="A28" t="s">
        <v>434</v>
      </c>
      <c r="B28" t="s">
        <v>62</v>
      </c>
      <c r="C28" t="s">
        <v>62</v>
      </c>
      <c r="D28" t="s">
        <v>408</v>
      </c>
      <c r="E28">
        <v>37516</v>
      </c>
      <c r="F28">
        <v>859</v>
      </c>
      <c r="G28">
        <v>127101</v>
      </c>
    </row>
    <row r="29" spans="1:7">
      <c r="A29" t="s">
        <v>435</v>
      </c>
      <c r="B29" t="s">
        <v>70</v>
      </c>
      <c r="C29" t="s">
        <v>70</v>
      </c>
      <c r="D29" t="s">
        <v>408</v>
      </c>
      <c r="E29">
        <v>161802</v>
      </c>
      <c r="F29">
        <v>198148</v>
      </c>
      <c r="G29">
        <v>220866</v>
      </c>
    </row>
    <row r="30" spans="1:7">
      <c r="A30" t="s">
        <v>436</v>
      </c>
      <c r="D30" t="s">
        <v>408</v>
      </c>
    </row>
    <row r="31" spans="1:7">
      <c r="A31" t="s">
        <v>437</v>
      </c>
      <c r="D31" t="s">
        <v>408</v>
      </c>
      <c r="E31">
        <v>1002</v>
      </c>
      <c r="F31">
        <v>1214</v>
      </c>
      <c r="G31">
        <v>1331</v>
      </c>
    </row>
    <row r="32" spans="1:7">
      <c r="A32" t="s">
        <v>438</v>
      </c>
      <c r="D32" t="s">
        <v>408</v>
      </c>
      <c r="E32">
        <v>1000</v>
      </c>
      <c r="F32">
        <v>1213</v>
      </c>
      <c r="G32">
        <v>1329</v>
      </c>
    </row>
    <row r="33" spans="1:7">
      <c r="A33" t="s">
        <v>439</v>
      </c>
      <c r="D33" t="s">
        <v>408</v>
      </c>
    </row>
    <row r="34" spans="1:7">
      <c r="A34" t="s">
        <v>437</v>
      </c>
      <c r="D34" t="s">
        <v>408</v>
      </c>
      <c r="E34">
        <v>15941</v>
      </c>
      <c r="F34">
        <v>16073</v>
      </c>
      <c r="G34">
        <v>16465</v>
      </c>
    </row>
    <row r="35" spans="1:7">
      <c r="A35" t="s">
        <v>438</v>
      </c>
      <c r="D35" t="s">
        <v>408</v>
      </c>
      <c r="E35">
        <v>15967</v>
      </c>
      <c r="F35">
        <v>16095</v>
      </c>
      <c r="G35">
        <v>16489</v>
      </c>
    </row>
    <row r="36" spans="1:7">
      <c r="A36" t="s">
        <v>440</v>
      </c>
      <c r="D36" t="s">
        <v>408</v>
      </c>
    </row>
    <row r="37" spans="1:7">
      <c r="D37" t="s">
        <v>408</v>
      </c>
    </row>
    <row r="38" spans="1:7">
      <c r="A38" t="s">
        <v>441</v>
      </c>
      <c r="D38" t="s">
        <v>408</v>
      </c>
    </row>
    <row r="39" spans="1:7">
      <c r="D39" t="s">
        <v>408</v>
      </c>
    </row>
    <row r="40" spans="1:7">
      <c r="D40" t="s">
        <v>408</v>
      </c>
      <c r="E40">
        <v>2018</v>
      </c>
      <c r="F40">
        <v>2017</v>
      </c>
      <c r="G40">
        <v>2016</v>
      </c>
    </row>
    <row r="41" spans="1:7">
      <c r="D41" t="s">
        <v>408</v>
      </c>
    </row>
    <row r="42" spans="1:7">
      <c r="A42" t="s">
        <v>435</v>
      </c>
      <c r="B42" t="s">
        <v>70</v>
      </c>
      <c r="C42" t="s">
        <v>70</v>
      </c>
      <c r="D42" t="s">
        <v>408</v>
      </c>
      <c r="E42">
        <v>161802</v>
      </c>
      <c r="F42">
        <v>198148</v>
      </c>
      <c r="G42">
        <v>220866</v>
      </c>
    </row>
    <row r="43" spans="1:7">
      <c r="A43" t="s">
        <v>442</v>
      </c>
      <c r="B43" t="s">
        <v>443</v>
      </c>
      <c r="C43" t="s">
        <v>443</v>
      </c>
      <c r="D43" t="s">
        <v>408</v>
      </c>
    </row>
    <row r="44" spans="1:7">
      <c r="A44" t="s">
        <v>444</v>
      </c>
      <c r="B44" t="s">
        <v>72</v>
      </c>
      <c r="C44" t="s">
        <v>72</v>
      </c>
      <c r="D44" t="s">
        <v>408</v>
      </c>
      <c r="E44">
        <v>-1153</v>
      </c>
      <c r="F44">
        <v>49</v>
      </c>
      <c r="G44">
        <v>318</v>
      </c>
    </row>
    <row r="45" spans="1:7">
      <c r="A45" t="s">
        <v>445</v>
      </c>
      <c r="B45" t="s">
        <v>59</v>
      </c>
      <c r="C45" t="s">
        <v>59</v>
      </c>
      <c r="D45" t="s">
        <v>408</v>
      </c>
      <c r="E45">
        <v>-177</v>
      </c>
      <c r="F45">
        <v>-681</v>
      </c>
      <c r="G45">
        <v>88</v>
      </c>
    </row>
    <row r="46" spans="1:7">
      <c r="A46" t="s">
        <v>446</v>
      </c>
      <c r="D46" t="s">
        <v>408</v>
      </c>
      <c r="E46">
        <v>3155</v>
      </c>
      <c r="F46">
        <v>-1978</v>
      </c>
      <c r="G46">
        <v>-1470</v>
      </c>
    </row>
    <row r="47" spans="1:7">
      <c r="A47" t="s">
        <v>447</v>
      </c>
      <c r="B47" t="s">
        <v>448</v>
      </c>
      <c r="C47" t="s">
        <v>443</v>
      </c>
      <c r="D47" t="s">
        <v>408</v>
      </c>
      <c r="E47">
        <v>2179</v>
      </c>
      <c r="F47">
        <v>-2610</v>
      </c>
      <c r="G47">
        <v>-1064</v>
      </c>
    </row>
    <row r="48" spans="1:7">
      <c r="A48" t="s">
        <v>449</v>
      </c>
      <c r="B48" t="s">
        <v>443</v>
      </c>
      <c r="C48" t="s">
        <v>443</v>
      </c>
      <c r="D48" t="s">
        <v>408</v>
      </c>
      <c r="E48">
        <v>163981</v>
      </c>
      <c r="F48">
        <v>195538</v>
      </c>
      <c r="G48">
        <v>219802</v>
      </c>
    </row>
    <row r="49" spans="1:4">
      <c r="A49" t="s">
        <v>450</v>
      </c>
      <c r="D49" t="s">
        <v>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4" spans="1:7">
      <c r="A4" t="s">
        <v>451</v>
      </c>
      <c r="B4" t="s">
        <v>231</v>
      </c>
      <c r="C4" t="s">
        <v>231</v>
      </c>
      <c r="D4" t="s">
        <v>452</v>
      </c>
    </row>
    <row r="5" spans="1:7">
      <c r="A5" t="s">
        <v>453</v>
      </c>
      <c r="B5" t="s">
        <v>232</v>
      </c>
      <c r="C5" t="s">
        <v>232</v>
      </c>
      <c r="D5" t="s">
        <v>452</v>
      </c>
      <c r="E5">
        <v>161802</v>
      </c>
      <c r="F5">
        <v>198148</v>
      </c>
      <c r="G5">
        <v>220866</v>
      </c>
    </row>
    <row r="6" spans="1:7">
      <c r="A6" t="s">
        <v>454</v>
      </c>
    </row>
    <row r="7" spans="1:7">
      <c r="A7" t="s">
        <v>418</v>
      </c>
      <c r="B7" t="s">
        <v>236</v>
      </c>
      <c r="C7" t="s">
        <v>236</v>
      </c>
      <c r="D7" t="s">
        <v>452</v>
      </c>
      <c r="E7">
        <v>129351</v>
      </c>
      <c r="F7">
        <v>121713</v>
      </c>
      <c r="G7">
        <v>105216</v>
      </c>
    </row>
    <row r="8" spans="1:7">
      <c r="A8" t="s">
        <v>455</v>
      </c>
      <c r="E8">
        <v>2360</v>
      </c>
      <c r="F8">
        <v>9334</v>
      </c>
      <c r="G8">
        <v>4981</v>
      </c>
    </row>
    <row r="9" spans="1:7">
      <c r="A9" t="s">
        <v>423</v>
      </c>
      <c r="F9">
        <v>35253</v>
      </c>
    </row>
    <row r="10" spans="1:7">
      <c r="A10" t="s">
        <v>456</v>
      </c>
      <c r="B10" t="s">
        <v>248</v>
      </c>
      <c r="C10" t="s">
        <v>248</v>
      </c>
      <c r="D10" t="s">
        <v>452</v>
      </c>
      <c r="E10">
        <v>15098</v>
      </c>
      <c r="F10">
        <v>13856</v>
      </c>
      <c r="G10">
        <v>9389</v>
      </c>
    </row>
    <row r="11" spans="1:7">
      <c r="A11" t="s">
        <v>395</v>
      </c>
      <c r="B11" t="s">
        <v>269</v>
      </c>
      <c r="C11" t="s">
        <v>269</v>
      </c>
      <c r="E11">
        <v>38222</v>
      </c>
      <c r="F11">
        <v>42689</v>
      </c>
      <c r="G11">
        <v>30579</v>
      </c>
    </row>
    <row r="12" spans="1:7">
      <c r="A12" t="s">
        <v>457</v>
      </c>
      <c r="B12" t="s">
        <v>276</v>
      </c>
      <c r="C12" t="s">
        <v>276</v>
      </c>
      <c r="E12">
        <v>4541</v>
      </c>
      <c r="F12">
        <v>5933</v>
      </c>
      <c r="G12">
        <v>4286</v>
      </c>
    </row>
    <row r="13" spans="1:7">
      <c r="A13" t="s">
        <v>458</v>
      </c>
    </row>
    <row r="14" spans="1:7">
      <c r="A14" t="s">
        <v>459</v>
      </c>
      <c r="B14" t="s">
        <v>265</v>
      </c>
      <c r="C14" t="s">
        <v>265</v>
      </c>
      <c r="D14" t="s">
        <v>452</v>
      </c>
      <c r="E14">
        <v>35624</v>
      </c>
      <c r="F14">
        <v>-30568</v>
      </c>
      <c r="G14">
        <v>-18201</v>
      </c>
    </row>
    <row r="15" spans="1:7">
      <c r="A15" t="s">
        <v>460</v>
      </c>
      <c r="B15" t="s">
        <v>273</v>
      </c>
      <c r="C15" t="s">
        <v>273</v>
      </c>
      <c r="D15" t="s">
        <v>452</v>
      </c>
      <c r="E15">
        <v>-5191</v>
      </c>
      <c r="F15">
        <v>-7654</v>
      </c>
      <c r="G15">
        <v>1999</v>
      </c>
    </row>
    <row r="16" spans="1:7">
      <c r="A16" t="s">
        <v>461</v>
      </c>
      <c r="B16" t="s">
        <v>275</v>
      </c>
      <c r="C16" t="s">
        <v>275</v>
      </c>
      <c r="D16" t="s">
        <v>452</v>
      </c>
      <c r="E16">
        <v>8633</v>
      </c>
      <c r="F16">
        <v>4798</v>
      </c>
      <c r="G16">
        <v>9209</v>
      </c>
    </row>
    <row r="17" spans="1:7">
      <c r="A17" t="s">
        <v>462</v>
      </c>
      <c r="D17" t="s">
        <v>452</v>
      </c>
      <c r="E17">
        <v>12005</v>
      </c>
      <c r="F17">
        <v>9251</v>
      </c>
      <c r="G17">
        <v>7596</v>
      </c>
    </row>
    <row r="18" spans="1:7">
      <c r="A18" t="s">
        <v>463</v>
      </c>
      <c r="B18" t="s">
        <v>277</v>
      </c>
      <c r="C18" t="s">
        <v>277</v>
      </c>
      <c r="D18" t="s">
        <v>452</v>
      </c>
      <c r="E18">
        <v>7931</v>
      </c>
      <c r="F18">
        <v>12721</v>
      </c>
      <c r="G18">
        <v>-6144</v>
      </c>
    </row>
    <row r="19" spans="1:7">
      <c r="A19" t="s">
        <v>464</v>
      </c>
      <c r="D19" t="s">
        <v>452</v>
      </c>
      <c r="E19">
        <v>-49622</v>
      </c>
      <c r="F19">
        <v>-20687</v>
      </c>
      <c r="G19">
        <v>-18857</v>
      </c>
    </row>
    <row r="20" spans="1:7">
      <c r="A20" t="s">
        <v>465</v>
      </c>
      <c r="B20" t="s">
        <v>277</v>
      </c>
      <c r="C20" t="s">
        <v>277</v>
      </c>
      <c r="D20" t="s">
        <v>452</v>
      </c>
      <c r="E20">
        <v>-4142</v>
      </c>
      <c r="F20">
        <v>-4113</v>
      </c>
      <c r="G20">
        <v>-2769</v>
      </c>
    </row>
    <row r="21" spans="1:7">
      <c r="A21" t="s">
        <v>466</v>
      </c>
      <c r="B21" t="s">
        <v>285</v>
      </c>
      <c r="C21" t="s">
        <v>285</v>
      </c>
      <c r="D21" t="s">
        <v>452</v>
      </c>
      <c r="E21">
        <v>356612</v>
      </c>
      <c r="F21">
        <v>390674</v>
      </c>
      <c r="G21">
        <v>348150</v>
      </c>
    </row>
    <row r="22" spans="1:7">
      <c r="A22" t="s">
        <v>467</v>
      </c>
      <c r="B22" t="s">
        <v>286</v>
      </c>
      <c r="C22" t="s">
        <v>286</v>
      </c>
      <c r="D22" t="s">
        <v>468</v>
      </c>
    </row>
    <row r="23" spans="1:7">
      <c r="A23" t="s">
        <v>469</v>
      </c>
      <c r="B23" t="s">
        <v>290</v>
      </c>
      <c r="C23" t="s">
        <v>290</v>
      </c>
      <c r="D23" t="s">
        <v>468</v>
      </c>
      <c r="E23">
        <v>-371461</v>
      </c>
      <c r="F23">
        <v>-363300</v>
      </c>
      <c r="G23">
        <v>-444532</v>
      </c>
    </row>
    <row r="24" spans="1:7">
      <c r="A24" t="s">
        <v>470</v>
      </c>
      <c r="B24" t="s">
        <v>299</v>
      </c>
      <c r="C24" t="s">
        <v>299</v>
      </c>
      <c r="D24" t="s">
        <v>471</v>
      </c>
      <c r="E24">
        <v>436581</v>
      </c>
      <c r="F24">
        <v>319915</v>
      </c>
      <c r="G24">
        <v>361082</v>
      </c>
    </row>
    <row r="25" spans="1:7">
      <c r="A25" t="s">
        <v>472</v>
      </c>
      <c r="D25" t="s">
        <v>452</v>
      </c>
      <c r="F25">
        <v>-11810</v>
      </c>
      <c r="G25">
        <v>-125434</v>
      </c>
    </row>
    <row r="26" spans="1:7">
      <c r="A26" t="s">
        <v>473</v>
      </c>
      <c r="B26" t="s">
        <v>287</v>
      </c>
      <c r="C26" t="s">
        <v>287</v>
      </c>
      <c r="D26" t="s">
        <v>468</v>
      </c>
      <c r="E26">
        <v>-334774</v>
      </c>
      <c r="F26">
        <v>-568439</v>
      </c>
      <c r="G26">
        <v>-199743</v>
      </c>
    </row>
    <row r="27" spans="1:7">
      <c r="A27" t="s">
        <v>474</v>
      </c>
      <c r="B27" t="s">
        <v>286</v>
      </c>
      <c r="C27" t="s">
        <v>286</v>
      </c>
      <c r="D27" t="s">
        <v>468</v>
      </c>
      <c r="E27">
        <v>677</v>
      </c>
      <c r="F27">
        <v>5115</v>
      </c>
      <c r="G27">
        <v>6790</v>
      </c>
    </row>
    <row r="28" spans="1:7">
      <c r="A28" t="s">
        <v>475</v>
      </c>
      <c r="B28" t="s">
        <v>296</v>
      </c>
      <c r="C28" t="s">
        <v>296</v>
      </c>
      <c r="D28" t="s">
        <v>468</v>
      </c>
      <c r="E28">
        <v>-268977</v>
      </c>
      <c r="F28">
        <v>-618519</v>
      </c>
      <c r="G28">
        <v>-401837</v>
      </c>
    </row>
    <row r="29" spans="1:7">
      <c r="A29" t="s">
        <v>476</v>
      </c>
      <c r="B29" t="s">
        <v>297</v>
      </c>
      <c r="C29" t="s">
        <v>297</v>
      </c>
      <c r="D29" t="s">
        <v>471</v>
      </c>
    </row>
    <row r="30" spans="1:7">
      <c r="A30" t="s">
        <v>477</v>
      </c>
      <c r="B30" t="s">
        <v>478</v>
      </c>
      <c r="C30" t="s">
        <v>307</v>
      </c>
      <c r="D30" t="s">
        <v>471</v>
      </c>
      <c r="E30">
        <v>-45247</v>
      </c>
      <c r="F30">
        <v>-45720</v>
      </c>
      <c r="G30">
        <v>-67540</v>
      </c>
    </row>
    <row r="31" spans="1:7">
      <c r="A31" t="s">
        <v>479</v>
      </c>
      <c r="B31" t="s">
        <v>298</v>
      </c>
      <c r="C31" t="s">
        <v>298</v>
      </c>
      <c r="D31" t="s">
        <v>471</v>
      </c>
      <c r="E31">
        <v>211225</v>
      </c>
      <c r="F31">
        <v>497540</v>
      </c>
      <c r="G31">
        <v>321160</v>
      </c>
    </row>
    <row r="32" spans="1:7">
      <c r="A32" t="s">
        <v>480</v>
      </c>
      <c r="B32" t="s">
        <v>298</v>
      </c>
      <c r="C32" t="s">
        <v>298</v>
      </c>
      <c r="D32" t="s">
        <v>471</v>
      </c>
      <c r="E32">
        <v>-3650</v>
      </c>
      <c r="F32">
        <v>-90457</v>
      </c>
      <c r="G32">
        <v>-66371</v>
      </c>
    </row>
    <row r="33" spans="1:7">
      <c r="A33" t="s">
        <v>481</v>
      </c>
      <c r="B33" t="s">
        <v>302</v>
      </c>
      <c r="C33" t="s">
        <v>302</v>
      </c>
      <c r="D33" t="s">
        <v>471</v>
      </c>
      <c r="E33">
        <v>-232227</v>
      </c>
      <c r="F33">
        <v>-138858</v>
      </c>
      <c r="G33">
        <v>-154080</v>
      </c>
    </row>
    <row r="34" spans="1:7">
      <c r="A34" t="s">
        <v>482</v>
      </c>
      <c r="B34" t="s">
        <v>297</v>
      </c>
      <c r="C34" t="s">
        <v>297</v>
      </c>
      <c r="D34" t="s">
        <v>471</v>
      </c>
      <c r="E34">
        <v>7536</v>
      </c>
      <c r="F34">
        <v>-379</v>
      </c>
      <c r="G34">
        <v>-594</v>
      </c>
    </row>
    <row r="35" spans="1:7">
      <c r="A35" t="s">
        <v>483</v>
      </c>
      <c r="B35" t="s">
        <v>311</v>
      </c>
      <c r="C35" t="s">
        <v>311</v>
      </c>
      <c r="D35" t="s">
        <v>471</v>
      </c>
      <c r="E35">
        <v>-62363</v>
      </c>
      <c r="F35">
        <v>222126</v>
      </c>
      <c r="G35">
        <v>32575</v>
      </c>
    </row>
    <row r="36" spans="1:7">
      <c r="A36" t="s">
        <v>484</v>
      </c>
      <c r="B36" t="s">
        <v>314</v>
      </c>
      <c r="C36" t="s">
        <v>314</v>
      </c>
      <c r="D36" t="s">
        <v>471</v>
      </c>
      <c r="E36">
        <v>25272</v>
      </c>
      <c r="F36">
        <v>-5719</v>
      </c>
      <c r="G36">
        <v>-21112</v>
      </c>
    </row>
    <row r="37" spans="1:7">
      <c r="A37" t="s">
        <v>485</v>
      </c>
      <c r="B37" t="s">
        <v>486</v>
      </c>
      <c r="C37" t="s">
        <v>315</v>
      </c>
      <c r="D37" t="s">
        <v>471</v>
      </c>
    </row>
    <row r="38" spans="1:7">
      <c r="A38" t="s">
        <v>487</v>
      </c>
      <c r="B38" t="s">
        <v>316</v>
      </c>
      <c r="C38" t="s">
        <v>316</v>
      </c>
      <c r="D38" t="s">
        <v>471</v>
      </c>
      <c r="E38">
        <v>70639</v>
      </c>
      <c r="F38">
        <v>76358</v>
      </c>
      <c r="G38">
        <v>97470</v>
      </c>
    </row>
    <row r="39" spans="1:7">
      <c r="A39" t="s">
        <v>488</v>
      </c>
      <c r="B39" t="s">
        <v>316</v>
      </c>
      <c r="C39" t="s">
        <v>316</v>
      </c>
      <c r="D39" t="s">
        <v>471</v>
      </c>
    </row>
    <row r="40" spans="1:7">
      <c r="A40" t="s">
        <v>489</v>
      </c>
      <c r="D40" t="s">
        <v>471</v>
      </c>
      <c r="E40">
        <v>95911</v>
      </c>
      <c r="F40">
        <v>70639</v>
      </c>
      <c r="G40">
        <v>76358</v>
      </c>
    </row>
    <row r="41" spans="1:7">
      <c r="A41" t="s">
        <v>490</v>
      </c>
      <c r="D41" t="s">
        <v>471</v>
      </c>
    </row>
    <row r="42" spans="1:7">
      <c r="A42" t="s">
        <v>491</v>
      </c>
      <c r="B42" t="s">
        <v>243</v>
      </c>
      <c r="C42" t="s">
        <v>243</v>
      </c>
      <c r="D42" t="s">
        <v>452</v>
      </c>
      <c r="E42">
        <v>52323</v>
      </c>
      <c r="F42">
        <v>35998</v>
      </c>
      <c r="G42">
        <v>26454</v>
      </c>
    </row>
    <row r="43" spans="1:7">
      <c r="A43" t="s">
        <v>492</v>
      </c>
      <c r="B43" t="s">
        <v>493</v>
      </c>
      <c r="C43" t="s">
        <v>247</v>
      </c>
      <c r="D43" t="s">
        <v>471</v>
      </c>
      <c r="E43">
        <v>-41610</v>
      </c>
      <c r="F43">
        <v>-17954</v>
      </c>
      <c r="G43">
        <v>110612</v>
      </c>
    </row>
    <row r="44" spans="1:7">
      <c r="A44" t="s">
        <v>494</v>
      </c>
      <c r="D44" t="s">
        <v>471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40174-C206-4CA1-B48B-9549A11FAB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D70ADA-930E-4D75-A146-754998C3DF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45EB85-D969-4E3D-8FE0-49046DDE56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2021-10-20T05:15:31Z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