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8" i="1" l="1"/>
  <c r="F157" i="1"/>
  <c r="G92" i="1"/>
  <c r="F92" i="1"/>
  <c r="F46" i="1"/>
  <c r="G60" i="1"/>
  <c r="F60" i="1"/>
  <c r="G35" i="1"/>
  <c r="F35" i="1"/>
  <c r="G24" i="1"/>
  <c r="F24" i="1"/>
  <c r="G432" i="1" l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M382" i="1"/>
  <c r="L382" i="1"/>
  <c r="O381" i="1"/>
  <c r="N381" i="1"/>
  <c r="M381" i="1"/>
  <c r="L381" i="1"/>
  <c r="K381" i="1"/>
  <c r="J381" i="1"/>
  <c r="F381" i="1"/>
  <c r="K377" i="1"/>
  <c r="J377" i="1"/>
  <c r="M376" i="1"/>
  <c r="L376" i="1"/>
  <c r="O375" i="1"/>
  <c r="N375" i="1"/>
  <c r="M375" i="1"/>
  <c r="L375" i="1"/>
  <c r="K375" i="1"/>
  <c r="J375" i="1"/>
  <c r="F375" i="1"/>
  <c r="I373" i="1"/>
  <c r="M371" i="1"/>
  <c r="L371" i="1"/>
  <c r="O370" i="1"/>
  <c r="N370" i="1"/>
  <c r="I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3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3" i="1" s="1"/>
  <c r="F161" i="1"/>
  <c r="F8" i="1" s="1"/>
  <c r="F383" i="1" s="1"/>
  <c r="H373" i="1"/>
  <c r="G44" i="1"/>
  <c r="F44" i="1"/>
  <c r="G384" i="1"/>
  <c r="G13" i="1"/>
  <c r="G377" i="1"/>
  <c r="G12" i="1"/>
  <c r="G376" i="1" s="1"/>
  <c r="G353" i="1"/>
  <c r="G355" i="1" s="1"/>
  <c r="G357" i="1" s="1"/>
  <c r="G385" i="1"/>
  <c r="F384" i="1"/>
  <c r="F13" i="1"/>
  <c r="F377" i="1"/>
  <c r="F353" i="1"/>
  <c r="F355" i="1" s="1"/>
  <c r="F357" i="1" s="1"/>
  <c r="F385" i="1"/>
  <c r="I378" i="1"/>
  <c r="G381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H384" i="1"/>
  <c r="K383" i="1"/>
  <c r="I365" i="1"/>
  <c r="M368" i="1"/>
  <c r="M372" i="1"/>
  <c r="K373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75" i="1"/>
  <c r="I384" i="1"/>
  <c r="G363" i="1"/>
  <c r="O368" i="1"/>
  <c r="O372" i="1"/>
  <c r="I376" i="1"/>
  <c r="O377" i="1"/>
  <c r="M378" i="1"/>
  <c r="I382" i="1"/>
  <c r="H363" i="1"/>
  <c r="J382" i="1"/>
  <c r="I363" i="1"/>
  <c r="F12" i="1" l="1"/>
  <c r="F376" i="1" s="1"/>
  <c r="F382" i="1"/>
  <c r="G382" i="1"/>
  <c r="G378" i="1"/>
  <c r="G370" i="1"/>
  <c r="G59" i="1"/>
  <c r="G67" i="1" s="1"/>
  <c r="G71" i="1" s="1"/>
  <c r="F378" i="1"/>
  <c r="F59" i="1"/>
  <c r="F67" i="1" s="1"/>
  <c r="F71" i="1" s="1"/>
  <c r="F370" i="1"/>
  <c r="F14" i="1"/>
  <c r="F366" i="1"/>
  <c r="G14" i="1"/>
  <c r="G366" i="1"/>
  <c r="F372" i="1" l="1"/>
  <c r="G83" i="1"/>
  <c r="G6" i="1"/>
  <c r="G373" i="1"/>
  <c r="G372" i="1"/>
  <c r="F6" i="1"/>
  <c r="F373" i="1"/>
  <c r="F83" i="1"/>
  <c r="G365" i="1" l="1"/>
  <c r="G371" i="1"/>
  <c r="F371" i="1"/>
  <c r="F365" i="1"/>
</calcChain>
</file>

<file path=xl/sharedStrings.xml><?xml version="1.0" encoding="utf-8"?>
<sst xmlns="http://schemas.openxmlformats.org/spreadsheetml/2006/main" count="1011" uniqueCount="572">
  <si>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</si>
  <si>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</si>
  <si>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</si>
  <si>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</si>
  <si>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</si>
  <si>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</si>
  <si>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</si>
  <si>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</si>
  <si>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</si>
  <si>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</si>
  <si>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</si>
  <si>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</si>
  <si>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</si>
  <si>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</si>
  <si>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</si>
  <si>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</si>
  <si>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</si>
  <si>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</si>
  <si>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</si>
  <si>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</si>
  <si>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</si>
  <si>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</si>
  <si>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</si>
  <si>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</si>
  <si>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</si>
  <si>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</si>
  <si>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</si>
  <si>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</si>
  <si>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</si>
  <si>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</si>
  <si>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</si>
  <si>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</si>
  <si>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</si>
  <si>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</si>
  <si>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</si>
  <si>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</si>
  <si>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</si>
  <si>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</si>
  <si>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</si>
  <si>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</si>
  <si>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</si>
  <si>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</si>
  <si>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</si>
  <si>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</si>
  <si>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</si>
  <si>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</si>
  <si>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</si>
  <si>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</si>
  <si>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</si>
  <si>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</si>
  <si>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</si>
  <si>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</si>
  <si>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</si>
  <si>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</si>
  <si>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</si>
  <si>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</si>
  <si>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</si>
  <si>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</si>
  <si>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</si>
  <si>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</si>
  <si>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</si>
  <si>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</si>
  <si>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</si>
  <si>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</si>
  <si>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</si>
  <si>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</si>
  <si>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</si>
  <si>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</si>
  <si>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</si>
  <si>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</si>
  <si>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</si>
  <si>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</si>
  <si>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</si>
  <si>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</si>
  <si>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</si>
  <si>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</si>
  <si>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</si>
  <si>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</si>
  <si>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</si>
  <si>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</si>
  <si>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</si>
  <si>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</si>
  <si>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</si>
  <si>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</si>
  <si>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</si>
  <si>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</si>
  <si>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</si>
  <si>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</si>
  <si>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</si>
  <si>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</si>
  <si>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</si>
  <si>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</si>
  <si>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</si>
  <si>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</si>
  <si>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</si>
  <si>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</si>
  <si>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</si>
  <si>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</si>
  <si>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</si>
  <si>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</si>
  <si>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</si>
  <si>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</si>
  <si>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</si>
  <si>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</si>
  <si>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</si>
  <si>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</si>
  <si>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</si>
  <si>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</si>
  <si>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</si>
  <si>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</si>
  <si>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</si>
  <si>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</si>
  <si>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</si>
  <si>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</si>
  <si>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</si>
  <si>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</si>
  <si>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</si>
  <si>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</si>
  <si>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</si>
  <si>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</si>
  <si>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</si>
  <si>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</si>
  <si>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</si>
  <si>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</si>
  <si>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</si>
  <si>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</si>
  <si>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</si>
  <si>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</si>
  <si>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</si>
  <si>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</si>
  <si>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</si>
  <si>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</si>
  <si>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</si>
  <si>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</si>
  <si>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</si>
  <si>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</si>
  <si>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</si>
  <si>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</si>
  <si>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</si>
  <si>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</si>
  <si>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</si>
  <si>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</si>
  <si>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</si>
  <si>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</si>
  <si>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</si>
  <si>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</si>
  <si>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</si>
  <si>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</si>
  <si>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</si>
  <si>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</si>
  <si>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</si>
  <si>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</si>
  <si>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</si>
  <si>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</si>
  <si>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</si>
  <si>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</si>
  <si>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</si>
  <si>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</si>
  <si>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</si>
  <si>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</si>
  <si>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</si>
  <si>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</si>
  <si>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</si>
  <si>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</si>
  <si>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</si>
  <si>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</si>
  <si>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</si>
  <si>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</si>
  <si>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</si>
  <si>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</si>
  <si>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</si>
  <si>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</si>
  <si>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</si>
  <si>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</si>
  <si>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</si>
  <si>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</si>
  <si>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</si>
  <si>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</si>
  <si>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</si>
  <si>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</si>
  <si>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</si>
  <si>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</si>
  <si>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</si>
  <si>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</si>
  <si>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</si>
  <si>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</si>
  <si>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</si>
  <si>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</si>
  <si>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</si>
  <si>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</si>
  <si>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</si>
  <si>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</si>
  <si>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</si>
  <si>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</si>
  <si>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</si>
  <si>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</si>
  <si>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</si>
  <si>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</si>
  <si>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</si>
  <si>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</si>
  <si>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</si>
  <si>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</si>
  <si>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</si>
  <si>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</si>
  <si>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</si>
  <si>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</si>
  <si>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</si>
  <si>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</si>
  <si>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</si>
  <si>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</si>
  <si>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</si>
  <si>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</si>
  <si>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</si>
  <si>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</si>
  <si>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</si>
  <si>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</si>
  <si>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</si>
  <si>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</si>
  <si>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</si>
  <si>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</si>
  <si>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</si>
  <si>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</si>
  <si>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</si>
  <si>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</si>
  <si>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</si>
  <si>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</si>
  <si>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</si>
  <si>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</si>
  <si>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</si>
  <si>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</si>
  <si>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</si>
  <si>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</si>
  <si>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</si>
  <si>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</si>
  <si>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</si>
  <si>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</si>
  <si>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</si>
  <si>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</si>
  <si>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</si>
  <si>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</si>
  <si>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</si>
  <si>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</si>
  <si>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</si>
  <si>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</si>
  <si>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</si>
  <si>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</si>
  <si>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</si>
  <si>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</si>
  <si>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</si>
  <si>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</si>
  <si>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</si>
  <si>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</si>
  <si>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</si>
  <si>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</si>
  <si>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</si>
  <si>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</si>
  <si>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</si>
  <si>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</si>
  <si>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</si>
  <si>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</si>
  <si>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</si>
  <si>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</si>
  <si>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</si>
  <si>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</si>
  <si>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</si>
  <si>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</si>
  <si>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</si>
  <si>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</si>
  <si>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</si>
  <si>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</si>
  <si>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</si>
  <si>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</si>
  <si>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</si>
  <si>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</si>
  <si>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</si>
  <si>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</si>
  <si>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</si>
  <si>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</si>
  <si>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</si>
  <si>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</si>
  <si>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</si>
  <si>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</si>
  <si>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</si>
  <si>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</si>
  <si>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</si>
  <si>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</si>
  <si>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</si>
  <si>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</si>
  <si>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</si>
  <si>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</si>
  <si>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</si>
  <si>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</si>
  <si>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</si>
  <si>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</si>
  <si>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</si>
  <si>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</si>
  <si>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</si>
  <si>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</si>
  <si>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</si>
  <si>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</si>
  <si>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</si>
  <si>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</si>
  <si>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</si>
  <si>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</si>
  <si>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</si>
  <si>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</si>
  <si>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</si>
  <si>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</si>
  <si>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</si>
  <si>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</si>
  <si>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</si>
  <si>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</si>
  <si>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</si>
  <si>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</si>
  <si>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</si>
  <si>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</si>
  <si>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</si>
  <si>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</si>
  <si>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</si>
  <si>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</si>
  <si>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</si>
  <si>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</si>
  <si>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</si>
  <si>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</si>
  <si>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</si>
  <si>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</si>
  <si>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</si>
  <si>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</si>
  <si>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</si>
  <si>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</si>
  <si>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</si>
  <si>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</si>
  <si>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</si>
  <si>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</si>
  <si>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</si>
  <si>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</si>
  <si>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</si>
  <si>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</si>
  <si>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</si>
  <si>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</si>
  <si>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</si>
  <si>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</si>
  <si>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</si>
  <si>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</si>
  <si>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</si>
  <si>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</si>
  <si>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</si>
  <si>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</si>
  <si>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</si>
  <si>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</si>
  <si>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</si>
  <si>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</si>
  <si>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</si>
  <si>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</si>
  <si>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</si>
  <si>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</si>
  <si>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</si>
  <si>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</si>
  <si>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</si>
  <si>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</si>
  <si>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</si>
  <si>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</si>
  <si>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</si>
  <si>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</si>
  <si>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</si>
  <si>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</si>
  <si>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</si>
  <si>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</si>
  <si>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</si>
  <si>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</si>
  <si>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</si>
  <si>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</si>
  <si>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</si>
  <si>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</si>
  <si>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SHARE AND PER SHARE DATA)</t>
  </si>
  <si>
    <t>ASSETS</t>
  </si>
  <si>
    <t>Current assets:</t>
  </si>
  <si>
    <t>Cash and cash equivalents</t>
  </si>
  <si>
    <t>Marketable securities</t>
  </si>
  <si>
    <t>Accounts receivable, net</t>
  </si>
  <si>
    <t>Inventories</t>
  </si>
  <si>
    <t>Prepaid and other current assets</t>
  </si>
  <si>
    <t>Prepayments</t>
  </si>
  <si>
    <t>Note receivable</t>
  </si>
  <si>
    <t>Assets held for sale</t>
  </si>
  <si>
    <t>Total current assets</t>
  </si>
  <si>
    <t>Property and equipment, net</t>
  </si>
  <si>
    <t>Property and Equipment</t>
  </si>
  <si>
    <t>Goodwill</t>
  </si>
  <si>
    <t>Intangible assets, net</t>
  </si>
  <si>
    <t>Other Intangibles</t>
  </si>
  <si>
    <t>Deferred tax assets</t>
  </si>
  <si>
    <t>Restricted cash</t>
  </si>
  <si>
    <t>Other long-term assets</t>
  </si>
  <si>
    <t>Assets held for sale, net of current portion</t>
  </si>
  <si>
    <t>Total assets</t>
  </si>
  <si>
    <t>LIABILITIES AND STOCKHOLDERS EQUITY</t>
  </si>
  <si>
    <t>Current liabilities:</t>
  </si>
  <si>
    <t>Accounts payable</t>
  </si>
  <si>
    <t>Accruals</t>
  </si>
  <si>
    <t>Current portion of convertible notes, net</t>
  </si>
  <si>
    <t>Current portion of acquisition-related contingent consideration</t>
  </si>
  <si>
    <t>Liabilities held for sale</t>
  </si>
  <si>
    <t>Total current liabilities</t>
  </si>
  <si>
    <t>Long-term liabilities:</t>
  </si>
  <si>
    <t>Long-term debt, net</t>
  </si>
  <si>
    <t>Convertible notes, net</t>
  </si>
  <si>
    <t>Acquisition-related contingent consideration</t>
  </si>
  <si>
    <t>Other long-term liabilities</t>
  </si>
  <si>
    <t>Liabilities held for sale, net of current portion</t>
  </si>
  <si>
    <t>Total liabilities</t>
  </si>
  <si>
    <t>Commitments and Contingencies (Note P)</t>
  </si>
  <si>
    <t>Stockholders equity:</t>
  </si>
  <si>
    <t>Preferred stock, par value $0.01 per share, 2,000,000 shares authorized; none issued</t>
  </si>
  <si>
    <t>Common stock, par value $0.01 per share, 117,500,000 shares authorized; 34,606,760 and 34,083,112 shares issued and outstanding at December 31, 2018 and December 31, 2017, respectively</t>
  </si>
  <si>
    <t>Additional paid-in capital</t>
  </si>
  <si>
    <t>Accumulated other comprehensive loss</t>
  </si>
  <si>
    <t>Accumulated deficit</t>
  </si>
  <si>
    <t>Total stockholders equity</t>
  </si>
  <si>
    <t>Total liabilities and stockholders equity</t>
  </si>
  <si>
    <t>Revenues:</t>
  </si>
  <si>
    <t>Revenue</t>
  </si>
  <si>
    <t>Product sales, net</t>
  </si>
  <si>
    <t>Other revenues</t>
  </si>
  <si>
    <t>Other Income - net</t>
  </si>
  <si>
    <t>Total revenues</t>
  </si>
  <si>
    <t>Costs and expenses:</t>
  </si>
  <si>
    <t>Cost of product sales</t>
  </si>
  <si>
    <t>Research and development expenses</t>
  </si>
  <si>
    <t>Acquired in-process research and development</t>
  </si>
  <si>
    <t>Selling, general and administrative expenses</t>
  </si>
  <si>
    <t>Impairment of intangible assets</t>
  </si>
  <si>
    <t>Restructuring expenses</t>
  </si>
  <si>
    <t>Total costs and expenses</t>
  </si>
  <si>
    <t>Operating (loss) income</t>
  </si>
  <si>
    <t>Operating Profit</t>
  </si>
  <si>
    <t>Other income (expense):</t>
  </si>
  <si>
    <t>Interest expense</t>
  </si>
  <si>
    <t>Loss on debt extinguishment</t>
  </si>
  <si>
    <t>Interest and dividend income</t>
  </si>
  <si>
    <t>Other (expense) income</t>
  </si>
  <si>
    <t>Total other expense, net</t>
  </si>
  <si>
    <t>Other Income - Net profit (loss)</t>
  </si>
  <si>
    <t>(Loss) income from continuing operations before income taxes</t>
  </si>
  <si>
    <t>Profit before Zakat and Income tax</t>
  </si>
  <si>
    <t>Income tax expense (benefit)</t>
  </si>
  <si>
    <t>Net (loss) income from continuing operations</t>
  </si>
  <si>
    <t>Discontinued operations:</t>
  </si>
  <si>
    <t>Income (loss) from discontinued operations</t>
  </si>
  <si>
    <t>Gain on sale of CBR business</t>
  </si>
  <si>
    <t>Net income (loss) from discontinued operations</t>
  </si>
  <si>
    <t>Net loss</t>
  </si>
  <si>
    <t>Basic net (loss) income per share:</t>
  </si>
  <si>
    <t>(Loss) income from continuing operations</t>
  </si>
  <si>
    <t>Total</t>
  </si>
  <si>
    <t>Diluted net (loss) income per share:</t>
  </si>
  <si>
    <t>Weighted average shares outstanding used to compute net (loss) income per share:</t>
  </si>
  <si>
    <t>Basic</t>
  </si>
  <si>
    <t>Diluted</t>
  </si>
  <si>
    <t>Table of Contents</t>
  </si>
  <si>
    <t>AMAG PHARMACEUTICALS, INC</t>
  </si>
  <si>
    <t>(IN THOUSANDS)</t>
  </si>
  <si>
    <t>Other comprehensive (loss) income</t>
  </si>
  <si>
    <t>Total Other Comprehensive Income</t>
  </si>
  <si>
    <t>Unrealized (losses) gains on marketable securities:</t>
  </si>
  <si>
    <t>Holding (losses) gains arising during period, net of tax</t>
  </si>
  <si>
    <t>Reclassification adjustment for gains (losses) included in net (loss) income, net of tax</t>
  </si>
  <si>
    <t>Net unrealized (losses) gains on securities</t>
  </si>
  <si>
    <t>$Total comprehensive loss</t>
  </si>
  <si>
    <t>Total Comprehensive Loss</t>
  </si>
  <si>
    <t>Total Comprehensive Income</t>
  </si>
  <si>
    <t>Cash flows from operating activities:</t>
  </si>
  <si>
    <t>Operating Activities</t>
  </si>
  <si>
    <t>Adjustments to reconcile net loss to net cash provided by operating activities:</t>
  </si>
  <si>
    <t>Depreciation and amortization</t>
  </si>
  <si>
    <t>Provision for bad debt expense</t>
  </si>
  <si>
    <t>Amortization of premium/discount on purchased securities</t>
  </si>
  <si>
    <t>(Gain) loss on disposal of fixed assets</t>
  </si>
  <si>
    <t>Non-cash equity-based compensation expense</t>
  </si>
  <si>
    <t>Non-cash IPR&amp;D expense</t>
  </si>
  <si>
    <t>Amortization of debt discount and debt issuance costs</t>
  </si>
  <si>
    <t>(Gain) loss on sale of investments, net</t>
  </si>
  <si>
    <t>Change in fair value of contingent consideration</t>
  </si>
  <si>
    <t>Deferred income taxes</t>
  </si>
  <si>
    <t>Gain on sale of the CBR business</t>
  </si>
  <si>
    <t>Transaction costs</t>
  </si>
  <si>
    <t>Finance Costs</t>
  </si>
  <si>
    <t>Changes in operating assets and liabilities:</t>
  </si>
  <si>
    <t>Receivable from collaboration</t>
  </si>
  <si>
    <t xml:space="preserve">Adjustments for Prepayments and other receivables </t>
  </si>
  <si>
    <t>Accounts payable and accrued expenses</t>
  </si>
  <si>
    <t>Deferred revenues</t>
  </si>
  <si>
    <t>Payment of contingent consideration in excess of acquisition date fair value</t>
  </si>
  <si>
    <t>Other assets and liabilities</t>
  </si>
  <si>
    <t>Net cash provided by operating activities</t>
  </si>
  <si>
    <t>Cash flows from investing activities:</t>
  </si>
  <si>
    <t>Investing Activities</t>
  </si>
  <si>
    <t>Proceeds from sales or maturities of marketable securities</t>
  </si>
  <si>
    <t>Purchase of marketable securities</t>
  </si>
  <si>
    <t>Acquisition of Intrarosa intangible asset</t>
  </si>
  <si>
    <t>Proceeds from the sale of the CBR business</t>
  </si>
  <si>
    <t>Financing Activities</t>
  </si>
  <si>
    <t>Capital expenditures</t>
  </si>
  <si>
    <t>Cash flows from financing activities:</t>
  </si>
  <si>
    <t>Long-term debt principal payments</t>
  </si>
  <si>
    <t>Proceeds from 2022 Convertible Notes</t>
  </si>
  <si>
    <t>Payments to repurchase 2019 Convertible Notes</t>
  </si>
  <si>
    <t>Payment of premium on debt extinguishment</t>
  </si>
  <si>
    <t>Proceeds to settle warrants</t>
  </si>
  <si>
    <t>Payment of convertible debt issuance costs</t>
  </si>
  <si>
    <t>Payment of contingent consideration</t>
  </si>
  <si>
    <t>Payments for repurchases of common stock</t>
  </si>
  <si>
    <t>Proceeds from the exercise of common stock options</t>
  </si>
  <si>
    <t>Payments of employee tax withholding related to equity-based compensation</t>
  </si>
  <si>
    <t>Net cash used in financing activities</t>
  </si>
  <si>
    <t>Net increase (decrease) in cash, cash equivalents and restricted cash</t>
  </si>
  <si>
    <t>Net increase (decrease) in cash and cash equivalents</t>
  </si>
  <si>
    <t>Cash, cash equivalents and restricted cash at beginning of the year</t>
  </si>
  <si>
    <t>Cash and cash equivalents at beginning of period</t>
  </si>
  <si>
    <t>Cash, cash equivalents and restricted cash at end of the year</t>
  </si>
  <si>
    <t>Supplemental data of cash flow information:</t>
  </si>
  <si>
    <t>Cash paid for taxes</t>
  </si>
  <si>
    <t>Cash paid for interest</t>
  </si>
  <si>
    <t>Non-cash investing and financing activities:</t>
  </si>
  <si>
    <t>Fair value of common stock issued in connection with the acquisition of the Intrarosa intangible asset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</si>
  <si>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</si>
  <si>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</si>
  <si>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</si>
  <si>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</si>
  <si>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changed value</t>
  </si>
  <si>
    <t>turnover</t>
  </si>
  <si>
    <t>product sales, net</t>
  </si>
  <si>
    <t>other revenues</t>
  </si>
  <si>
    <t>deleted value</t>
  </si>
  <si>
    <t>research and development</t>
  </si>
  <si>
    <t>research and development expenses</t>
  </si>
  <si>
    <t>acquired in-process research and development</t>
  </si>
  <si>
    <t>other income (expenses)</t>
  </si>
  <si>
    <t>other (expense) income</t>
  </si>
  <si>
    <t>deleted value and added another one</t>
  </si>
  <si>
    <t>changed sign</t>
  </si>
  <si>
    <t>unrealized gain or loss</t>
  </si>
  <si>
    <t>loss on debt extinguishment</t>
  </si>
  <si>
    <t>interest expense</t>
  </si>
  <si>
    <t>wrong value, changed</t>
  </si>
  <si>
    <t>current taxation</t>
  </si>
  <si>
    <t>income tax expense (benefit)</t>
  </si>
  <si>
    <t>computer equipment and software</t>
  </si>
  <si>
    <t>furniture and fixtures</t>
  </si>
  <si>
    <t>leasehold improvements</t>
  </si>
  <si>
    <t>laboratory improvements</t>
  </si>
  <si>
    <t>laboratory and production equipment</t>
  </si>
  <si>
    <t>construction in progress</t>
  </si>
  <si>
    <t>less: accumulated depreciation</t>
  </si>
  <si>
    <t>property, plant and equipment</t>
  </si>
  <si>
    <t>leased assets</t>
  </si>
  <si>
    <t>accumulated depreciation and amortisation</t>
  </si>
  <si>
    <t>added value</t>
  </si>
  <si>
    <t>marketable investments</t>
  </si>
  <si>
    <t>marketable securities</t>
  </si>
  <si>
    <t>prepaid expenses</t>
  </si>
  <si>
    <t>prepaid and other current assets</t>
  </si>
  <si>
    <t>accounts receivable and prepayments</t>
  </si>
  <si>
    <t>accounts receivable, net</t>
  </si>
  <si>
    <t>note receivable</t>
  </si>
  <si>
    <t>other operating current assets</t>
  </si>
  <si>
    <t>assets held for sale</t>
  </si>
  <si>
    <t>assets held for sale, net of current portion</t>
  </si>
  <si>
    <t>notes payable</t>
  </si>
  <si>
    <t>current portion of convertible notes, net</t>
  </si>
  <si>
    <t>current portion of acquisition-related contingent consideration</t>
  </si>
  <si>
    <t>liabilities held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</si>
</sst>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/>
    <xf numFmtId="3" fontId="4" fillId="0" borderId="0" xfId="2" applyFill="1"/>
    <xf numFmtId="3" fontId="0" fillId="12" borderId="0" xfId="0" applyFill="1"/>
    <xf numFmtId="3" fontId="0" fillId="13" borderId="0" xfId="0" applyFill="1"/>
    <xf numFmtId="3" fontId="4" fillId="0" borderId="0" xfId="2" applyFill="1" applyAlignment="1">
      <alignment horizontal="left" vertical="center" wrapText="1"/>
    </xf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98-467C-A1B4-A17EA06C4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A3-4232-B3A5-D78FFB65B0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4A-49AD-9AD9-C21EFF61D7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7B9-491F-9385-46C3EF86A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D2-454B-A32D-DAEDCFBDA3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8-4322-8BF5-E829E42909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1E-4F78-851F-E141B23077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EA-4DB6-A9C0-373FFEA7E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F7-4297-87C8-E31AC7748F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E4-4777-A57C-51459496BF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DF-4FBE-B0FC-F5B72933FE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8E-49C8-B89D-B67E6CECB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D5-43E0-84A8-D4B6262261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5C-4228-B7BB-66398B0D19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ED-4ACF-A9C3-943C7896B5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-169339</v>
      </c>
      <c r="G6" s="7">
        <f t="shared" ref="G6:O6" si="1">IF(G4=$BF$1,"",G71)</f>
        <v>-205153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650289</v>
      </c>
      <c r="G7" s="7">
        <f t="shared" ref="G7:O7" si="2">IF(G4=$BF$1,"",G128)</f>
        <v>1418488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525170</v>
      </c>
      <c r="G8" s="7">
        <f t="shared" ref="G8:O8" si="3">IF(G4=$BF$1,"",G161)</f>
        <v>481868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165444</v>
      </c>
      <c r="G9" s="7">
        <f t="shared" ref="G9:O9" si="4">IF(G4=$BF$1,"",G189)</f>
        <v>277718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263360</v>
      </c>
      <c r="G10" s="7">
        <f t="shared" ref="G10:O10" si="5">IF(G4=$BF$1,"",G210)</f>
        <v>832394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746655</v>
      </c>
      <c r="G11" s="7">
        <f t="shared" ref="G11:O11" si="6">IF(G4=$BF$1,"",G227)</f>
        <v>790244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1175459</v>
      </c>
      <c r="G12" s="35">
        <f t="shared" ref="G12:O12" si="7">IF(G4=$BF$1,"",SUM(G7:G8))</f>
        <v>1900356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1175459</v>
      </c>
      <c r="G13" s="35">
        <f t="shared" ref="G13:O13" si="8">IF(G4=$BF$1,"",SUM(G9:G11))</f>
        <v>1900356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473852+150</f>
        <v>474002</v>
      </c>
      <c r="G24">
        <f>495645+124</f>
        <v>495769</v>
      </c>
      <c r="P24" s="47" t="s">
        <v>529</v>
      </c>
    </row>
    <row r="25" spans="5:16">
      <c r="E25" s="1" t="s">
        <v>27</v>
      </c>
      <c r="F25">
        <v>215892</v>
      </c>
      <c r="G25">
        <v>161349</v>
      </c>
      <c r="H25">
        <v>96655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258110</v>
      </c>
      <c r="G30" s="7">
        <f>IF(G4=$BF$1,"",G24-G25+ABS(G26)-G27-G28-G29)</f>
        <v>334420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7" t="s">
        <v>533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227810</v>
      </c>
      <c r="G34">
        <v>178151</v>
      </c>
      <c r="H34">
        <v>169468</v>
      </c>
    </row>
    <row r="35" spans="5:16">
      <c r="E35" s="1" t="s">
        <v>37</v>
      </c>
      <c r="F35">
        <f>44846+32500</f>
        <v>77346</v>
      </c>
      <c r="G35">
        <f>75017+65845</f>
        <v>140862</v>
      </c>
      <c r="H35">
        <v>65561</v>
      </c>
      <c r="P35" s="47" t="s">
        <v>529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>
        <v>0</v>
      </c>
      <c r="G42">
        <v>319246</v>
      </c>
      <c r="H42">
        <v>15724</v>
      </c>
    </row>
    <row r="43" spans="5:16">
      <c r="E43" s="6" t="s">
        <v>45</v>
      </c>
      <c r="F43" s="7">
        <f>F32+F33+F34+F35+F36+F37+F38+F39+F40+F41+F42</f>
        <v>305156</v>
      </c>
      <c r="G43" s="7">
        <f>G32+G33+G34+G35+G36+G37+G38+G39+G40+G41+G42</f>
        <v>638259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-47046</v>
      </c>
      <c r="G44" s="7">
        <f>IF(G4=$BF$1,"",G30+G31-G43)</f>
        <v>-303839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  <c r="F46">
        <f>-35922</f>
        <v>-35922</v>
      </c>
      <c r="G46">
        <v>-10926</v>
      </c>
      <c r="P46" s="47" t="s">
        <v>539</v>
      </c>
    </row>
    <row r="47" spans="5:16">
      <c r="E47" s="1" t="s">
        <v>49</v>
      </c>
    </row>
    <row r="48" spans="5:16">
      <c r="E48" s="1" t="s">
        <v>50</v>
      </c>
      <c r="F48">
        <v>5328</v>
      </c>
      <c r="G48">
        <v>2810</v>
      </c>
      <c r="H48">
        <v>3149</v>
      </c>
    </row>
    <row r="49" spans="5:16">
      <c r="E49" s="1" t="s">
        <v>51</v>
      </c>
      <c r="F49">
        <v>51971</v>
      </c>
      <c r="G49">
        <v>68382</v>
      </c>
      <c r="H49">
        <v>-73153</v>
      </c>
      <c r="P49" s="47" t="s">
        <v>540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-74</v>
      </c>
      <c r="G54">
        <v>-70</v>
      </c>
      <c r="P54" s="47" t="s">
        <v>529</v>
      </c>
    </row>
    <row r="55" spans="5:16">
      <c r="E55" s="1" t="s">
        <v>57</v>
      </c>
    </row>
    <row r="56" spans="5:16">
      <c r="E56" s="1" t="s">
        <v>58</v>
      </c>
      <c r="F56"/>
      <c r="G56"/>
      <c r="P56" s="47" t="s">
        <v>533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-129685</v>
      </c>
      <c r="G59" s="7">
        <f>IF(G4=$BF$1,"",G44+G45+G46+G47+G48-G49-G50-G51+G52-G53+G54+G55-G56+G57+G58)</f>
        <v>-380407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f>39654</f>
        <v>39654</v>
      </c>
      <c r="G60">
        <f>-175254</f>
        <v>-175254</v>
      </c>
      <c r="P60" s="47" t="s">
        <v>544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-169339</v>
      </c>
      <c r="G67" s="7">
        <f>IF(G4=$BF$1,"",SUM(G59,-G60,-ABS(G61),-G62,-G66))</f>
        <v>-205153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-169339</v>
      </c>
      <c r="G71" s="7">
        <f t="shared" ref="G71:O71" si="14">IF(G4=$BF$1,"",SUM(G67:G70))</f>
        <v>-205153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>
        <v>0</v>
      </c>
      <c r="G75">
        <v>0</v>
      </c>
      <c r="H75">
        <v>0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-169339</v>
      </c>
      <c r="G83" s="7">
        <f t="shared" ref="G83:O83" si="15">IF(G4=$BF$1,"",SUM(G71:G82))</f>
        <v>-205153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420</v>
      </c>
      <c r="G90" s="38">
        <v>5068</v>
      </c>
      <c r="P90" s="47" t="s">
        <v>557</v>
      </c>
    </row>
    <row r="91" spans="5:16">
      <c r="E91" s="1" t="s">
        <v>83</v>
      </c>
    </row>
    <row r="92" spans="5:16">
      <c r="E92" s="12" t="s">
        <v>84</v>
      </c>
      <c r="F92">
        <f>1637+1737+6000</f>
        <v>9374</v>
      </c>
      <c r="G92">
        <f>1401+1442+654</f>
        <v>3497</v>
      </c>
      <c r="P92" s="47" t="s">
        <v>557</v>
      </c>
    </row>
    <row r="93" spans="5:16">
      <c r="E93" s="1" t="s">
        <v>85</v>
      </c>
    </row>
    <row r="94" spans="5:16">
      <c r="E94" s="1" t="s">
        <v>86</v>
      </c>
      <c r="F94" s="38">
        <v>2938</v>
      </c>
      <c r="G94" s="38">
        <v>2938</v>
      </c>
      <c r="P94" s="47" t="s">
        <v>557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12732</v>
      </c>
      <c r="G98" s="7">
        <f>IF(G4=$BF$1,"",G89+G90+G91+G92+G93+G94+G95+G96)</f>
        <v>11503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-5211</v>
      </c>
      <c r="G99" s="38">
        <v>-3599</v>
      </c>
      <c r="P99" s="47" t="s">
        <v>557</v>
      </c>
    </row>
    <row r="100" spans="5:16">
      <c r="E100" s="6" t="s">
        <v>90</v>
      </c>
      <c r="F100" s="7">
        <f>F98+F99</f>
        <v>7521</v>
      </c>
      <c r="G100" s="7">
        <f t="shared" ref="G100:O100" si="17">IF(G4=$BF$1,"",G98+G99)</f>
        <v>7904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  <c r="F101">
        <v>422513</v>
      </c>
      <c r="G101">
        <v>422513</v>
      </c>
    </row>
    <row r="102" spans="5:16">
      <c r="E102" s="1" t="s">
        <v>92</v>
      </c>
      <c r="F102">
        <v>217033</v>
      </c>
      <c r="G102">
        <v>375479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639546</v>
      </c>
      <c r="G104" s="7">
        <f t="shared" ref="G104:O104" si="18">IF(G4=$BF$1,"",G101+G102+G103)</f>
        <v>797992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>
        <v>1467</v>
      </c>
      <c r="G108">
        <v>266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1260</v>
      </c>
      <c r="G111">
        <v>47120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G125" s="38">
        <v>564711</v>
      </c>
      <c r="P125" s="47" t="s">
        <v>557</v>
      </c>
    </row>
    <row r="126" spans="5:16">
      <c r="E126" s="1" t="s">
        <v>113</v>
      </c>
      <c r="F126">
        <v>495</v>
      </c>
      <c r="G126">
        <v>495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650289</v>
      </c>
      <c r="G128" s="7">
        <f t="shared" ref="G128:O128" si="19">IF(G4=$BF$1,"",G100+SUM(G104:G126))</f>
        <v>1418488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253256</v>
      </c>
      <c r="G130">
        <v>162855</v>
      </c>
    </row>
    <row r="131" spans="5:16">
      <c r="E131" s="1" t="s">
        <v>118</v>
      </c>
      <c r="F131" s="38">
        <v>140915</v>
      </c>
      <c r="G131" s="38">
        <v>136593</v>
      </c>
      <c r="P131" s="47" t="s">
        <v>557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394171</v>
      </c>
      <c r="G140" s="7">
        <f t="shared" ref="G140:O140" si="20">IF(G4=$BF$1,"",G130+G131+G132+G133+G134+G135+G136+G139)</f>
        <v>299448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26691</v>
      </c>
      <c r="G144">
        <v>34443</v>
      </c>
    </row>
    <row r="145" spans="5:16">
      <c r="E145" s="6" t="s">
        <v>127</v>
      </c>
      <c r="F145" s="7">
        <f>F141+F142+F143+F144</f>
        <v>26691</v>
      </c>
      <c r="G145" s="7">
        <f t="shared" ref="G145:O145" si="21">IF(G4=$BF$1,"",G141+G142+G143+G144)</f>
        <v>34443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 s="38">
        <v>18961</v>
      </c>
      <c r="G154" s="38">
        <v>11009</v>
      </c>
      <c r="P154" s="47" t="s">
        <v>557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f>75347+10000</f>
        <v>85347</v>
      </c>
      <c r="G157">
        <v>91460</v>
      </c>
      <c r="P157" s="47" t="s">
        <v>529</v>
      </c>
    </row>
    <row r="158" spans="5:16">
      <c r="E158" s="1" t="s">
        <v>138</v>
      </c>
      <c r="G158" s="38">
        <v>45508</v>
      </c>
      <c r="P158" s="47" t="s">
        <v>557</v>
      </c>
    </row>
    <row r="159" spans="5:16">
      <c r="E159" s="1" t="s">
        <v>139</v>
      </c>
      <c r="F159"/>
      <c r="G159"/>
      <c r="P159" s="47" t="s">
        <v>533</v>
      </c>
    </row>
    <row r="160" spans="5:16">
      <c r="E160" s="6" t="s">
        <v>140</v>
      </c>
      <c r="F160" s="7">
        <f>F146+F147+F148+F149+F150+F151+F152+F153+F154+F155+F156+F157+F158+F159</f>
        <v>104308</v>
      </c>
      <c r="G160" s="7">
        <f>IF(G4=$BF$1,"",G146+G147+G148+G149+G150+G151+G152+G153+G154+G155+G156+G157+G158+G159)</f>
        <v>147977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525170</v>
      </c>
      <c r="G161" s="7">
        <f t="shared" ref="G161:O161" si="22">IF(G4=$BF$1,"",G140+G145+G160)</f>
        <v>481868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 s="38">
        <v>21276</v>
      </c>
      <c r="P171" s="47" t="s">
        <v>557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129537</v>
      </c>
      <c r="G184">
        <v>166732</v>
      </c>
    </row>
    <row r="185" spans="5:16">
      <c r="E185" s="12" t="s">
        <v>162</v>
      </c>
    </row>
    <row r="187" spans="5:16">
      <c r="E187" s="1" t="s">
        <v>163</v>
      </c>
      <c r="F187">
        <v>14487</v>
      </c>
      <c r="G187">
        <v>7717</v>
      </c>
    </row>
    <row r="188" spans="5:16">
      <c r="E188" s="1" t="s">
        <v>164</v>
      </c>
      <c r="F188">
        <v>144</v>
      </c>
      <c r="G188">
        <f>49399+53870</f>
        <v>103269</v>
      </c>
      <c r="P188" s="47" t="s">
        <v>529</v>
      </c>
    </row>
    <row r="189" spans="5:16">
      <c r="E189" s="6" t="s">
        <v>13</v>
      </c>
      <c r="F189" s="7">
        <f>SUM(F163:F188)</f>
        <v>165444</v>
      </c>
      <c r="G189" s="7">
        <f t="shared" ref="G189:O189" si="23">IF(G4=$BF$1,"",SUM(G163:G188))</f>
        <v>277718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  <c r="F193">
        <v>261933</v>
      </c>
      <c r="G193">
        <v>830504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1427</v>
      </c>
      <c r="G209">
        <v>1890</v>
      </c>
    </row>
    <row r="210" spans="5:16">
      <c r="E210" s="6" t="s">
        <v>14</v>
      </c>
      <c r="F210" s="7">
        <f>SUM(F191:F209)</f>
        <v>263360</v>
      </c>
      <c r="G210" s="7">
        <f t="shared" ref="G210:O210" si="24">IF(G4=$BF$1,"",SUM(G191:G209))</f>
        <v>832394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1293082</v>
      </c>
      <c r="G212">
        <v>1271969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-542442</v>
      </c>
      <c r="G217">
        <v>-477817</v>
      </c>
    </row>
    <row r="218" spans="5:16">
      <c r="E218" s="1" t="s">
        <v>188</v>
      </c>
    </row>
    <row r="219" spans="5:16">
      <c r="E219" s="1" t="s">
        <v>189</v>
      </c>
      <c r="F219">
        <v>-3985</v>
      </c>
      <c r="G219">
        <v>-3908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746655</v>
      </c>
      <c r="G227" s="7">
        <f t="shared" ref="G227:O227" si="25">IF(G4=$BF$1,"",SUM(G212:G226))</f>
        <v>790244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-65761</v>
      </c>
      <c r="G267">
        <v>-199228</v>
      </c>
      <c r="H267">
        <v>-2483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172223</v>
      </c>
      <c r="G271">
        <v>155538</v>
      </c>
      <c r="H271">
        <v>99886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15745</v>
      </c>
      <c r="G275">
        <v>333943</v>
      </c>
      <c r="H275">
        <v>32392</v>
      </c>
    </row>
    <row r="276" spans="5:8">
      <c r="E276" s="1" t="s">
        <v>241</v>
      </c>
      <c r="F276">
        <v>-13685</v>
      </c>
      <c r="G276">
        <v>-36760</v>
      </c>
      <c r="H276">
        <v>25683</v>
      </c>
    </row>
    <row r="277" spans="5:8" ht="25.5" customHeight="1">
      <c r="E277" s="1" t="s">
        <v>242</v>
      </c>
    </row>
    <row r="278" spans="5:8">
      <c r="E278" s="1" t="s">
        <v>243</v>
      </c>
      <c r="F278">
        <v>0</v>
      </c>
      <c r="G278">
        <v>945</v>
      </c>
      <c r="H278">
        <v>0</v>
      </c>
    </row>
    <row r="279" spans="5:8">
      <c r="E279" s="1" t="s">
        <v>244</v>
      </c>
      <c r="F279">
        <v>-100</v>
      </c>
      <c r="G279">
        <v>335</v>
      </c>
      <c r="H279">
        <v>38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19916</v>
      </c>
      <c r="G285">
        <v>23664</v>
      </c>
      <c r="H285">
        <v>22543</v>
      </c>
    </row>
    <row r="286" spans="5:8" ht="25.5" customHeight="1">
      <c r="E286" s="1" t="s">
        <v>249</v>
      </c>
    </row>
    <row r="287" spans="5:8">
      <c r="E287" s="1" t="s">
        <v>250</v>
      </c>
      <c r="F287">
        <v>678</v>
      </c>
      <c r="G287">
        <v>3852</v>
      </c>
      <c r="H287">
        <v>3209</v>
      </c>
    </row>
    <row r="288" spans="5:8">
      <c r="E288" s="1" t="s">
        <v>251</v>
      </c>
      <c r="F288">
        <v>95</v>
      </c>
      <c r="G288">
        <v>-1223</v>
      </c>
      <c r="H288">
        <v>-30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194872</v>
      </c>
      <c r="G296" s="7">
        <f>IF(G4=$BF$1,"",G271+G272+G273+G274+G275+G276+G277+G278+G279+G280+G281+G282+G283+G284+G285+G286+G287+G288+G289+G290+G291+G292+G293+G294+G295)</f>
        <v>480294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129111</v>
      </c>
      <c r="G297" s="7">
        <f t="shared" ref="G297:O297" si="27">IF(G4=$BF$1,"",MIN(F267,F268,F269)+F296)</f>
        <v>129111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4722</v>
      </c>
      <c r="G299">
        <v>-2331</v>
      </c>
      <c r="H299">
        <v>-2355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-6097</v>
      </c>
      <c r="G302">
        <v>-2222</v>
      </c>
      <c r="H302">
        <v>4095</v>
      </c>
    </row>
    <row r="303" spans="5:15">
      <c r="E303" s="1" t="s">
        <v>265</v>
      </c>
      <c r="F303">
        <v>16995</v>
      </c>
      <c r="G303">
        <v>-14978</v>
      </c>
      <c r="H303">
        <v>-9906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49824</v>
      </c>
      <c r="G309">
        <v>-161341</v>
      </c>
      <c r="H309">
        <v>31801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-32568</v>
      </c>
      <c r="G313">
        <v>16834</v>
      </c>
      <c r="H313">
        <v>49037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0</v>
      </c>
      <c r="G316">
        <v>0</v>
      </c>
      <c r="H316">
        <v>428</v>
      </c>
    </row>
    <row r="317" spans="5:15">
      <c r="E317" s="1" t="s">
        <v>277</v>
      </c>
      <c r="F317">
        <v>-119</v>
      </c>
      <c r="G317">
        <v>-50225</v>
      </c>
      <c r="H317">
        <v>-100246</v>
      </c>
    </row>
    <row r="318" spans="5:15">
      <c r="E318" s="6" t="s">
        <v>278</v>
      </c>
      <c r="F318" s="7">
        <f>F299+F300+F301+F302+F303+F304+F305+F306+F307+F308+F309+F310+F311+F312+F313+F314+F315+F316+F317</f>
        <v>32757</v>
      </c>
      <c r="G318" s="7">
        <f>IF(G4=$BF$1,"",G299+G300+G301+G302+G303+G304+G305+G306+G307+G308+G309+G310+G311+G312+G313+G314+G315+G316+G317)</f>
        <v>-214263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161868</v>
      </c>
      <c r="G319" s="7">
        <f t="shared" ref="G319:O319" si="28">IF(G4=$BF$1,"",G297+G318)</f>
        <v>-85152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161868</v>
      </c>
      <c r="G326" s="7">
        <f t="shared" ref="G326:O326" si="30">IF(G4=$BF$1,"",G325+G319)</f>
        <v>-85152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-2534</v>
      </c>
      <c r="G328">
        <v>-8988</v>
      </c>
      <c r="H328">
        <v>-5460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-89956</v>
      </c>
      <c r="G331">
        <v>-127249</v>
      </c>
      <c r="H331">
        <v>-194723</v>
      </c>
    </row>
    <row r="332" spans="5:15">
      <c r="E332" s="12" t="s">
        <v>291</v>
      </c>
      <c r="F332">
        <v>85342</v>
      </c>
      <c r="G332">
        <v>294957</v>
      </c>
      <c r="H332">
        <v>127479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-7148</v>
      </c>
      <c r="G337" s="7">
        <f>IF(G4=$BF$1,"",SUM(G328:G336))</f>
        <v>158720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523184</v>
      </c>
      <c r="G339">
        <v>3021</v>
      </c>
      <c r="H339">
        <v>3885</v>
      </c>
    </row>
    <row r="340" spans="5:15">
      <c r="E340" s="1" t="s">
        <v>299</v>
      </c>
      <c r="F340">
        <v>0</v>
      </c>
      <c r="G340">
        <v>320000</v>
      </c>
      <c r="H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-475000</v>
      </c>
      <c r="G343">
        <v>-353125</v>
      </c>
      <c r="H343">
        <v>-17502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-29019</v>
      </c>
      <c r="H349">
        <v>-20000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48184</v>
      </c>
      <c r="G352" s="7">
        <f>IF(G4=$BF$1,"",SUM(G339:G351))</f>
        <v>-59123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202904</v>
      </c>
      <c r="G353" s="7">
        <f t="shared" ref="G353:O353" si="33">IF(G4=$BF$1,"",G326+G337+G352)</f>
        <v>14445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202904</v>
      </c>
      <c r="G355" s="7">
        <f t="shared" ref="G355:O355" si="34">IF(G4=$BF$1,"",G353+G354)</f>
        <v>14445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192770</v>
      </c>
      <c r="G356">
        <v>276898</v>
      </c>
      <c r="H356">
        <v>231298</v>
      </c>
    </row>
    <row r="357" spans="5:15">
      <c r="E357" s="6" t="s">
        <v>316</v>
      </c>
      <c r="F357" s="7">
        <f>F355+F356</f>
        <v>395674</v>
      </c>
      <c r="G357" s="7">
        <f t="shared" ref="G357:O357" si="35">IF(G4=$BF$1,"",G355+G356)</f>
        <v>291343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-4.3905528582868232E-2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-0.17457214859153899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-0.38145326454622186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0.54453356736891401</v>
      </c>
      <c r="G369" s="27">
        <f t="shared" si="41"/>
        <v>0.67454802539085745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-9.9252745769005196E-2</v>
      </c>
      <c r="G370" s="27">
        <f t="shared" si="42"/>
        <v>-0.61286405563881563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-0.3572537668617432</v>
      </c>
      <c r="G371" s="28">
        <f t="shared" si="43"/>
        <v>-0.41380764025181083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-0.14406202172938401</v>
      </c>
      <c r="G372" s="27">
        <f t="shared" si="44"/>
        <v>-0.10795503579329346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-0.2267968472721672</v>
      </c>
      <c r="G373" s="27">
        <f t="shared" si="45"/>
        <v>-0.25960715930775813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0.36479707076129408</v>
      </c>
      <c r="G376" s="30">
        <f t="shared" si="47"/>
        <v>0.58416002054351923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0.57430004486677244</v>
      </c>
      <c r="G377" s="30">
        <f t="shared" si="48"/>
        <v>1.4047711845961501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-0.9052356121683246</v>
      </c>
      <c r="G378" s="30">
        <f t="shared" si="49"/>
        <v>-4.443259922201749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3.1743067140543024</v>
      </c>
      <c r="G382" s="32">
        <f t="shared" si="51"/>
        <v>1.7350981931311618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3.0129772007446629</v>
      </c>
      <c r="G383" s="32">
        <f t="shared" si="52"/>
        <v>1.6110767037066376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2.3825040497086629</v>
      </c>
      <c r="G384" s="32">
        <f t="shared" si="53"/>
        <v>1.0782448382891998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0.97838543555523316</v>
      </c>
      <c r="G385" s="32">
        <f t="shared" si="54"/>
        <v>-0.30661318315701541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253256</v>
      </c>
      <c r="G418" s="17">
        <f>G130-G417</f>
        <v>162855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525</v>
      </c>
      <c r="B1" s="39" t="s">
        <v>526</v>
      </c>
      <c r="C1" s="39" t="s">
        <v>527</v>
      </c>
      <c r="D1" s="39"/>
    </row>
    <row r="2" spans="1:4">
      <c r="A2" t="s">
        <v>531</v>
      </c>
      <c r="B2" s="41" t="s">
        <v>530</v>
      </c>
      <c r="C2" s="39" t="s">
        <v>528</v>
      </c>
      <c r="D2" s="39"/>
    </row>
    <row r="3" spans="1:4">
      <c r="A3" t="s">
        <v>532</v>
      </c>
      <c r="B3" s="41" t="s">
        <v>530</v>
      </c>
      <c r="C3" s="39" t="s">
        <v>528</v>
      </c>
    </row>
    <row r="4" spans="1:4">
      <c r="A4" t="s">
        <v>535</v>
      </c>
      <c r="B4" s="41" t="s">
        <v>534</v>
      </c>
      <c r="C4" s="39" t="s">
        <v>528</v>
      </c>
    </row>
    <row r="5" spans="1:4">
      <c r="A5" t="s">
        <v>536</v>
      </c>
      <c r="B5" s="41" t="s">
        <v>534</v>
      </c>
      <c r="C5" s="39" t="s">
        <v>528</v>
      </c>
    </row>
    <row r="6" spans="1:4">
      <c r="A6" t="s">
        <v>538</v>
      </c>
      <c r="B6" s="42" t="s">
        <v>537</v>
      </c>
      <c r="C6" s="39" t="s">
        <v>528</v>
      </c>
    </row>
    <row r="7" spans="1:4">
      <c r="A7" t="s">
        <v>542</v>
      </c>
      <c r="B7" s="41" t="s">
        <v>541</v>
      </c>
      <c r="C7" s="39" t="s">
        <v>528</v>
      </c>
    </row>
    <row r="8" spans="1:4">
      <c r="A8" t="s">
        <v>543</v>
      </c>
      <c r="B8" s="41" t="s">
        <v>51</v>
      </c>
      <c r="C8" s="39" t="s">
        <v>528</v>
      </c>
    </row>
    <row r="9" spans="1:4">
      <c r="A9" t="s">
        <v>546</v>
      </c>
      <c r="B9" s="41" t="s">
        <v>545</v>
      </c>
      <c r="C9" s="39" t="s">
        <v>528</v>
      </c>
    </row>
    <row r="10" spans="1:4">
      <c r="A10" t="s">
        <v>547</v>
      </c>
      <c r="B10" s="41" t="s">
        <v>554</v>
      </c>
      <c r="C10" s="39" t="s">
        <v>528</v>
      </c>
    </row>
    <row r="11" spans="1:4">
      <c r="A11" s="41" t="s">
        <v>548</v>
      </c>
      <c r="B11" s="41" t="s">
        <v>554</v>
      </c>
      <c r="C11" s="39" t="s">
        <v>528</v>
      </c>
    </row>
    <row r="12" spans="1:4">
      <c r="A12" s="41" t="s">
        <v>549</v>
      </c>
      <c r="B12" s="41" t="s">
        <v>555</v>
      </c>
      <c r="C12" s="39" t="s">
        <v>528</v>
      </c>
    </row>
    <row r="13" spans="1:4">
      <c r="A13" s="42" t="s">
        <v>550</v>
      </c>
      <c r="B13" s="41" t="s">
        <v>554</v>
      </c>
      <c r="C13" s="39" t="s">
        <v>528</v>
      </c>
    </row>
    <row r="14" spans="1:4">
      <c r="A14" s="42" t="s">
        <v>551</v>
      </c>
      <c r="B14" s="42" t="s">
        <v>554</v>
      </c>
      <c r="C14" s="39" t="s">
        <v>528</v>
      </c>
    </row>
    <row r="15" spans="1:4">
      <c r="A15" s="42" t="s">
        <v>552</v>
      </c>
      <c r="B15" s="42" t="s">
        <v>552</v>
      </c>
      <c r="C15" s="39" t="s">
        <v>528</v>
      </c>
    </row>
    <row r="16" spans="1:4">
      <c r="A16" s="43" t="s">
        <v>553</v>
      </c>
      <c r="B16" s="41" t="s">
        <v>556</v>
      </c>
      <c r="C16" s="39" t="s">
        <v>528</v>
      </c>
    </row>
    <row r="17" spans="1:3">
      <c r="A17" s="42" t="s">
        <v>559</v>
      </c>
      <c r="B17" s="41" t="s">
        <v>558</v>
      </c>
      <c r="C17" s="39" t="s">
        <v>528</v>
      </c>
    </row>
    <row r="18" spans="1:3">
      <c r="A18" s="42" t="s">
        <v>561</v>
      </c>
      <c r="B18" s="44" t="s">
        <v>560</v>
      </c>
      <c r="C18" s="39" t="s">
        <v>528</v>
      </c>
    </row>
    <row r="19" spans="1:3">
      <c r="A19" s="42" t="s">
        <v>563</v>
      </c>
      <c r="B19" s="45" t="s">
        <v>562</v>
      </c>
      <c r="C19" s="39" t="s">
        <v>528</v>
      </c>
    </row>
    <row r="20" spans="1:3">
      <c r="A20" s="42" t="s">
        <v>564</v>
      </c>
      <c r="B20" s="44" t="s">
        <v>562</v>
      </c>
      <c r="C20" s="39" t="s">
        <v>528</v>
      </c>
    </row>
    <row r="21" spans="1:3">
      <c r="A21" s="42" t="s">
        <v>566</v>
      </c>
      <c r="B21" s="49" t="s">
        <v>565</v>
      </c>
      <c r="C21" s="39" t="s">
        <v>528</v>
      </c>
    </row>
    <row r="22" spans="1:3">
      <c r="A22" s="42" t="s">
        <v>567</v>
      </c>
      <c r="B22" s="45" t="s">
        <v>112</v>
      </c>
      <c r="C22" s="39" t="s">
        <v>528</v>
      </c>
    </row>
    <row r="23" spans="1:3">
      <c r="A23" s="42" t="s">
        <v>569</v>
      </c>
      <c r="B23" s="44" t="s">
        <v>568</v>
      </c>
      <c r="C23" s="39" t="s">
        <v>528</v>
      </c>
    </row>
    <row r="24" spans="1:3" ht="25.5">
      <c r="A24" s="42" t="s">
        <v>570</v>
      </c>
      <c r="B24" s="44" t="s">
        <v>164</v>
      </c>
      <c r="C24" s="39" t="s">
        <v>528</v>
      </c>
    </row>
    <row r="25" spans="1:3">
      <c r="A25" s="42" t="s">
        <v>571</v>
      </c>
      <c r="B25" s="44" t="s">
        <v>164</v>
      </c>
      <c r="C25" s="39" t="s">
        <v>528</v>
      </c>
    </row>
    <row r="26" spans="1:3">
      <c r="A26"/>
      <c r="B26" s="44"/>
      <c r="C26" s="39"/>
    </row>
    <row r="27" spans="1:3">
      <c r="A27"/>
      <c r="B27" s="44"/>
      <c r="C27" s="39"/>
    </row>
    <row r="28" spans="1:3">
      <c r="A28" s="46"/>
      <c r="B28" s="44"/>
      <c r="C28" s="39"/>
    </row>
    <row r="29" spans="1:3">
      <c r="A29" s="46"/>
      <c r="B29" s="44"/>
      <c r="C29" s="39"/>
    </row>
    <row r="30" spans="1:3">
      <c r="A30" s="46"/>
      <c r="B30" s="44"/>
      <c r="C30" s="39"/>
    </row>
    <row r="31" spans="1:3">
      <c r="A31" s="44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5"/>
      <c r="B38" s="44"/>
      <c r="C38" s="39"/>
    </row>
    <row r="39" spans="1:3">
      <c r="A39" s="45"/>
      <c r="B39" s="44"/>
      <c r="C39" s="39"/>
    </row>
    <row r="40" spans="1:3">
      <c r="A40" s="45"/>
      <c r="B40" s="44"/>
      <c r="C40" s="39"/>
    </row>
    <row r="41" spans="1:3">
      <c r="A41" s="45"/>
      <c r="B41" s="44"/>
      <c r="C41" s="39"/>
    </row>
    <row r="42" spans="1:3">
      <c r="A42" s="45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4" workbookViewId="0">
      <selection activeCell="A35" sqref="A35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253256</v>
      </c>
      <c r="F6">
        <v>162855</v>
      </c>
    </row>
    <row r="7" spans="1:6">
      <c r="A7" t="s">
        <v>378</v>
      </c>
      <c r="B7" t="s">
        <v>118</v>
      </c>
      <c r="C7" t="s">
        <v>118</v>
      </c>
      <c r="D7" t="s">
        <v>80</v>
      </c>
      <c r="E7">
        <v>140915</v>
      </c>
      <c r="F7">
        <v>136593</v>
      </c>
    </row>
    <row r="8" spans="1:6">
      <c r="A8" t="s">
        <v>379</v>
      </c>
      <c r="B8" t="s">
        <v>352</v>
      </c>
      <c r="C8" t="s">
        <v>137</v>
      </c>
      <c r="D8" t="s">
        <v>116</v>
      </c>
      <c r="E8">
        <v>75347</v>
      </c>
      <c r="F8">
        <v>91460</v>
      </c>
    </row>
    <row r="9" spans="1:6">
      <c r="A9" t="s">
        <v>380</v>
      </c>
      <c r="B9" t="s">
        <v>126</v>
      </c>
      <c r="C9" t="s">
        <v>126</v>
      </c>
      <c r="D9" t="s">
        <v>116</v>
      </c>
      <c r="E9">
        <v>26691</v>
      </c>
      <c r="F9">
        <v>34443</v>
      </c>
    </row>
    <row r="10" spans="1:6">
      <c r="A10" t="s">
        <v>381</v>
      </c>
      <c r="B10" t="s">
        <v>382</v>
      </c>
      <c r="C10" t="s">
        <v>137</v>
      </c>
      <c r="D10" t="s">
        <v>116</v>
      </c>
      <c r="E10">
        <v>18961</v>
      </c>
      <c r="F10">
        <v>11009</v>
      </c>
    </row>
    <row r="11" spans="1:6">
      <c r="A11" t="s">
        <v>383</v>
      </c>
      <c r="B11" t="s">
        <v>354</v>
      </c>
      <c r="C11" t="s">
        <v>137</v>
      </c>
      <c r="D11" t="s">
        <v>80</v>
      </c>
      <c r="E11">
        <v>10000</v>
      </c>
    </row>
    <row r="12" spans="1:6">
      <c r="A12" t="s">
        <v>384</v>
      </c>
      <c r="B12" t="s">
        <v>139</v>
      </c>
      <c r="C12" t="s">
        <v>139</v>
      </c>
      <c r="D12" t="s">
        <v>116</v>
      </c>
      <c r="F12">
        <v>45508</v>
      </c>
    </row>
    <row r="13" spans="1:6">
      <c r="A13" t="s">
        <v>385</v>
      </c>
      <c r="B13" t="s">
        <v>12</v>
      </c>
      <c r="C13" t="s">
        <v>12</v>
      </c>
      <c r="D13" t="s">
        <v>116</v>
      </c>
      <c r="E13">
        <v>525170</v>
      </c>
      <c r="F13">
        <v>481868</v>
      </c>
    </row>
    <row r="14" spans="1:6">
      <c r="A14" t="s">
        <v>386</v>
      </c>
      <c r="B14" t="s">
        <v>387</v>
      </c>
      <c r="C14" t="s">
        <v>84</v>
      </c>
      <c r="D14" t="s">
        <v>80</v>
      </c>
      <c r="E14">
        <v>7521</v>
      </c>
      <c r="F14">
        <v>7904</v>
      </c>
    </row>
    <row r="15" spans="1:6">
      <c r="A15" t="s">
        <v>388</v>
      </c>
      <c r="B15" t="s">
        <v>388</v>
      </c>
      <c r="C15" t="s">
        <v>91</v>
      </c>
      <c r="D15" t="s">
        <v>80</v>
      </c>
      <c r="E15">
        <v>422513</v>
      </c>
      <c r="F15">
        <v>422513</v>
      </c>
    </row>
    <row r="16" spans="1:6">
      <c r="A16" t="s">
        <v>389</v>
      </c>
      <c r="B16" t="s">
        <v>390</v>
      </c>
      <c r="C16" t="s">
        <v>92</v>
      </c>
      <c r="D16" t="s">
        <v>80</v>
      </c>
      <c r="E16">
        <v>217033</v>
      </c>
      <c r="F16">
        <v>375479</v>
      </c>
    </row>
    <row r="17" spans="1:6">
      <c r="A17" t="s">
        <v>391</v>
      </c>
      <c r="B17" t="s">
        <v>101</v>
      </c>
      <c r="C17" t="s">
        <v>101</v>
      </c>
      <c r="D17" t="s">
        <v>80</v>
      </c>
      <c r="E17">
        <v>1260</v>
      </c>
      <c r="F17">
        <v>47120</v>
      </c>
    </row>
    <row r="18" spans="1:6">
      <c r="A18" t="s">
        <v>392</v>
      </c>
      <c r="B18" t="s">
        <v>113</v>
      </c>
      <c r="C18" t="s">
        <v>113</v>
      </c>
      <c r="D18" t="s">
        <v>80</v>
      </c>
      <c r="E18">
        <v>495</v>
      </c>
      <c r="F18">
        <v>495</v>
      </c>
    </row>
    <row r="19" spans="1:6">
      <c r="A19" t="s">
        <v>393</v>
      </c>
      <c r="B19" t="s">
        <v>98</v>
      </c>
      <c r="C19" t="s">
        <v>98</v>
      </c>
      <c r="D19" t="s">
        <v>80</v>
      </c>
      <c r="E19">
        <v>1467</v>
      </c>
      <c r="F19">
        <v>266</v>
      </c>
    </row>
    <row r="20" spans="1:6">
      <c r="A20" t="s">
        <v>394</v>
      </c>
      <c r="B20" t="s">
        <v>139</v>
      </c>
      <c r="C20" t="s">
        <v>139</v>
      </c>
      <c r="D20" t="s">
        <v>116</v>
      </c>
      <c r="F20">
        <v>564711</v>
      </c>
    </row>
    <row r="21" spans="1:6">
      <c r="A21" t="s">
        <v>395</v>
      </c>
      <c r="D21" t="s">
        <v>80</v>
      </c>
      <c r="E21">
        <v>1175459</v>
      </c>
      <c r="F21">
        <v>1900356</v>
      </c>
    </row>
    <row r="22" spans="1:6">
      <c r="A22" t="s">
        <v>396</v>
      </c>
      <c r="D22" t="s">
        <v>80</v>
      </c>
    </row>
    <row r="23" spans="1:6">
      <c r="A23" t="s">
        <v>397</v>
      </c>
      <c r="B23" t="s">
        <v>141</v>
      </c>
      <c r="C23" t="s">
        <v>141</v>
      </c>
      <c r="D23" t="s">
        <v>141</v>
      </c>
    </row>
    <row r="24" spans="1:6">
      <c r="A24" t="s">
        <v>398</v>
      </c>
      <c r="B24" t="s">
        <v>398</v>
      </c>
      <c r="C24" t="s">
        <v>163</v>
      </c>
      <c r="D24" t="s">
        <v>141</v>
      </c>
      <c r="E24">
        <v>14487</v>
      </c>
      <c r="F24">
        <v>7717</v>
      </c>
    </row>
    <row r="25" spans="1:6">
      <c r="A25" t="s">
        <v>364</v>
      </c>
      <c r="B25" t="s">
        <v>399</v>
      </c>
      <c r="C25" t="s">
        <v>161</v>
      </c>
      <c r="D25" t="s">
        <v>141</v>
      </c>
      <c r="E25">
        <v>129537</v>
      </c>
      <c r="F25">
        <v>166732</v>
      </c>
    </row>
    <row r="26" spans="1:6">
      <c r="A26" t="s">
        <v>400</v>
      </c>
      <c r="D26" t="s">
        <v>141</v>
      </c>
      <c r="E26">
        <v>21276</v>
      </c>
    </row>
    <row r="27" spans="1:6">
      <c r="A27" t="s">
        <v>401</v>
      </c>
      <c r="B27" t="s">
        <v>164</v>
      </c>
      <c r="C27" t="s">
        <v>164</v>
      </c>
      <c r="D27" t="s">
        <v>141</v>
      </c>
      <c r="E27">
        <v>144</v>
      </c>
      <c r="F27">
        <v>49399</v>
      </c>
    </row>
    <row r="28" spans="1:6">
      <c r="A28" t="s">
        <v>402</v>
      </c>
      <c r="D28" t="s">
        <v>141</v>
      </c>
      <c r="F28">
        <v>53870</v>
      </c>
    </row>
    <row r="29" spans="1:6">
      <c r="A29" t="s">
        <v>403</v>
      </c>
      <c r="B29" t="s">
        <v>13</v>
      </c>
      <c r="C29" t="s">
        <v>13</v>
      </c>
      <c r="D29" t="s">
        <v>141</v>
      </c>
      <c r="E29">
        <v>165444</v>
      </c>
      <c r="F29">
        <v>277718</v>
      </c>
    </row>
    <row r="30" spans="1:6">
      <c r="A30" t="s">
        <v>404</v>
      </c>
      <c r="B30" t="s">
        <v>180</v>
      </c>
      <c r="C30" t="s">
        <v>180</v>
      </c>
      <c r="D30" t="s">
        <v>165</v>
      </c>
    </row>
    <row r="31" spans="1:6">
      <c r="A31" t="s">
        <v>405</v>
      </c>
      <c r="B31" t="s">
        <v>169</v>
      </c>
      <c r="C31" t="s">
        <v>168</v>
      </c>
      <c r="D31" t="s">
        <v>165</v>
      </c>
      <c r="F31">
        <v>466291</v>
      </c>
    </row>
    <row r="32" spans="1:6">
      <c r="A32" t="s">
        <v>406</v>
      </c>
      <c r="B32" t="s">
        <v>169</v>
      </c>
      <c r="C32" t="s">
        <v>168</v>
      </c>
      <c r="D32" t="s">
        <v>165</v>
      </c>
      <c r="E32">
        <v>261933</v>
      </c>
      <c r="F32">
        <v>268392</v>
      </c>
    </row>
    <row r="33" spans="1:6">
      <c r="A33" t="s">
        <v>407</v>
      </c>
      <c r="B33" t="s">
        <v>180</v>
      </c>
      <c r="C33" t="s">
        <v>180</v>
      </c>
      <c r="D33" t="s">
        <v>165</v>
      </c>
      <c r="E33">
        <v>215</v>
      </c>
      <c r="F33">
        <v>686</v>
      </c>
    </row>
    <row r="34" spans="1:6">
      <c r="A34" t="s">
        <v>408</v>
      </c>
      <c r="B34" t="s">
        <v>180</v>
      </c>
      <c r="C34" t="s">
        <v>180</v>
      </c>
      <c r="D34" t="s">
        <v>165</v>
      </c>
      <c r="E34">
        <v>1212</v>
      </c>
      <c r="F34">
        <v>1204</v>
      </c>
    </row>
    <row r="35" spans="1:6">
      <c r="A35" t="s">
        <v>409</v>
      </c>
      <c r="B35" t="s">
        <v>169</v>
      </c>
      <c r="C35" t="s">
        <v>168</v>
      </c>
      <c r="D35" t="s">
        <v>165</v>
      </c>
      <c r="F35">
        <v>95821</v>
      </c>
    </row>
    <row r="36" spans="1:6">
      <c r="A36" t="s">
        <v>410</v>
      </c>
      <c r="B36" t="s">
        <v>164</v>
      </c>
      <c r="C36" t="s">
        <v>164</v>
      </c>
      <c r="D36" t="s">
        <v>165</v>
      </c>
      <c r="E36">
        <v>428804</v>
      </c>
      <c r="F36">
        <v>1110112</v>
      </c>
    </row>
    <row r="37" spans="1:6">
      <c r="A37" t="s">
        <v>411</v>
      </c>
      <c r="B37" t="s">
        <v>180</v>
      </c>
      <c r="C37" t="s">
        <v>180</v>
      </c>
      <c r="D37" t="s">
        <v>165</v>
      </c>
    </row>
    <row r="38" spans="1:6">
      <c r="A38" t="s">
        <v>412</v>
      </c>
      <c r="B38" t="s">
        <v>181</v>
      </c>
      <c r="C38" t="s">
        <v>181</v>
      </c>
      <c r="D38" t="s">
        <v>165</v>
      </c>
    </row>
    <row r="39" spans="1:6">
      <c r="A39" t="s">
        <v>413</v>
      </c>
      <c r="D39" t="s">
        <v>165</v>
      </c>
    </row>
    <row r="40" spans="1:6">
      <c r="A40" t="s">
        <v>414</v>
      </c>
      <c r="B40" t="s">
        <v>182</v>
      </c>
      <c r="C40" t="s">
        <v>182</v>
      </c>
      <c r="D40" t="s">
        <v>181</v>
      </c>
      <c r="E40">
        <v>346</v>
      </c>
      <c r="F40">
        <v>341</v>
      </c>
    </row>
    <row r="41" spans="1:6">
      <c r="A41" t="s">
        <v>415</v>
      </c>
      <c r="B41" t="s">
        <v>182</v>
      </c>
      <c r="C41" t="s">
        <v>182</v>
      </c>
      <c r="D41" t="s">
        <v>181</v>
      </c>
      <c r="E41">
        <v>1292736</v>
      </c>
      <c r="F41">
        <v>1271628</v>
      </c>
    </row>
    <row r="42" spans="1:6">
      <c r="A42" t="s">
        <v>416</v>
      </c>
      <c r="B42" t="s">
        <v>189</v>
      </c>
      <c r="C42" t="s">
        <v>189</v>
      </c>
      <c r="D42" t="s">
        <v>181</v>
      </c>
      <c r="E42">
        <v>-3985</v>
      </c>
      <c r="F42">
        <v>-3908</v>
      </c>
    </row>
    <row r="43" spans="1:6">
      <c r="A43" t="s">
        <v>417</v>
      </c>
      <c r="B43" t="s">
        <v>187</v>
      </c>
      <c r="C43" t="s">
        <v>187</v>
      </c>
      <c r="D43" t="s">
        <v>181</v>
      </c>
      <c r="E43">
        <v>-542442</v>
      </c>
      <c r="F43">
        <v>-477817</v>
      </c>
    </row>
    <row r="44" spans="1:6">
      <c r="A44" t="s">
        <v>418</v>
      </c>
      <c r="B44" t="s">
        <v>195</v>
      </c>
      <c r="C44" t="s">
        <v>195</v>
      </c>
      <c r="D44" t="s">
        <v>181</v>
      </c>
      <c r="E44">
        <v>746655</v>
      </c>
      <c r="F44">
        <v>790244</v>
      </c>
    </row>
    <row r="45" spans="1:6">
      <c r="A45" t="s">
        <v>419</v>
      </c>
      <c r="D45" t="s">
        <v>181</v>
      </c>
      <c r="E45">
        <v>1175459</v>
      </c>
      <c r="F45">
        <v>1900356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4" workbookViewId="0">
      <selection activeCell="A27" sqref="A27"/>
    </sheetView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420</v>
      </c>
      <c r="B3" t="s">
        <v>421</v>
      </c>
      <c r="C3" t="s">
        <v>26</v>
      </c>
      <c r="D3" t="s">
        <v>421</v>
      </c>
    </row>
    <row r="4" spans="1:7">
      <c r="A4" t="s">
        <v>422</v>
      </c>
      <c r="B4" t="s">
        <v>421</v>
      </c>
      <c r="C4" t="s">
        <v>26</v>
      </c>
      <c r="D4" t="s">
        <v>421</v>
      </c>
      <c r="E4">
        <v>473852</v>
      </c>
      <c r="F4">
        <v>495645</v>
      </c>
      <c r="G4">
        <v>432170</v>
      </c>
    </row>
    <row r="5" spans="1:7">
      <c r="A5" t="s">
        <v>423</v>
      </c>
      <c r="B5" t="s">
        <v>424</v>
      </c>
      <c r="C5" t="s">
        <v>33</v>
      </c>
      <c r="D5" t="s">
        <v>421</v>
      </c>
      <c r="E5">
        <v>150</v>
      </c>
      <c r="F5">
        <v>124</v>
      </c>
      <c r="G5">
        <v>317</v>
      </c>
    </row>
    <row r="6" spans="1:7">
      <c r="A6" t="s">
        <v>425</v>
      </c>
      <c r="B6" t="s">
        <v>45</v>
      </c>
      <c r="C6" t="s">
        <v>45</v>
      </c>
      <c r="D6" t="s">
        <v>421</v>
      </c>
      <c r="E6">
        <v>-474002</v>
      </c>
      <c r="F6">
        <v>-495769</v>
      </c>
      <c r="G6">
        <v>432487</v>
      </c>
    </row>
    <row r="7" spans="1:7">
      <c r="A7" t="s">
        <v>426</v>
      </c>
      <c r="D7" t="s">
        <v>421</v>
      </c>
    </row>
    <row r="8" spans="1:7">
      <c r="A8" t="s">
        <v>427</v>
      </c>
      <c r="B8" t="s">
        <v>27</v>
      </c>
      <c r="C8" t="s">
        <v>27</v>
      </c>
      <c r="D8" t="s">
        <v>421</v>
      </c>
      <c r="E8">
        <v>215892</v>
      </c>
      <c r="F8">
        <v>161349</v>
      </c>
      <c r="G8">
        <v>96314</v>
      </c>
    </row>
    <row r="9" spans="1:7">
      <c r="A9" t="s">
        <v>428</v>
      </c>
      <c r="B9" t="s">
        <v>37</v>
      </c>
      <c r="C9" t="s">
        <v>37</v>
      </c>
      <c r="D9" t="s">
        <v>421</v>
      </c>
      <c r="E9">
        <v>-44846</v>
      </c>
      <c r="F9">
        <v>-75017</v>
      </c>
      <c r="G9">
        <v>65561</v>
      </c>
    </row>
    <row r="10" spans="1:7">
      <c r="A10" t="s">
        <v>429</v>
      </c>
      <c r="D10" t="s">
        <v>421</v>
      </c>
      <c r="E10">
        <v>32500</v>
      </c>
      <c r="F10">
        <v>65845</v>
      </c>
    </row>
    <row r="11" spans="1:7">
      <c r="A11" t="s">
        <v>430</v>
      </c>
      <c r="B11" t="s">
        <v>36</v>
      </c>
      <c r="C11" t="s">
        <v>36</v>
      </c>
      <c r="D11" t="s">
        <v>421</v>
      </c>
      <c r="E11">
        <v>227810</v>
      </c>
      <c r="F11">
        <v>178151</v>
      </c>
      <c r="G11">
        <v>169468</v>
      </c>
    </row>
    <row r="12" spans="1:7">
      <c r="A12" t="s">
        <v>431</v>
      </c>
      <c r="B12" t="s">
        <v>44</v>
      </c>
      <c r="C12" t="s">
        <v>44</v>
      </c>
      <c r="D12" t="s">
        <v>421</v>
      </c>
      <c r="F12">
        <v>319246</v>
      </c>
      <c r="G12">
        <v>15724</v>
      </c>
    </row>
    <row r="13" spans="1:7">
      <c r="A13" t="s">
        <v>432</v>
      </c>
      <c r="B13" t="s">
        <v>27</v>
      </c>
      <c r="C13" t="s">
        <v>27</v>
      </c>
      <c r="D13" t="s">
        <v>421</v>
      </c>
      <c r="G13">
        <v>341</v>
      </c>
    </row>
    <row r="14" spans="1:7">
      <c r="A14" t="s">
        <v>433</v>
      </c>
      <c r="D14" t="s">
        <v>421</v>
      </c>
      <c r="E14">
        <v>521048</v>
      </c>
      <c r="F14">
        <v>799608</v>
      </c>
      <c r="G14">
        <v>347408</v>
      </c>
    </row>
    <row r="15" spans="1:7">
      <c r="A15" t="s">
        <v>434</v>
      </c>
      <c r="B15" t="s">
        <v>435</v>
      </c>
      <c r="C15" t="s">
        <v>46</v>
      </c>
      <c r="D15" t="s">
        <v>421</v>
      </c>
      <c r="E15">
        <v>-47046</v>
      </c>
      <c r="F15">
        <v>-303839</v>
      </c>
      <c r="G15">
        <v>85079</v>
      </c>
    </row>
    <row r="16" spans="1:7">
      <c r="A16" t="s">
        <v>436</v>
      </c>
      <c r="B16" t="s">
        <v>56</v>
      </c>
      <c r="C16" t="s">
        <v>56</v>
      </c>
      <c r="D16" t="s">
        <v>421</v>
      </c>
    </row>
    <row r="17" spans="1:7">
      <c r="A17" t="s">
        <v>437</v>
      </c>
      <c r="B17" t="s">
        <v>51</v>
      </c>
      <c r="C17" t="s">
        <v>51</v>
      </c>
      <c r="D17" t="s">
        <v>421</v>
      </c>
      <c r="E17">
        <v>-51971</v>
      </c>
      <c r="F17">
        <v>-68382</v>
      </c>
      <c r="G17">
        <v>-73153</v>
      </c>
    </row>
    <row r="18" spans="1:7">
      <c r="A18" t="s">
        <v>438</v>
      </c>
      <c r="B18" t="s">
        <v>424</v>
      </c>
      <c r="C18" t="s">
        <v>33</v>
      </c>
      <c r="D18" t="s">
        <v>421</v>
      </c>
      <c r="E18">
        <v>-35922</v>
      </c>
      <c r="F18">
        <v>-10926</v>
      </c>
    </row>
    <row r="19" spans="1:7">
      <c r="A19" t="s">
        <v>439</v>
      </c>
      <c r="B19" t="s">
        <v>50</v>
      </c>
      <c r="C19" t="s">
        <v>50</v>
      </c>
      <c r="D19" t="s">
        <v>421</v>
      </c>
      <c r="E19">
        <v>5328</v>
      </c>
      <c r="F19">
        <v>2810</v>
      </c>
      <c r="G19">
        <v>3149</v>
      </c>
    </row>
    <row r="20" spans="1:7">
      <c r="A20" t="s">
        <v>440</v>
      </c>
      <c r="B20" t="s">
        <v>56</v>
      </c>
      <c r="C20" t="s">
        <v>56</v>
      </c>
      <c r="D20" t="s">
        <v>421</v>
      </c>
      <c r="E20">
        <v>-74</v>
      </c>
      <c r="F20">
        <v>-70</v>
      </c>
      <c r="G20">
        <v>189</v>
      </c>
    </row>
    <row r="21" spans="1:7">
      <c r="A21" t="s">
        <v>441</v>
      </c>
      <c r="B21" t="s">
        <v>442</v>
      </c>
      <c r="C21" t="s">
        <v>56</v>
      </c>
      <c r="D21" t="s">
        <v>421</v>
      </c>
      <c r="E21">
        <v>-82639</v>
      </c>
      <c r="F21">
        <v>-76568</v>
      </c>
      <c r="G21">
        <v>-69815</v>
      </c>
    </row>
    <row r="22" spans="1:7">
      <c r="A22" t="s">
        <v>443</v>
      </c>
      <c r="B22" t="s">
        <v>444</v>
      </c>
      <c r="C22" t="s">
        <v>61</v>
      </c>
      <c r="D22" t="s">
        <v>421</v>
      </c>
      <c r="E22">
        <v>-129685</v>
      </c>
      <c r="F22">
        <v>-380407</v>
      </c>
      <c r="G22">
        <v>15264</v>
      </c>
    </row>
    <row r="23" spans="1:7">
      <c r="A23" t="s">
        <v>445</v>
      </c>
      <c r="B23" t="s">
        <v>62</v>
      </c>
      <c r="C23" t="s">
        <v>62</v>
      </c>
      <c r="D23" t="s">
        <v>421</v>
      </c>
      <c r="E23">
        <v>39654</v>
      </c>
      <c r="F23">
        <v>-175254</v>
      </c>
      <c r="G23">
        <v>13171</v>
      </c>
    </row>
    <row r="24" spans="1:7">
      <c r="A24" t="s">
        <v>446</v>
      </c>
      <c r="B24" t="s">
        <v>424</v>
      </c>
      <c r="C24" t="s">
        <v>33</v>
      </c>
      <c r="D24" t="s">
        <v>421</v>
      </c>
      <c r="E24">
        <v>-169339</v>
      </c>
      <c r="F24">
        <v>-205153</v>
      </c>
      <c r="G24">
        <v>2093</v>
      </c>
    </row>
    <row r="25" spans="1:7">
      <c r="A25" t="s">
        <v>447</v>
      </c>
      <c r="B25" t="s">
        <v>58</v>
      </c>
      <c r="C25" t="s">
        <v>58</v>
      </c>
      <c r="D25" t="s">
        <v>421</v>
      </c>
    </row>
    <row r="26" spans="1:7">
      <c r="A26" t="s">
        <v>448</v>
      </c>
      <c r="B26" t="s">
        <v>58</v>
      </c>
      <c r="C26" t="s">
        <v>58</v>
      </c>
      <c r="D26" t="s">
        <v>421</v>
      </c>
      <c r="E26">
        <v>18873</v>
      </c>
      <c r="F26">
        <v>10313</v>
      </c>
      <c r="G26">
        <v>-6209</v>
      </c>
    </row>
    <row r="27" spans="1:7">
      <c r="A27" t="s">
        <v>449</v>
      </c>
      <c r="D27" t="s">
        <v>421</v>
      </c>
      <c r="E27">
        <v>87076</v>
      </c>
    </row>
    <row r="28" spans="1:7">
      <c r="A28" t="s">
        <v>445</v>
      </c>
      <c r="B28" t="s">
        <v>62</v>
      </c>
      <c r="C28" t="s">
        <v>62</v>
      </c>
      <c r="D28" t="s">
        <v>421</v>
      </c>
      <c r="E28">
        <v>2371</v>
      </c>
      <c r="F28">
        <v>4388</v>
      </c>
      <c r="G28">
        <v>-1633</v>
      </c>
    </row>
    <row r="29" spans="1:7">
      <c r="A29" t="s">
        <v>450</v>
      </c>
      <c r="B29" t="s">
        <v>58</v>
      </c>
      <c r="C29" t="s">
        <v>58</v>
      </c>
      <c r="D29" t="s">
        <v>421</v>
      </c>
      <c r="E29">
        <v>103578</v>
      </c>
      <c r="F29">
        <v>5925</v>
      </c>
      <c r="G29">
        <v>-4576</v>
      </c>
    </row>
    <row r="30" spans="1:7">
      <c r="A30" t="s">
        <v>451</v>
      </c>
      <c r="B30" t="s">
        <v>66</v>
      </c>
      <c r="C30" t="s">
        <v>66</v>
      </c>
      <c r="D30" t="s">
        <v>421</v>
      </c>
      <c r="E30">
        <v>-65761</v>
      </c>
      <c r="F30">
        <v>-199228</v>
      </c>
      <c r="G30">
        <v>-2483</v>
      </c>
    </row>
    <row r="31" spans="1:7">
      <c r="A31" t="s">
        <v>452</v>
      </c>
      <c r="D31" t="s">
        <v>421</v>
      </c>
    </row>
    <row r="32" spans="1:7">
      <c r="A32" t="s">
        <v>453</v>
      </c>
      <c r="B32" t="s">
        <v>424</v>
      </c>
      <c r="C32" t="s">
        <v>33</v>
      </c>
      <c r="D32" t="s">
        <v>421</v>
      </c>
      <c r="E32">
        <v>-492</v>
      </c>
      <c r="F32">
        <v>-588</v>
      </c>
      <c r="G32">
        <v>6</v>
      </c>
    </row>
    <row r="33" spans="1:7">
      <c r="A33" t="s">
        <v>448</v>
      </c>
      <c r="B33" t="s">
        <v>58</v>
      </c>
      <c r="C33" t="s">
        <v>58</v>
      </c>
      <c r="D33" t="s">
        <v>421</v>
      </c>
      <c r="E33">
        <v>301</v>
      </c>
      <c r="F33">
        <v>17</v>
      </c>
      <c r="G33">
        <v>-13</v>
      </c>
    </row>
    <row r="34" spans="1:7">
      <c r="A34" t="s">
        <v>454</v>
      </c>
      <c r="D34" t="s">
        <v>421</v>
      </c>
      <c r="E34">
        <v>-191</v>
      </c>
      <c r="F34">
        <v>-571</v>
      </c>
      <c r="G34">
        <v>-7</v>
      </c>
    </row>
    <row r="35" spans="1:7">
      <c r="A35" t="s">
        <v>455</v>
      </c>
      <c r="D35" t="s">
        <v>421</v>
      </c>
    </row>
    <row r="36" spans="1:7">
      <c r="A36" t="s">
        <v>453</v>
      </c>
      <c r="B36" t="s">
        <v>424</v>
      </c>
      <c r="C36" t="s">
        <v>33</v>
      </c>
      <c r="D36" t="s">
        <v>421</v>
      </c>
      <c r="E36">
        <v>-492</v>
      </c>
      <c r="F36">
        <v>-588</v>
      </c>
      <c r="G36">
        <v>6</v>
      </c>
    </row>
    <row r="37" spans="1:7">
      <c r="A37" t="s">
        <v>448</v>
      </c>
      <c r="B37" t="s">
        <v>58</v>
      </c>
      <c r="C37" t="s">
        <v>58</v>
      </c>
      <c r="D37" t="s">
        <v>421</v>
      </c>
      <c r="E37">
        <v>301</v>
      </c>
      <c r="F37">
        <v>17</v>
      </c>
      <c r="G37">
        <v>-13</v>
      </c>
    </row>
    <row r="38" spans="1:7">
      <c r="A38" t="s">
        <v>454</v>
      </c>
      <c r="D38" t="s">
        <v>421</v>
      </c>
      <c r="E38">
        <v>-191</v>
      </c>
      <c r="F38">
        <v>-571</v>
      </c>
      <c r="G38">
        <v>-7</v>
      </c>
    </row>
    <row r="39" spans="1:7">
      <c r="A39" t="s">
        <v>456</v>
      </c>
      <c r="D39" t="s">
        <v>421</v>
      </c>
    </row>
    <row r="40" spans="1:7">
      <c r="A40" t="s">
        <v>457</v>
      </c>
      <c r="D40" t="s">
        <v>421</v>
      </c>
      <c r="E40">
        <v>34394</v>
      </c>
      <c r="F40">
        <v>34907</v>
      </c>
      <c r="G40">
        <v>34346</v>
      </c>
    </row>
    <row r="41" spans="1:7">
      <c r="A41" t="s">
        <v>458</v>
      </c>
      <c r="D41" t="s">
        <v>421</v>
      </c>
      <c r="E41">
        <v>34394</v>
      </c>
      <c r="F41">
        <v>34907</v>
      </c>
      <c r="G41">
        <v>34833</v>
      </c>
    </row>
    <row r="42" spans="1:7">
      <c r="A42" t="s">
        <v>459</v>
      </c>
      <c r="D42" t="s">
        <v>421</v>
      </c>
    </row>
    <row r="43" spans="1:7">
      <c r="A43" t="s">
        <v>460</v>
      </c>
      <c r="D43" t="s">
        <v>421</v>
      </c>
    </row>
    <row r="44" spans="1:7">
      <c r="D44" t="s">
        <v>421</v>
      </c>
    </row>
    <row r="45" spans="1:7">
      <c r="A45" t="s">
        <v>461</v>
      </c>
      <c r="D45" t="s">
        <v>421</v>
      </c>
    </row>
    <row r="46" spans="1:7">
      <c r="D46" t="s">
        <v>421</v>
      </c>
    </row>
    <row r="47" spans="1:7">
      <c r="D47" t="s">
        <v>421</v>
      </c>
      <c r="E47">
        <v>2018</v>
      </c>
    </row>
    <row r="48" spans="1:7">
      <c r="A48" t="s">
        <v>451</v>
      </c>
      <c r="B48" t="s">
        <v>66</v>
      </c>
      <c r="C48" t="s">
        <v>66</v>
      </c>
      <c r="D48" t="s">
        <v>421</v>
      </c>
      <c r="E48">
        <v>-65761</v>
      </c>
      <c r="F48">
        <v>-199228</v>
      </c>
      <c r="G48">
        <v>-2483</v>
      </c>
    </row>
    <row r="49" spans="1:7">
      <c r="A49" t="s">
        <v>462</v>
      </c>
      <c r="B49" t="s">
        <v>463</v>
      </c>
      <c r="C49" t="s">
        <v>463</v>
      </c>
      <c r="D49" t="s">
        <v>421</v>
      </c>
    </row>
    <row r="50" spans="1:7">
      <c r="A50" t="s">
        <v>464</v>
      </c>
      <c r="B50" t="s">
        <v>72</v>
      </c>
      <c r="C50" t="s">
        <v>72</v>
      </c>
      <c r="D50" t="s">
        <v>421</v>
      </c>
    </row>
    <row r="51" spans="1:7">
      <c r="A51" t="s">
        <v>465</v>
      </c>
      <c r="D51" t="s">
        <v>421</v>
      </c>
      <c r="E51">
        <v>-77</v>
      </c>
      <c r="F51">
        <v>-70</v>
      </c>
      <c r="G51">
        <v>261</v>
      </c>
    </row>
    <row r="52" spans="1:7">
      <c r="A52" t="s">
        <v>466</v>
      </c>
      <c r="D52" t="s">
        <v>421</v>
      </c>
      <c r="G52">
        <v>106</v>
      </c>
    </row>
    <row r="53" spans="1:7">
      <c r="A53" t="s">
        <v>467</v>
      </c>
      <c r="B53" t="s">
        <v>48</v>
      </c>
      <c r="C53" t="s">
        <v>48</v>
      </c>
      <c r="D53" t="s">
        <v>421</v>
      </c>
      <c r="E53">
        <v>-77</v>
      </c>
      <c r="F53">
        <v>-70</v>
      </c>
      <c r="G53">
        <v>367</v>
      </c>
    </row>
    <row r="54" spans="1:7">
      <c r="A54" t="s">
        <v>468</v>
      </c>
      <c r="B54" t="s">
        <v>469</v>
      </c>
      <c r="C54" t="s">
        <v>470</v>
      </c>
      <c r="D54" t="s">
        <v>421</v>
      </c>
      <c r="E54">
        <v>-65838</v>
      </c>
      <c r="F54">
        <v>-199298</v>
      </c>
      <c r="G54">
        <v>-2116</v>
      </c>
    </row>
    <row r="55" spans="1:7">
      <c r="D55" t="s">
        <v>421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471</v>
      </c>
      <c r="B3" t="s">
        <v>231</v>
      </c>
      <c r="C3" t="s">
        <v>231</v>
      </c>
      <c r="D3" t="s">
        <v>472</v>
      </c>
    </row>
    <row r="4" spans="1:7">
      <c r="A4" t="s">
        <v>451</v>
      </c>
      <c r="B4" t="s">
        <v>232</v>
      </c>
      <c r="C4" t="s">
        <v>232</v>
      </c>
      <c r="D4" t="s">
        <v>472</v>
      </c>
      <c r="E4">
        <v>-65761</v>
      </c>
      <c r="F4">
        <v>-199228</v>
      </c>
      <c r="G4">
        <v>-2483</v>
      </c>
    </row>
    <row r="5" spans="1:7">
      <c r="A5" t="s">
        <v>473</v>
      </c>
      <c r="D5" t="s">
        <v>472</v>
      </c>
    </row>
    <row r="6" spans="1:7">
      <c r="A6" t="s">
        <v>474</v>
      </c>
      <c r="B6" t="s">
        <v>236</v>
      </c>
      <c r="C6" t="s">
        <v>236</v>
      </c>
      <c r="D6" t="s">
        <v>472</v>
      </c>
      <c r="E6">
        <v>172223</v>
      </c>
      <c r="F6">
        <v>155538</v>
      </c>
      <c r="G6">
        <v>99886</v>
      </c>
    </row>
    <row r="7" spans="1:7">
      <c r="A7" t="s">
        <v>431</v>
      </c>
      <c r="B7" t="s">
        <v>240</v>
      </c>
      <c r="C7" t="s">
        <v>240</v>
      </c>
      <c r="D7" t="s">
        <v>472</v>
      </c>
      <c r="F7">
        <v>319246</v>
      </c>
      <c r="G7">
        <v>19663</v>
      </c>
    </row>
    <row r="8" spans="1:7">
      <c r="A8" t="s">
        <v>475</v>
      </c>
      <c r="B8" t="s">
        <v>250</v>
      </c>
      <c r="C8" t="s">
        <v>250</v>
      </c>
      <c r="D8" t="s">
        <v>472</v>
      </c>
      <c r="E8">
        <v>678</v>
      </c>
      <c r="F8">
        <v>3852</v>
      </c>
      <c r="G8">
        <v>3209</v>
      </c>
    </row>
    <row r="9" spans="1:7">
      <c r="A9" t="s">
        <v>476</v>
      </c>
      <c r="B9" t="s">
        <v>240</v>
      </c>
      <c r="C9" t="s">
        <v>240</v>
      </c>
      <c r="D9" t="s">
        <v>472</v>
      </c>
      <c r="E9">
        <v>87</v>
      </c>
      <c r="F9">
        <v>302</v>
      </c>
      <c r="G9">
        <v>624</v>
      </c>
    </row>
    <row r="10" spans="1:7">
      <c r="A10" t="s">
        <v>477</v>
      </c>
      <c r="B10" t="s">
        <v>244</v>
      </c>
      <c r="C10" t="s">
        <v>244</v>
      </c>
      <c r="D10" t="s">
        <v>472</v>
      </c>
      <c r="E10">
        <v>-99</v>
      </c>
      <c r="F10">
        <v>265</v>
      </c>
    </row>
    <row r="11" spans="1:7">
      <c r="A11" t="s">
        <v>478</v>
      </c>
      <c r="B11" t="s">
        <v>248</v>
      </c>
      <c r="C11" t="s">
        <v>248</v>
      </c>
      <c r="D11" t="s">
        <v>472</v>
      </c>
      <c r="E11">
        <v>19916</v>
      </c>
      <c r="F11">
        <v>23664</v>
      </c>
      <c r="G11">
        <v>22543</v>
      </c>
    </row>
    <row r="12" spans="1:7">
      <c r="A12" t="s">
        <v>479</v>
      </c>
      <c r="B12" t="s">
        <v>243</v>
      </c>
      <c r="C12" t="s">
        <v>243</v>
      </c>
      <c r="D12" t="s">
        <v>472</v>
      </c>
      <c r="F12">
        <v>945</v>
      </c>
    </row>
    <row r="13" spans="1:7">
      <c r="A13" t="s">
        <v>438</v>
      </c>
      <c r="B13" t="s">
        <v>241</v>
      </c>
      <c r="C13" t="s">
        <v>241</v>
      </c>
      <c r="D13" t="s">
        <v>472</v>
      </c>
      <c r="E13">
        <v>35922</v>
      </c>
      <c r="F13">
        <v>10926</v>
      </c>
    </row>
    <row r="14" spans="1:7">
      <c r="A14" t="s">
        <v>480</v>
      </c>
      <c r="B14" t="s">
        <v>240</v>
      </c>
      <c r="C14" t="s">
        <v>240</v>
      </c>
      <c r="D14" t="s">
        <v>472</v>
      </c>
      <c r="E14">
        <v>15658</v>
      </c>
      <c r="F14">
        <v>14395</v>
      </c>
      <c r="G14">
        <v>12105</v>
      </c>
    </row>
    <row r="15" spans="1:7">
      <c r="A15" t="s">
        <v>481</v>
      </c>
      <c r="B15" t="s">
        <v>244</v>
      </c>
      <c r="C15" t="s">
        <v>244</v>
      </c>
      <c r="D15" t="s">
        <v>472</v>
      </c>
      <c r="E15">
        <v>-1</v>
      </c>
      <c r="F15">
        <v>70</v>
      </c>
      <c r="G15">
        <v>38</v>
      </c>
    </row>
    <row r="16" spans="1:7">
      <c r="A16" t="s">
        <v>482</v>
      </c>
      <c r="B16" t="s">
        <v>241</v>
      </c>
      <c r="C16" t="s">
        <v>241</v>
      </c>
      <c r="D16" t="s">
        <v>472</v>
      </c>
      <c r="E16">
        <v>-49607</v>
      </c>
      <c r="F16">
        <v>-47686</v>
      </c>
      <c r="G16">
        <v>25683</v>
      </c>
    </row>
    <row r="17" spans="1:7">
      <c r="A17" t="s">
        <v>483</v>
      </c>
      <c r="B17" t="s">
        <v>269</v>
      </c>
      <c r="C17" t="s">
        <v>269</v>
      </c>
      <c r="D17" t="s">
        <v>472</v>
      </c>
      <c r="E17">
        <v>41166</v>
      </c>
      <c r="F17">
        <v>-178421</v>
      </c>
      <c r="G17">
        <v>7279</v>
      </c>
    </row>
    <row r="18" spans="1:7">
      <c r="A18" t="s">
        <v>484</v>
      </c>
      <c r="D18" t="s">
        <v>472</v>
      </c>
      <c r="E18">
        <v>-87076</v>
      </c>
    </row>
    <row r="19" spans="1:7">
      <c r="A19" t="s">
        <v>485</v>
      </c>
      <c r="B19" t="s">
        <v>486</v>
      </c>
      <c r="C19" t="s">
        <v>486</v>
      </c>
      <c r="D19" t="s">
        <v>472</v>
      </c>
      <c r="E19">
        <v>-14111</v>
      </c>
    </row>
    <row r="20" spans="1:7">
      <c r="A20" t="s">
        <v>487</v>
      </c>
      <c r="B20" t="s">
        <v>251</v>
      </c>
      <c r="C20" t="s">
        <v>251</v>
      </c>
      <c r="D20" t="s">
        <v>472</v>
      </c>
    </row>
    <row r="21" spans="1:7">
      <c r="A21" t="s">
        <v>379</v>
      </c>
      <c r="B21" t="s">
        <v>265</v>
      </c>
      <c r="C21" t="s">
        <v>265</v>
      </c>
      <c r="D21" t="s">
        <v>472</v>
      </c>
      <c r="E21">
        <v>16995</v>
      </c>
      <c r="F21">
        <v>-14978</v>
      </c>
      <c r="G21">
        <v>-9906</v>
      </c>
    </row>
    <row r="22" spans="1:7">
      <c r="A22" t="s">
        <v>380</v>
      </c>
      <c r="B22" t="s">
        <v>261</v>
      </c>
      <c r="C22" t="s">
        <v>261</v>
      </c>
      <c r="D22" t="s">
        <v>472</v>
      </c>
      <c r="E22">
        <v>4722</v>
      </c>
      <c r="F22">
        <v>-2331</v>
      </c>
      <c r="G22">
        <v>-2355</v>
      </c>
    </row>
    <row r="23" spans="1:7">
      <c r="A23" t="s">
        <v>488</v>
      </c>
      <c r="B23" t="s">
        <v>276</v>
      </c>
      <c r="C23" t="s">
        <v>276</v>
      </c>
      <c r="D23" t="s">
        <v>472</v>
      </c>
      <c r="G23">
        <v>428</v>
      </c>
    </row>
    <row r="24" spans="1:7">
      <c r="A24" t="s">
        <v>381</v>
      </c>
      <c r="B24" t="s">
        <v>489</v>
      </c>
      <c r="C24" t="s">
        <v>264</v>
      </c>
      <c r="D24" t="s">
        <v>472</v>
      </c>
      <c r="E24">
        <v>-6097</v>
      </c>
      <c r="F24">
        <v>-2222</v>
      </c>
      <c r="G24">
        <v>4095</v>
      </c>
    </row>
    <row r="25" spans="1:7">
      <c r="A25" t="s">
        <v>490</v>
      </c>
      <c r="B25" t="s">
        <v>273</v>
      </c>
      <c r="C25" t="s">
        <v>273</v>
      </c>
      <c r="D25" t="s">
        <v>472</v>
      </c>
      <c r="E25">
        <v>-32568</v>
      </c>
      <c r="F25">
        <v>16834</v>
      </c>
      <c r="G25">
        <v>49037</v>
      </c>
    </row>
    <row r="26" spans="1:7">
      <c r="A26" t="s">
        <v>491</v>
      </c>
      <c r="B26" t="s">
        <v>269</v>
      </c>
      <c r="C26" t="s">
        <v>269</v>
      </c>
      <c r="D26" t="s">
        <v>472</v>
      </c>
      <c r="E26">
        <v>8658</v>
      </c>
      <c r="F26">
        <v>17080</v>
      </c>
      <c r="G26">
        <v>24522</v>
      </c>
    </row>
    <row r="27" spans="1:7">
      <c r="A27" t="s">
        <v>492</v>
      </c>
      <c r="B27" t="s">
        <v>277</v>
      </c>
      <c r="C27" t="s">
        <v>277</v>
      </c>
      <c r="D27" t="s">
        <v>472</v>
      </c>
      <c r="F27">
        <v>-10432</v>
      </c>
      <c r="G27">
        <v>-8116</v>
      </c>
    </row>
    <row r="28" spans="1:7">
      <c r="A28" t="s">
        <v>493</v>
      </c>
      <c r="B28" t="s">
        <v>251</v>
      </c>
      <c r="C28" t="s">
        <v>251</v>
      </c>
      <c r="D28" t="s">
        <v>472</v>
      </c>
      <c r="E28">
        <v>95</v>
      </c>
      <c r="F28">
        <v>-1223</v>
      </c>
      <c r="G28">
        <v>-30</v>
      </c>
    </row>
    <row r="29" spans="1:7">
      <c r="A29" t="s">
        <v>494</v>
      </c>
      <c r="B29" t="s">
        <v>285</v>
      </c>
      <c r="C29" t="s">
        <v>285</v>
      </c>
      <c r="D29" t="s">
        <v>472</v>
      </c>
      <c r="E29">
        <v>60800</v>
      </c>
      <c r="F29">
        <v>106596</v>
      </c>
      <c r="G29">
        <v>246222</v>
      </c>
    </row>
    <row r="30" spans="1:7">
      <c r="A30" t="s">
        <v>495</v>
      </c>
      <c r="B30" t="s">
        <v>286</v>
      </c>
      <c r="C30" t="s">
        <v>286</v>
      </c>
      <c r="D30" t="s">
        <v>496</v>
      </c>
    </row>
    <row r="31" spans="1:7">
      <c r="A31" t="s">
        <v>497</v>
      </c>
      <c r="B31" t="s">
        <v>291</v>
      </c>
      <c r="C31" t="s">
        <v>291</v>
      </c>
      <c r="D31" t="s">
        <v>496</v>
      </c>
      <c r="E31">
        <v>85342</v>
      </c>
      <c r="F31">
        <v>294957</v>
      </c>
      <c r="G31">
        <v>127479</v>
      </c>
    </row>
    <row r="32" spans="1:7">
      <c r="A32" t="s">
        <v>498</v>
      </c>
      <c r="B32" t="s">
        <v>290</v>
      </c>
      <c r="C32" t="s">
        <v>290</v>
      </c>
      <c r="D32" t="s">
        <v>496</v>
      </c>
      <c r="E32">
        <v>-89956</v>
      </c>
      <c r="F32">
        <v>-127249</v>
      </c>
      <c r="G32">
        <v>-194723</v>
      </c>
    </row>
    <row r="33" spans="1:7">
      <c r="A33" t="s">
        <v>499</v>
      </c>
      <c r="D33" t="s">
        <v>496</v>
      </c>
      <c r="F33">
        <v>-55800</v>
      </c>
    </row>
    <row r="34" spans="1:7">
      <c r="A34" t="s">
        <v>500</v>
      </c>
      <c r="B34" t="s">
        <v>298</v>
      </c>
      <c r="C34" t="s">
        <v>298</v>
      </c>
      <c r="D34" t="s">
        <v>501</v>
      </c>
      <c r="E34">
        <v>519303</v>
      </c>
    </row>
    <row r="35" spans="1:7">
      <c r="A35" t="s">
        <v>383</v>
      </c>
      <c r="B35" t="s">
        <v>262</v>
      </c>
      <c r="C35" t="s">
        <v>262</v>
      </c>
      <c r="D35" t="s">
        <v>496</v>
      </c>
      <c r="E35">
        <v>-10000</v>
      </c>
    </row>
    <row r="36" spans="1:7">
      <c r="A36" t="s">
        <v>502</v>
      </c>
      <c r="B36" t="s">
        <v>287</v>
      </c>
      <c r="C36" t="s">
        <v>287</v>
      </c>
      <c r="D36" t="s">
        <v>496</v>
      </c>
      <c r="E36">
        <v>-2534</v>
      </c>
      <c r="F36">
        <v>-8988</v>
      </c>
      <c r="G36">
        <v>-5460</v>
      </c>
    </row>
    <row r="37" spans="1:7">
      <c r="D37" t="s">
        <v>496</v>
      </c>
      <c r="F37">
        <v>31</v>
      </c>
    </row>
    <row r="38" spans="1:7">
      <c r="D38" t="s">
        <v>496</v>
      </c>
      <c r="E38">
        <v>2018</v>
      </c>
      <c r="F38">
        <v>2017</v>
      </c>
      <c r="G38">
        <v>2016</v>
      </c>
    </row>
    <row r="39" spans="1:7">
      <c r="A39" t="s">
        <v>503</v>
      </c>
      <c r="B39" t="s">
        <v>297</v>
      </c>
      <c r="C39" t="s">
        <v>297</v>
      </c>
      <c r="D39" t="s">
        <v>501</v>
      </c>
    </row>
    <row r="40" spans="1:7">
      <c r="A40" t="s">
        <v>504</v>
      </c>
      <c r="B40" t="s">
        <v>302</v>
      </c>
      <c r="C40" t="s">
        <v>302</v>
      </c>
      <c r="D40" t="s">
        <v>501</v>
      </c>
      <c r="E40">
        <v>-475000</v>
      </c>
      <c r="F40">
        <v>-353125</v>
      </c>
      <c r="G40">
        <v>-17502</v>
      </c>
    </row>
    <row r="41" spans="1:7">
      <c r="A41" t="s">
        <v>505</v>
      </c>
      <c r="B41" t="s">
        <v>299</v>
      </c>
      <c r="C41" t="s">
        <v>299</v>
      </c>
      <c r="D41" t="s">
        <v>501</v>
      </c>
      <c r="F41">
        <v>320000</v>
      </c>
    </row>
    <row r="42" spans="1:7">
      <c r="A42" t="s">
        <v>506</v>
      </c>
      <c r="D42" t="s">
        <v>496</v>
      </c>
      <c r="F42">
        <v>-191730</v>
      </c>
    </row>
    <row r="43" spans="1:7">
      <c r="A43" t="s">
        <v>507</v>
      </c>
      <c r="D43" t="s">
        <v>496</v>
      </c>
      <c r="E43">
        <v>-28054</v>
      </c>
      <c r="F43">
        <v>-625</v>
      </c>
    </row>
    <row r="44" spans="1:7">
      <c r="A44" t="s">
        <v>508</v>
      </c>
      <c r="D44" t="s">
        <v>496</v>
      </c>
      <c r="F44">
        <v>323</v>
      </c>
    </row>
    <row r="45" spans="1:7">
      <c r="A45" t="s">
        <v>509</v>
      </c>
      <c r="B45" t="s">
        <v>486</v>
      </c>
      <c r="C45" t="s">
        <v>486</v>
      </c>
      <c r="D45" t="s">
        <v>501</v>
      </c>
      <c r="F45">
        <v>-9553</v>
      </c>
    </row>
    <row r="46" spans="1:7">
      <c r="A46" t="s">
        <v>510</v>
      </c>
      <c r="B46" t="s">
        <v>277</v>
      </c>
      <c r="C46" t="s">
        <v>277</v>
      </c>
      <c r="D46" t="s">
        <v>472</v>
      </c>
      <c r="E46">
        <v>-119</v>
      </c>
      <c r="F46">
        <v>-39793</v>
      </c>
      <c r="G46">
        <v>-92130</v>
      </c>
    </row>
    <row r="47" spans="1:7">
      <c r="A47" t="s">
        <v>511</v>
      </c>
      <c r="B47" t="s">
        <v>486</v>
      </c>
      <c r="C47" t="s">
        <v>486</v>
      </c>
      <c r="D47" t="s">
        <v>501</v>
      </c>
      <c r="F47">
        <v>-19466</v>
      </c>
      <c r="G47">
        <v>-20000</v>
      </c>
    </row>
    <row r="48" spans="1:7">
      <c r="A48" t="s">
        <v>512</v>
      </c>
      <c r="B48" t="s">
        <v>298</v>
      </c>
      <c r="C48" t="s">
        <v>298</v>
      </c>
      <c r="D48" t="s">
        <v>501</v>
      </c>
      <c r="E48">
        <v>3881</v>
      </c>
      <c r="F48">
        <v>3021</v>
      </c>
      <c r="G48">
        <v>3885</v>
      </c>
    </row>
    <row r="49" spans="1:7">
      <c r="A49" t="s">
        <v>513</v>
      </c>
      <c r="D49" t="s">
        <v>501</v>
      </c>
      <c r="E49">
        <v>-2682</v>
      </c>
      <c r="F49">
        <v>-2696</v>
      </c>
      <c r="G49">
        <v>-2171</v>
      </c>
    </row>
    <row r="50" spans="1:7">
      <c r="A50" t="s">
        <v>514</v>
      </c>
      <c r="B50" t="s">
        <v>311</v>
      </c>
      <c r="C50" t="s">
        <v>311</v>
      </c>
      <c r="D50" t="s">
        <v>501</v>
      </c>
      <c r="E50">
        <v>-501974</v>
      </c>
      <c r="F50">
        <v>-293644</v>
      </c>
      <c r="G50">
        <v>-127918</v>
      </c>
    </row>
    <row r="51" spans="1:7">
      <c r="A51" t="s">
        <v>515</v>
      </c>
      <c r="B51" t="s">
        <v>516</v>
      </c>
      <c r="C51" t="s">
        <v>312</v>
      </c>
      <c r="D51" t="s">
        <v>501</v>
      </c>
      <c r="E51">
        <v>60981</v>
      </c>
      <c r="F51">
        <v>-84128</v>
      </c>
      <c r="G51">
        <v>45600</v>
      </c>
    </row>
    <row r="52" spans="1:7">
      <c r="A52" t="s">
        <v>517</v>
      </c>
      <c r="B52" t="s">
        <v>518</v>
      </c>
      <c r="C52" t="s">
        <v>315</v>
      </c>
      <c r="D52" t="s">
        <v>501</v>
      </c>
      <c r="E52">
        <v>192770</v>
      </c>
      <c r="F52">
        <v>276898</v>
      </c>
      <c r="G52">
        <v>231298</v>
      </c>
    </row>
    <row r="53" spans="1:7">
      <c r="A53" t="s">
        <v>519</v>
      </c>
      <c r="B53" t="s">
        <v>316</v>
      </c>
      <c r="C53" t="s">
        <v>316</v>
      </c>
      <c r="D53" t="s">
        <v>501</v>
      </c>
      <c r="E53">
        <v>253751</v>
      </c>
      <c r="F53">
        <v>192770</v>
      </c>
      <c r="G53">
        <v>276898</v>
      </c>
    </row>
    <row r="54" spans="1:7">
      <c r="A54" t="s">
        <v>520</v>
      </c>
      <c r="D54" t="s">
        <v>501</v>
      </c>
    </row>
    <row r="55" spans="1:7">
      <c r="A55" t="s">
        <v>521</v>
      </c>
      <c r="D55" t="s">
        <v>501</v>
      </c>
      <c r="E55">
        <v>5345</v>
      </c>
      <c r="F55">
        <v>5296</v>
      </c>
      <c r="G55">
        <v>5309</v>
      </c>
    </row>
    <row r="56" spans="1:7">
      <c r="A56" t="s">
        <v>522</v>
      </c>
      <c r="D56" t="s">
        <v>501</v>
      </c>
      <c r="E56">
        <v>48757</v>
      </c>
      <c r="F56">
        <v>56959</v>
      </c>
      <c r="G56">
        <v>62381</v>
      </c>
    </row>
    <row r="57" spans="1:7">
      <c r="A57" t="s">
        <v>523</v>
      </c>
      <c r="B57" t="s">
        <v>311</v>
      </c>
      <c r="C57" t="s">
        <v>311</v>
      </c>
      <c r="D57" t="s">
        <v>501</v>
      </c>
    </row>
    <row r="58" spans="1:7">
      <c r="A58" t="s">
        <v>524</v>
      </c>
      <c r="D58" t="s">
        <v>501</v>
      </c>
      <c r="F58">
        <v>12555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243ABE-B15E-4997-8A16-1DB59C213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CCB62D-4359-4E66-A096-72E2E3E3C3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FF3D9-59FE-4539-ACD8-B6E04E4F689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2021-10-21T08:28:17Z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