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188" i="1"/>
  <c r="G184" i="1"/>
  <c r="F184" i="1"/>
  <c r="G89" i="1"/>
  <c r="F89" i="1"/>
  <c r="G432" i="1" l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O381" i="1"/>
  <c r="N381" i="1"/>
  <c r="M381" i="1"/>
  <c r="L381" i="1"/>
  <c r="K381" i="1"/>
  <c r="J381" i="1"/>
  <c r="O377" i="1"/>
  <c r="O375" i="1"/>
  <c r="N375" i="1"/>
  <c r="M375" i="1"/>
  <c r="L375" i="1"/>
  <c r="K375" i="1"/>
  <c r="J375" i="1"/>
  <c r="M373" i="1"/>
  <c r="I371" i="1"/>
  <c r="K370" i="1"/>
  <c r="M369" i="1"/>
  <c r="O368" i="1"/>
  <c r="G368" i="1"/>
  <c r="I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G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G319" i="1"/>
  <c r="G326" i="1" s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G377" i="1" s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65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81" i="1" s="1"/>
  <c r="F5" i="1"/>
  <c r="F368" i="1" s="1"/>
  <c r="G161" i="1" l="1"/>
  <c r="G8" i="1" s="1"/>
  <c r="G12" i="1"/>
  <c r="G366" i="1" s="1"/>
  <c r="F161" i="1"/>
  <c r="F8" i="1" s="1"/>
  <c r="F12" i="1" s="1"/>
  <c r="G44" i="1"/>
  <c r="G378" i="1" s="1"/>
  <c r="F353" i="1"/>
  <c r="F355" i="1" s="1"/>
  <c r="F357" i="1" s="1"/>
  <c r="F385" i="1"/>
  <c r="F383" i="1"/>
  <c r="F382" i="1"/>
  <c r="G383" i="1"/>
  <c r="G382" i="1"/>
  <c r="F384" i="1"/>
  <c r="F13" i="1"/>
  <c r="F377" i="1"/>
  <c r="G353" i="1"/>
  <c r="G355" i="1" s="1"/>
  <c r="G357" i="1" s="1"/>
  <c r="G385" i="1"/>
  <c r="J368" i="1"/>
  <c r="N370" i="1"/>
  <c r="J372" i="1"/>
  <c r="H373" i="1"/>
  <c r="F375" i="1"/>
  <c r="L376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M382" i="1"/>
  <c r="K383" i="1"/>
  <c r="I384" i="1"/>
  <c r="H365" i="1"/>
  <c r="L368" i="1"/>
  <c r="L372" i="1"/>
  <c r="H375" i="1"/>
  <c r="N376" i="1"/>
  <c r="L377" i="1"/>
  <c r="J378" i="1"/>
  <c r="H381" i="1"/>
  <c r="N382" i="1"/>
  <c r="J384" i="1"/>
  <c r="M368" i="1"/>
  <c r="I375" i="1"/>
  <c r="G376" i="1"/>
  <c r="O376" i="1"/>
  <c r="M377" i="1"/>
  <c r="I381" i="1"/>
  <c r="O382" i="1"/>
  <c r="K384" i="1"/>
  <c r="F363" i="1"/>
  <c r="N368" i="1"/>
  <c r="N372" i="1"/>
  <c r="H376" i="1"/>
  <c r="N377" i="1"/>
  <c r="L378" i="1"/>
  <c r="H382" i="1"/>
  <c r="O372" i="1"/>
  <c r="I376" i="1"/>
  <c r="M378" i="1"/>
  <c r="I382" i="1"/>
  <c r="F44" i="1"/>
  <c r="H363" i="1"/>
  <c r="G13" i="1"/>
  <c r="G14" i="1" s="1"/>
  <c r="I363" i="1"/>
  <c r="F376" i="1" l="1"/>
  <c r="F366" i="1"/>
  <c r="F14" i="1"/>
  <c r="G370" i="1"/>
  <c r="G59" i="1"/>
  <c r="G67" i="1" s="1"/>
  <c r="G71" i="1" s="1"/>
  <c r="G373" i="1" s="1"/>
  <c r="F378" i="1"/>
  <c r="F370" i="1"/>
  <c r="F59" i="1"/>
  <c r="F67" i="1" s="1"/>
  <c r="F71" i="1" s="1"/>
  <c r="G6" i="1" l="1"/>
  <c r="G371" i="1" s="1"/>
  <c r="G372" i="1"/>
  <c r="G83" i="1"/>
  <c r="F373" i="1"/>
  <c r="F83" i="1"/>
  <c r="F372" i="1"/>
  <c r="F6" i="1"/>
  <c r="G365" i="1" l="1"/>
  <c r="F371" i="1"/>
  <c r="F365" i="1"/>
</calcChain>
</file>

<file path=xl/sharedStrings.xml><?xml version="1.0" encoding="utf-8"?>
<sst xmlns="http://schemas.openxmlformats.org/spreadsheetml/2006/main" count="842" uniqueCount="509">
  <si>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</si>
  <si>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</si>
  <si>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</si>
  <si>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</si>
  <si>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</si>
  <si>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</si>
  <si>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</si>
  <si>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</si>
  <si>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</si>
  <si>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</si>
  <si>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</si>
  <si>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</si>
  <si>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</si>
  <si>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</si>
  <si>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</si>
  <si>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</si>
  <si>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</si>
  <si>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</si>
  <si>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</si>
  <si>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</si>
  <si>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</si>
  <si>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</si>
  <si>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</si>
  <si>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</si>
  <si>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</si>
  <si>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</si>
  <si>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</si>
  <si>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</si>
  <si>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</si>
  <si>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</si>
  <si>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</si>
  <si>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</si>
  <si>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</si>
  <si>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</si>
  <si>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</si>
  <si>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</si>
  <si>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</si>
  <si>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</si>
  <si>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</si>
  <si>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</si>
  <si>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</si>
  <si>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</si>
  <si>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</si>
  <si>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</si>
  <si>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</si>
  <si>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</si>
  <si>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</si>
  <si>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</si>
  <si>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</si>
  <si>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</si>
  <si>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</si>
  <si>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</si>
  <si>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</si>
  <si>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</si>
  <si>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</si>
  <si>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</si>
  <si>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</si>
  <si>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</si>
  <si>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</si>
  <si>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</si>
  <si>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</si>
  <si>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</si>
  <si>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</si>
  <si>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</si>
  <si>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</si>
  <si>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</si>
  <si>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</si>
  <si>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</si>
  <si>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</si>
  <si>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</si>
  <si>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</si>
  <si>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</si>
  <si>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</si>
  <si>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</si>
  <si>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</si>
  <si>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</si>
  <si>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</si>
  <si>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</si>
  <si>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</si>
  <si>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</si>
  <si>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</si>
  <si>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</si>
  <si>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</si>
  <si>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</si>
  <si>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</si>
  <si>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</si>
  <si>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</si>
  <si>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</si>
  <si>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</si>
  <si>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</si>
  <si>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</si>
  <si>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</si>
  <si>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</si>
  <si>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</si>
  <si>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</si>
  <si>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</si>
  <si>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</si>
  <si>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</si>
  <si>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</si>
  <si>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</si>
  <si>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</si>
  <si>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</si>
  <si>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</si>
  <si>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</si>
  <si>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</si>
  <si>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</si>
  <si>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</si>
  <si>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</si>
  <si>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</si>
  <si>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</si>
  <si>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</si>
  <si>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</si>
  <si>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</si>
  <si>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</si>
  <si>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</si>
  <si>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</si>
  <si>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</si>
  <si>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</si>
  <si>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</si>
  <si>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</si>
  <si>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</si>
  <si>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</si>
  <si>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</si>
  <si>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</si>
  <si>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</si>
  <si>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</si>
  <si>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</si>
  <si>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</si>
  <si>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</si>
  <si>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</si>
  <si>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</si>
  <si>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</si>
  <si>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</si>
  <si>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</si>
  <si>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</si>
  <si>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</si>
  <si>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</si>
  <si>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</si>
  <si>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</si>
  <si>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</si>
  <si>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</si>
  <si>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</si>
  <si>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</si>
  <si>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</si>
  <si>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</si>
  <si>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</si>
  <si>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</si>
  <si>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</si>
  <si>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</si>
  <si>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</si>
  <si>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</si>
  <si>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</si>
  <si>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</si>
  <si>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</si>
  <si>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</si>
  <si>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</si>
  <si>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</si>
  <si>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</si>
  <si>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</si>
  <si>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</si>
  <si>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</si>
  <si>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</si>
  <si>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</si>
  <si>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</si>
  <si>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</si>
  <si>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</si>
  <si>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</si>
  <si>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</si>
  <si>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</si>
  <si>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</si>
  <si>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</si>
  <si>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</si>
  <si>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</si>
  <si>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</si>
  <si>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</si>
  <si>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</si>
  <si>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</si>
  <si>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</si>
  <si>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</si>
  <si>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</si>
  <si>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</si>
  <si>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</si>
  <si>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</si>
  <si>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</si>
  <si>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</si>
  <si>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</si>
  <si>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</si>
  <si>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</si>
  <si>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</si>
  <si>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</si>
  <si>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</si>
  <si>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</si>
  <si>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</si>
  <si>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</si>
  <si>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</si>
  <si>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</si>
  <si>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</si>
  <si>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</si>
  <si>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</si>
  <si>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</si>
  <si>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</si>
  <si>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</si>
  <si>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</si>
  <si>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</si>
  <si>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</si>
  <si>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</si>
  <si>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</si>
  <si>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</si>
  <si>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</si>
  <si>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</si>
  <si>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</si>
  <si>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</si>
  <si>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</si>
  <si>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</si>
  <si>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</si>
  <si>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</si>
  <si>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</si>
  <si>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</si>
  <si>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</si>
  <si>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</si>
  <si>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</si>
  <si>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</si>
  <si>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</si>
  <si>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</si>
  <si>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</si>
  <si>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</si>
  <si>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</si>
  <si>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</si>
  <si>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</si>
  <si>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</si>
  <si>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</si>
  <si>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</si>
  <si>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</si>
  <si>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</si>
  <si>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</si>
  <si>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</si>
  <si>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</si>
  <si>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</si>
  <si>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</si>
  <si>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</si>
  <si>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</si>
  <si>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</si>
  <si>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</si>
  <si>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</si>
  <si>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</si>
  <si>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</si>
  <si>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</si>
  <si>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</si>
  <si>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</si>
  <si>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</si>
  <si>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</si>
  <si>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</si>
  <si>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</si>
  <si>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</si>
  <si>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</si>
  <si>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</si>
  <si>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</si>
  <si>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</si>
  <si>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</si>
  <si>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</si>
  <si>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</si>
  <si>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</si>
  <si>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</si>
  <si>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</si>
  <si>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</si>
  <si>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</si>
  <si>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</si>
  <si>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</si>
  <si>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</si>
  <si>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</si>
  <si>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</si>
  <si>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</si>
  <si>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</si>
  <si>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</si>
  <si>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</si>
  <si>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</si>
  <si>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</si>
  <si>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</si>
  <si>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</si>
  <si>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</si>
  <si>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</si>
  <si>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</si>
  <si>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</si>
  <si>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</si>
  <si>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</si>
  <si>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</si>
  <si>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</si>
  <si>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</si>
  <si>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</si>
  <si>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</si>
  <si>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</si>
  <si>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</si>
  <si>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</si>
  <si>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</si>
  <si>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</si>
  <si>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</si>
  <si>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</si>
  <si>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</si>
  <si>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</si>
  <si>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</si>
  <si>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</si>
  <si>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</si>
  <si>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</si>
  <si>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</si>
  <si>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</si>
  <si>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</si>
  <si>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</si>
  <si>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</si>
  <si>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</si>
  <si>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</si>
  <si>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</si>
  <si>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</si>
  <si>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</si>
  <si>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</si>
  <si>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</si>
  <si>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</si>
  <si>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</si>
  <si>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</si>
  <si>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</si>
  <si>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</si>
  <si>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</si>
  <si>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</si>
  <si>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</si>
  <si>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</si>
  <si>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</si>
  <si>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</si>
  <si>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</si>
  <si>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</si>
  <si>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</si>
  <si>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</si>
  <si>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</si>
  <si>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</si>
  <si>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</si>
  <si>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</si>
  <si>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</si>
  <si>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</si>
  <si>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</si>
  <si>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</si>
  <si>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</si>
  <si>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</si>
  <si>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</si>
  <si>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</si>
  <si>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</si>
  <si>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</si>
  <si>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</si>
  <si>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</si>
  <si>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</si>
  <si>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</si>
  <si>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</si>
  <si>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</si>
  <si>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</si>
  <si>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</si>
  <si>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</si>
  <si>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</si>
  <si>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</si>
  <si>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</si>
  <si>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</si>
  <si>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</si>
  <si>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</si>
  <si>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</si>
  <si>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</si>
  <si>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</si>
  <si>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</si>
  <si>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</si>
  <si>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</si>
  <si>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</si>
  <si>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</si>
  <si>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</si>
  <si>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</si>
  <si>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</si>
  <si>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</si>
  <si>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</si>
  <si>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</si>
  <si>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</si>
  <si>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CURRENT ASSETS</t>
  </si>
  <si>
    <t>Cash and Cash Equivalents</t>
  </si>
  <si>
    <t>Securities Available for Sale</t>
  </si>
  <si>
    <t>Inventories</t>
  </si>
  <si>
    <t>Land and Improvements</t>
  </si>
  <si>
    <t>Machinery and Equipment</t>
  </si>
  <si>
    <t>Plant and Equipment</t>
  </si>
  <si>
    <t>OTHER ASSETS</t>
  </si>
  <si>
    <t>Identifiable Intangibles, net</t>
  </si>
  <si>
    <t>Other Intangibles</t>
  </si>
  <si>
    <t>Goodwill</t>
  </si>
  <si>
    <t>Deferred Tax Assets</t>
  </si>
  <si>
    <t>Other</t>
  </si>
  <si>
    <t>Total Other Assets</t>
  </si>
  <si>
    <t>TOTAL ASSETS</t>
  </si>
  <si>
    <t>CURRENT LIABILITIES</t>
  </si>
  <si>
    <t>Accounts Payable</t>
  </si>
  <si>
    <t>Accounts payable</t>
  </si>
  <si>
    <t>Accrued Compensation</t>
  </si>
  <si>
    <t>Accruals</t>
  </si>
  <si>
    <t>Other Accrued Expenses</t>
  </si>
  <si>
    <t>Income Taxes Payable</t>
  </si>
  <si>
    <t>Deferred Revenue</t>
  </si>
  <si>
    <t>Accrued Revenue</t>
  </si>
  <si>
    <t>NON CURRENT LIABILITIES</t>
  </si>
  <si>
    <t>Deferred Tax Liabilities</t>
  </si>
  <si>
    <t>Other Long Term Liabilities</t>
  </si>
  <si>
    <t>SHAREHOLDERS EQUITY</t>
  </si>
  <si>
    <t>9,834,906 shares in 2017</t>
  </si>
  <si>
    <t>Additional Paid-in Capital</t>
  </si>
  <si>
    <t>Revenue</t>
  </si>
  <si>
    <t>Cost of Revenue</t>
  </si>
  <si>
    <t>Gross Profit</t>
  </si>
  <si>
    <t>Costs and Expenses:</t>
  </si>
  <si>
    <t>Selling and Marketing</t>
  </si>
  <si>
    <t>Selling and distribution expenses</t>
  </si>
  <si>
    <t>General and Administrative</t>
  </si>
  <si>
    <t>Operating Income</t>
  </si>
  <si>
    <t>Other Income (Expense):</t>
  </si>
  <si>
    <t>Investment Income</t>
  </si>
  <si>
    <t>Interest Expense</t>
  </si>
  <si>
    <t>Other, Net</t>
  </si>
  <si>
    <t>Other Income - net</t>
  </si>
  <si>
    <t>Income before Income Taxes</t>
  </si>
  <si>
    <t>Profit before Zakat</t>
  </si>
  <si>
    <t>Income Tax Provision</t>
  </si>
  <si>
    <t>Net Income</t>
  </si>
  <si>
    <t>Net Income Per Common ShareBasic</t>
  </si>
  <si>
    <t>Net Income Per Common ShareDiluted</t>
  </si>
  <si>
    <t>Weighted Average Number of Common Shares OutstandingBasic</t>
  </si>
  <si>
    <t>Dilutive Effect of Common Stock Equivalents</t>
  </si>
  <si>
    <t>Weighted Average Number of Common Shares OutstandingDiluted</t>
  </si>
  <si>
    <t>ASTRONOVA, INC</t>
  </si>
  <si>
    <t>CONSOLIDATED STATEMENTS OF COMPREHENSIVE INCOME</t>
  </si>
  <si>
    <t>For the years ended January 31</t>
  </si>
  <si>
    <t>Other Comprehensive Income (Loss), net of taxes and reclassification adjustments:</t>
  </si>
  <si>
    <t>Total Other Comprehensive Income (Loss)</t>
  </si>
  <si>
    <t>Total Other Comprehensive Income</t>
  </si>
  <si>
    <t>Foreign currency translation adjustments</t>
  </si>
  <si>
    <t>Change in value of derivatives designated as cash flow hedge</t>
  </si>
  <si>
    <t>Gain from cash flow hedges reclassified to income statement</t>
  </si>
  <si>
    <t>Unrealized gain (loss) on securities available for sale</t>
  </si>
  <si>
    <t>Other Comprehensive Income (Loss)</t>
  </si>
  <si>
    <t>Comprehensive Income</t>
  </si>
  <si>
    <t>See Notes to the Consolidated Financial Statements</t>
  </si>
  <si>
    <t>Cash Flows from Operating Activities:</t>
  </si>
  <si>
    <t>Operating Activities</t>
  </si>
  <si>
    <t>Depreciation and Amortization</t>
  </si>
  <si>
    <t>Amortization of Debt Issuance Costs</t>
  </si>
  <si>
    <t>Share-Based Compensation</t>
  </si>
  <si>
    <t>Gain on Sale of UK Property</t>
  </si>
  <si>
    <t xml:space="preserve">Adjustment for Income Tax Paid </t>
  </si>
  <si>
    <t>Cash Flows from Investing Activities:</t>
  </si>
  <si>
    <t>Investing Activities</t>
  </si>
  <si>
    <t>Purchases of Securities Available for Sale</t>
  </si>
  <si>
    <t>Proceeds from Sale of UK Property</t>
  </si>
  <si>
    <t>Cash Flows from Financing Activities:</t>
  </si>
  <si>
    <t>Financing Activities</t>
  </si>
  <si>
    <t>Purchase of Treasury Stock</t>
  </si>
  <si>
    <t>Change in TrojanLabel Earn Out Liability</t>
  </si>
  <si>
    <t>Principle Payments on Long-Term Debt</t>
  </si>
  <si>
    <t>Payments of Debt Issuance Costs</t>
  </si>
  <si>
    <t>Finance Costs</t>
  </si>
  <si>
    <t>Dividends Paid</t>
  </si>
  <si>
    <t xml:space="preserve">Dividend paid to shareholders to parent on minority interests </t>
  </si>
  <si>
    <t>Effect of Foreign Exchange Rate Changes on Cash and Cash Equivalents</t>
  </si>
  <si>
    <t>Net (Decrease) Increase in Cash and Cash Equivalents</t>
  </si>
  <si>
    <t>Net increase (decrease) in cash and cash equivalents</t>
  </si>
  <si>
    <t>Cash and Cash Equivalents, Beginning of Year</t>
  </si>
  <si>
    <t>Cash and cash equivalents at beginning of period</t>
  </si>
  <si>
    <t>Cash and Cash Equivalents, End of Year</t>
  </si>
  <si>
    <t>Supplemental Information:</t>
  </si>
  <si>
    <t>Interest</t>
  </si>
  <si>
    <t>Income Taxes, Net of Refunds</t>
  </si>
  <si>
    <t>Schedule of non-cash financing activities: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</si>
  <si>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</si>
  <si>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</si>
  <si>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</si>
  <si>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</si>
  <si>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</si>
  <si>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land and improvements</t>
  </si>
  <si>
    <t>land and buildings</t>
  </si>
  <si>
    <t>buildings and improvements</t>
  </si>
  <si>
    <t>property, plant and equipment</t>
  </si>
  <si>
    <t>accumulated depreciation and amortisation</t>
  </si>
  <si>
    <t>ordinary shares</t>
  </si>
  <si>
    <t>additional paid-in capital</t>
  </si>
  <si>
    <t>treasury stock (-)</t>
  </si>
  <si>
    <t>wrong value, changed</t>
  </si>
  <si>
    <t>deleted value</t>
  </si>
  <si>
    <t>revenue</t>
  </si>
  <si>
    <t>changed sign</t>
  </si>
  <si>
    <t>interest expense</t>
  </si>
  <si>
    <t>other income (expenses)</t>
  </si>
  <si>
    <t>other, net</t>
  </si>
  <si>
    <t>added value</t>
  </si>
  <si>
    <t>machinery and equipment</t>
  </si>
  <si>
    <t>less: accumulated depreciation</t>
  </si>
  <si>
    <t>accounts receivable, net of reserves of</t>
  </si>
  <si>
    <t>prepaid expenses</t>
  </si>
  <si>
    <t>prepaid expenses and other current assets</t>
  </si>
  <si>
    <t>other</t>
  </si>
  <si>
    <t>split value</t>
  </si>
  <si>
    <t>accrued compensation</t>
  </si>
  <si>
    <t>other accrued expenses</t>
  </si>
  <si>
    <t>Current Portion of Long-Term Debt</t>
  </si>
  <si>
    <t>current liability - royalty obligation</t>
  </si>
  <si>
    <t>current liability - excess royalty payment due</t>
  </si>
  <si>
    <t>royalty obligation, net of current portion</t>
  </si>
  <si>
    <t>long-term debt, net of current portion</t>
  </si>
  <si>
    <t>long term debt</t>
  </si>
  <si>
    <t>Common Stock, $0.05 Par Value</t>
  </si>
  <si>
    <t>Treasury Stock, at Cost, 3,227,942 shares in 2018 and 2,375,076 shares in 2017</t>
  </si>
  <si>
    <t>Accumulated Other Comprehensive Loss, Net of Tax</t>
  </si>
  <si>
    <t>other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</si>
</sst>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/>
    <xf numFmtId="3" fontId="4" fillId="0" borderId="0" xfId="2" applyFill="1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B8-4341-894A-691048D919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6E-48DA-99D5-BBEAFBECFB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44-4B54-AFC0-B7A4CF9B3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7F-463D-AD7F-EFEC14C40F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03-44CD-97A3-E764B099C3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FA-4352-9E9C-D28514769F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26-4380-9BA6-38969B661A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3A-4F24-A567-6A9E700545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3C-4568-BF7E-A7825E7882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69-472D-9B0D-A9F1BFD06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BB-49B5-9552-88DC6C2CA0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11-4037-84E4-57AFABD3F8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0C-47B2-8CED-B2CC840E43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47-40CC-89EE-4DEB5C29F3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FC-4192-9031-36A1B4CFF1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3286</v>
      </c>
      <c r="G6" s="7">
        <f t="shared" ref="G6:O6" si="1">IF(G4=$BF$1,"",G71)</f>
        <v>4228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58533</v>
      </c>
      <c r="G7" s="7">
        <f t="shared" ref="G7:O7" si="2">IF(G4=$BF$1,"",G128)</f>
        <v>22242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63780</v>
      </c>
      <c r="G8" s="7">
        <f t="shared" ref="G8:O8" si="3">IF(G4=$BF$1,"",G161)</f>
        <v>61423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25912</v>
      </c>
      <c r="G9" s="7">
        <f t="shared" ref="G9:O9" si="4">IF(G4=$BF$1,"",G189)</f>
        <v>11985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32754</v>
      </c>
      <c r="G10" s="7">
        <f t="shared" ref="G10:O10" si="5">IF(G4=$BF$1,"",G210)</f>
        <v>1143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63647</v>
      </c>
      <c r="G11" s="7">
        <f t="shared" ref="G11:O11" si="6">IF(G4=$BF$1,"",G227)</f>
        <v>70537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122313</v>
      </c>
      <c r="G12" s="35">
        <f t="shared" ref="G12:O12" si="7">IF(G4=$BF$1,"",SUM(G7:G8))</f>
        <v>83665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122313</v>
      </c>
      <c r="G13" s="35">
        <f t="shared" ref="G13:O13" si="8">IF(G4=$BF$1,"",SUM(G9:G11))</f>
        <v>83665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113401</v>
      </c>
      <c r="G24">
        <v>98448</v>
      </c>
      <c r="P24" s="48" t="s">
        <v>482</v>
      </c>
    </row>
    <row r="25" spans="5:16">
      <c r="E25" s="1" t="s">
        <v>27</v>
      </c>
      <c r="F25">
        <v>69399</v>
      </c>
      <c r="G25">
        <v>58959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44002</v>
      </c>
      <c r="G30" s="7">
        <f>IF(G4=$BF$1,"",G24-G25+ABS(G26)-G27-G28-G29)</f>
        <v>39489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  <c r="F31"/>
      <c r="G31"/>
      <c r="P31" s="48" t="s">
        <v>483</v>
      </c>
    </row>
    <row r="32" spans="5:16">
      <c r="E32" s="1" t="s">
        <v>34</v>
      </c>
    </row>
    <row r="33" spans="5:16">
      <c r="E33" s="1" t="s">
        <v>35</v>
      </c>
      <c r="F33">
        <v>22234</v>
      </c>
      <c r="G33">
        <v>18955</v>
      </c>
      <c r="H33">
        <v>18249</v>
      </c>
    </row>
    <row r="34" spans="5:16">
      <c r="E34" s="1" t="s">
        <v>36</v>
      </c>
      <c r="F34">
        <v>8903</v>
      </c>
      <c r="G34">
        <v>7939</v>
      </c>
      <c r="H34">
        <v>7030</v>
      </c>
    </row>
    <row r="35" spans="5:16">
      <c r="E35" s="1" t="s">
        <v>37</v>
      </c>
      <c r="F35">
        <v>7453</v>
      </c>
      <c r="G35">
        <v>6314</v>
      </c>
      <c r="H35">
        <v>6945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38590</v>
      </c>
      <c r="G43" s="7">
        <f>G32+G33+G34+G35+G36+G37+G38+G39+G40+G41+G42</f>
        <v>33208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5412</v>
      </c>
      <c r="G44" s="7">
        <f>IF(G4=$BF$1,"",G30+G31-G43)</f>
        <v>6281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</row>
    <row r="46" spans="5:16">
      <c r="E46" s="1" t="s">
        <v>48</v>
      </c>
      <c r="F46"/>
      <c r="G46"/>
      <c r="P46" s="48" t="s">
        <v>483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402</v>
      </c>
      <c r="G49">
        <v>0</v>
      </c>
      <c r="H49">
        <v>0</v>
      </c>
      <c r="P49" s="48" t="s">
        <v>485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168</v>
      </c>
      <c r="G52">
        <v>78</v>
      </c>
      <c r="H52">
        <v>72</v>
      </c>
    </row>
    <row r="53" spans="5:16">
      <c r="E53" s="1" t="s">
        <v>55</v>
      </c>
    </row>
    <row r="54" spans="5:16">
      <c r="E54" s="1" t="s">
        <v>56</v>
      </c>
      <c r="F54">
        <v>-21</v>
      </c>
      <c r="G54">
        <v>246</v>
      </c>
      <c r="H54">
        <v>0</v>
      </c>
      <c r="P54" s="48" t="s">
        <v>489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/>
      <c r="G57"/>
      <c r="P57" s="48" t="s">
        <v>483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5157</v>
      </c>
      <c r="G59" s="7">
        <f>IF(G4=$BF$1,"",G44+G45+G46+G47+G48-G49-G50-G51+G52-G53+G54+G55-G56+G57+G58)</f>
        <v>6605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1871</v>
      </c>
      <c r="G60">
        <v>2377</v>
      </c>
      <c r="H60">
        <v>2384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3286</v>
      </c>
      <c r="G67" s="7">
        <f>IF(G4=$BF$1,"",SUM(G59,-G60,-ABS(G61),-G62,-G66))</f>
        <v>4228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3286</v>
      </c>
      <c r="G71" s="7">
        <f t="shared" ref="G71:O71" si="14">IF(G4=$BF$1,"",SUM(G67:G70))</f>
        <v>4228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>
        <v>0</v>
      </c>
      <c r="H75">
        <v>0</v>
      </c>
      <c r="P75" s="48" t="s">
        <v>483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3286</v>
      </c>
      <c r="G83" s="7">
        <f t="shared" ref="G83:O83" si="15">IF(G4=$BF$1,"",SUM(G71:G82))</f>
        <v>4228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>
        <f>967+12056</f>
        <v>13023</v>
      </c>
      <c r="G89">
        <f>967+11266</f>
        <v>12233</v>
      </c>
      <c r="P89" s="48" t="s">
        <v>489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 s="38">
        <v>29854</v>
      </c>
      <c r="G92" s="38">
        <v>28145</v>
      </c>
      <c r="P92" s="48" t="s">
        <v>489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42877</v>
      </c>
      <c r="G98" s="7">
        <f>IF(G4=$BF$1,"",G89+G90+G91+G92+G93+G94+G95+G96)</f>
        <v>40378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-33125</v>
      </c>
      <c r="G99" s="38">
        <v>-31098</v>
      </c>
      <c r="P99" s="48" t="s">
        <v>489</v>
      </c>
    </row>
    <row r="100" spans="5:16">
      <c r="E100" s="6" t="s">
        <v>90</v>
      </c>
      <c r="F100" s="7">
        <f>F98+F99</f>
        <v>9752</v>
      </c>
      <c r="G100" s="7">
        <f t="shared" ref="G100:O100" si="17">IF(G4=$BF$1,"",G98+G99)</f>
        <v>9280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13004</v>
      </c>
      <c r="G101">
        <v>4521</v>
      </c>
    </row>
    <row r="102" spans="5:16">
      <c r="E102" s="1" t="s">
        <v>92</v>
      </c>
      <c r="F102">
        <v>33633</v>
      </c>
      <c r="G102">
        <v>5264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46637</v>
      </c>
      <c r="G104" s="7">
        <f t="shared" ref="G104:O104" si="18">IF(G4=$BF$1,"",G101+G102+G103)</f>
        <v>9785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1829</v>
      </c>
      <c r="G111">
        <v>2811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315</v>
      </c>
      <c r="G125" s="38">
        <v>366</v>
      </c>
      <c r="P125" s="48" t="s">
        <v>489</v>
      </c>
    </row>
    <row r="126" spans="5:16">
      <c r="E126" s="1" t="s">
        <v>113</v>
      </c>
      <c r="F126">
        <v>0</v>
      </c>
      <c r="G126">
        <v>0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58533</v>
      </c>
      <c r="G128" s="7">
        <f t="shared" ref="G128:O128" si="19">IF(G4=$BF$1,"",G100+SUM(G104:G126))</f>
        <v>22242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10177</v>
      </c>
      <c r="G130">
        <v>18098</v>
      </c>
    </row>
    <row r="131" spans="5:15">
      <c r="E131" s="1" t="s">
        <v>118</v>
      </c>
      <c r="F131">
        <v>1511</v>
      </c>
      <c r="G131">
        <v>6723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11688</v>
      </c>
      <c r="G140" s="7">
        <f t="shared" ref="G140:O140" si="20">IF(G4=$BF$1,"",G130+G131+G132+G133+G134+G135+G136+G139)</f>
        <v>24821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27609</v>
      </c>
      <c r="G144">
        <v>19506</v>
      </c>
    </row>
    <row r="145" spans="5:16">
      <c r="E145" s="6" t="s">
        <v>127</v>
      </c>
      <c r="F145" s="7">
        <f>F141+F142+F143+F144</f>
        <v>27609</v>
      </c>
      <c r="G145" s="7">
        <f t="shared" ref="G145:O145" si="21">IF(G4=$BF$1,"",G141+G142+G143+G144)</f>
        <v>19506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 s="38">
        <v>2083</v>
      </c>
      <c r="G154" s="38">
        <v>1394</v>
      </c>
      <c r="P154" s="48" t="s">
        <v>489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22400</v>
      </c>
      <c r="G157" s="38">
        <v>15702</v>
      </c>
      <c r="P157" s="48" t="s">
        <v>489</v>
      </c>
    </row>
    <row r="158" spans="5:16">
      <c r="E158" s="1" t="s">
        <v>138</v>
      </c>
    </row>
    <row r="159" spans="5:16">
      <c r="E159" s="1" t="s">
        <v>139</v>
      </c>
      <c r="F159"/>
      <c r="G159"/>
      <c r="P159" s="48" t="s">
        <v>483</v>
      </c>
    </row>
    <row r="160" spans="5:16">
      <c r="E160" s="6" t="s">
        <v>140</v>
      </c>
      <c r="F160" s="7">
        <f>F146+F147+F148+F149+F150+F151+F152+F153+F154+F155+F156+F157+F158+F159</f>
        <v>24483</v>
      </c>
      <c r="G160" s="7">
        <f>IF(G4=$BF$1,"",G146+G147+G148+G149+G150+G151+G152+G153+G154+G155+G156+G157+G158+G159)</f>
        <v>17096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63780</v>
      </c>
      <c r="G161" s="7">
        <f t="shared" ref="G161:O161" si="22">IF(G4=$BF$1,"",G140+G145+G160)</f>
        <v>61423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 s="38">
        <v>5498</v>
      </c>
      <c r="P167" s="48" t="s">
        <v>489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684</v>
      </c>
      <c r="G181">
        <v>1449</v>
      </c>
    </row>
    <row r="183" spans="5:16">
      <c r="E183" s="1" t="s">
        <v>160</v>
      </c>
    </row>
    <row r="184" spans="5:16">
      <c r="E184" s="12" t="s">
        <v>161</v>
      </c>
      <c r="F184">
        <f>2901+2414</f>
        <v>5315</v>
      </c>
      <c r="G184">
        <f>2936+2171</f>
        <v>5107</v>
      </c>
      <c r="P184" s="48" t="s">
        <v>496</v>
      </c>
    </row>
    <row r="185" spans="5:16">
      <c r="E185" s="12" t="s">
        <v>162</v>
      </c>
      <c r="F185">
        <v>367</v>
      </c>
      <c r="G185">
        <v>472</v>
      </c>
    </row>
    <row r="187" spans="5:16">
      <c r="E187" s="1" t="s">
        <v>163</v>
      </c>
      <c r="F187">
        <v>11808</v>
      </c>
      <c r="G187">
        <v>4957</v>
      </c>
    </row>
    <row r="188" spans="5:16">
      <c r="E188" s="1" t="s">
        <v>164</v>
      </c>
      <c r="F188" s="38">
        <f>1625+615</f>
        <v>2240</v>
      </c>
      <c r="P188" s="48" t="s">
        <v>489</v>
      </c>
    </row>
    <row r="189" spans="5:16">
      <c r="E189" s="6" t="s">
        <v>13</v>
      </c>
      <c r="F189" s="7">
        <f>SUM(F163:F188)</f>
        <v>25912</v>
      </c>
      <c r="G189" s="7">
        <f t="shared" ref="G189:O189" si="23">IF(G4=$BF$1,"",SUM(G163:G188))</f>
        <v>11985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 s="38">
        <v>11760</v>
      </c>
      <c r="P193" s="48" t="s">
        <v>489</v>
      </c>
    </row>
    <row r="194" spans="5:16">
      <c r="E194" s="1" t="s">
        <v>169</v>
      </c>
      <c r="F194" s="38">
        <v>17648</v>
      </c>
      <c r="P194" s="48" t="s">
        <v>489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>
        <v>698</v>
      </c>
      <c r="G203">
        <v>11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2648</v>
      </c>
      <c r="G209">
        <v>1132</v>
      </c>
    </row>
    <row r="210" spans="5:16">
      <c r="E210" s="6" t="s">
        <v>14</v>
      </c>
      <c r="F210" s="7">
        <f>SUM(F191:F209)</f>
        <v>32754</v>
      </c>
      <c r="G210" s="7">
        <f t="shared" ref="G210:O210" si="24">IF(G4=$BF$1,"",SUM(G191:G209))</f>
        <v>1143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500+50016</f>
        <v>50516</v>
      </c>
      <c r="G212">
        <f>492+47524</f>
        <v>48016</v>
      </c>
      <c r="P212" s="48" t="s">
        <v>489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45700</v>
      </c>
      <c r="G217">
        <v>44358</v>
      </c>
    </row>
    <row r="218" spans="5:16">
      <c r="E218" s="1" t="s">
        <v>188</v>
      </c>
    </row>
    <row r="219" spans="5:16">
      <c r="E219" s="1" t="s">
        <v>189</v>
      </c>
      <c r="F219" s="38">
        <v>-172</v>
      </c>
      <c r="G219" s="38">
        <v>-1056</v>
      </c>
      <c r="P219" s="48" t="s">
        <v>489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-32397</v>
      </c>
      <c r="G223" s="38">
        <v>-20781</v>
      </c>
      <c r="P223" s="48" t="s">
        <v>489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63647</v>
      </c>
      <c r="G227" s="7">
        <f t="shared" ref="G227:O227" si="25">IF(G4=$BF$1,"",SUM(G212:G226))</f>
        <v>70537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3286</v>
      </c>
      <c r="G267">
        <v>4228</v>
      </c>
      <c r="H267">
        <v>4525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3994</v>
      </c>
      <c r="G271">
        <v>2431</v>
      </c>
      <c r="H271">
        <v>2065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34</v>
      </c>
      <c r="G275">
        <v>0</v>
      </c>
      <c r="H275">
        <v>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1139</v>
      </c>
      <c r="G284">
        <v>2103</v>
      </c>
      <c r="H284">
        <v>2669</v>
      </c>
    </row>
    <row r="285" spans="5:8">
      <c r="E285" s="1" t="s">
        <v>248</v>
      </c>
      <c r="F285">
        <v>1583</v>
      </c>
      <c r="G285">
        <v>1019</v>
      </c>
      <c r="H285">
        <v>1209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-92</v>
      </c>
      <c r="G288">
        <v>982</v>
      </c>
      <c r="H288">
        <v>407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6658</v>
      </c>
      <c r="G296" s="7">
        <f>IF(G4=$BF$1,"",G271+G272+G273+G274+G275+G276+G277+G278+G279+G280+G281+G282+G283+G284+G285+G286+G287+G288+G289+G290+G291+G292+G293+G294+G295)</f>
        <v>6535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9944</v>
      </c>
      <c r="G297" s="7">
        <f t="shared" ref="G297:O297" si="27">IF(G4=$BF$1,"",MIN(F267,F268,F269)+F296)</f>
        <v>9944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-5509</v>
      </c>
      <c r="G299">
        <v>-4659</v>
      </c>
      <c r="H299">
        <v>600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-4722</v>
      </c>
      <c r="G303">
        <v>-416</v>
      </c>
      <c r="H303">
        <v>-1285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-10231</v>
      </c>
      <c r="G318" s="7">
        <f>IF(G4=$BF$1,"",G299+G300+G301+G302+G303+G304+G305+G306+G307+G308+G309+G310+G311+G312+G313+G314+G315+G316+G317)</f>
        <v>-5075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-287</v>
      </c>
      <c r="G319" s="7">
        <f t="shared" ref="G319:O319" si="28">IF(G4=$BF$1,"",G297+G318)</f>
        <v>4869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-287</v>
      </c>
      <c r="G326" s="7">
        <f t="shared" ref="G326:O326" si="30">IF(G4=$BF$1,"",G325+G319)</f>
        <v>4869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  <c r="F329">
        <v>0</v>
      </c>
      <c r="G329">
        <v>474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-321</v>
      </c>
      <c r="G331">
        <v>-400</v>
      </c>
      <c r="H331">
        <v>-5192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-321</v>
      </c>
      <c r="G337" s="7">
        <f>IF(G4=$BF$1,"",SUM(G328:G336))</f>
        <v>74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-828</v>
      </c>
      <c r="G343">
        <v>0</v>
      </c>
      <c r="H343">
        <v>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-1944</v>
      </c>
      <c r="G348">
        <v>-2082</v>
      </c>
      <c r="H348">
        <v>-2048</v>
      </c>
    </row>
    <row r="349" spans="5:15">
      <c r="E349" s="12" t="s">
        <v>308</v>
      </c>
      <c r="F349">
        <v>-234</v>
      </c>
      <c r="G349">
        <v>0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-3006</v>
      </c>
      <c r="G352" s="7">
        <f>IF(G4=$BF$1,"",SUM(G339:G351))</f>
        <v>-2082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-3614</v>
      </c>
      <c r="G353" s="7">
        <f t="shared" ref="G353:O353" si="33">IF(G4=$BF$1,"",G326+G337+G352)</f>
        <v>2861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79</v>
      </c>
      <c r="G354">
        <v>-16</v>
      </c>
      <c r="H354">
        <v>-504</v>
      </c>
    </row>
    <row r="355" spans="5:15">
      <c r="E355" s="6" t="s">
        <v>314</v>
      </c>
      <c r="F355" s="7">
        <f>F353+F354</f>
        <v>-3535</v>
      </c>
      <c r="G355" s="7">
        <f t="shared" ref="G355:O355" si="34">IF(G4=$BF$1,"",G353+G354)</f>
        <v>2845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18098</v>
      </c>
      <c r="G356">
        <v>10043</v>
      </c>
      <c r="H356">
        <v>7958</v>
      </c>
    </row>
    <row r="357" spans="5:15">
      <c r="E357" s="6" t="s">
        <v>316</v>
      </c>
      <c r="F357" s="7">
        <f>F355+F356</f>
        <v>14563</v>
      </c>
      <c r="G357" s="7">
        <f t="shared" ref="G357:O357" si="35">IF(G4=$BF$1,"",G355+G356)</f>
        <v>12888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0.15188729075247848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-0.2228003784295175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0.46193748879459751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0.38802126965370676</v>
      </c>
      <c r="G369" s="27">
        <f t="shared" si="41"/>
        <v>0.40111530960507069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4.7724446874366187E-2</v>
      </c>
      <c r="G370" s="27">
        <f t="shared" si="42"/>
        <v>6.3800178774581509E-2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2.8976816782920786E-2</v>
      </c>
      <c r="G371" s="28">
        <f t="shared" si="43"/>
        <v>4.2946530147895338E-2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2.6865500805310964E-2</v>
      </c>
      <c r="G372" s="27">
        <f t="shared" si="44"/>
        <v>5.0534871212573954E-2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5.1628513519883103E-2</v>
      </c>
      <c r="G373" s="27">
        <f t="shared" si="45"/>
        <v>5.9940173242411784E-2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0.47963830500437404</v>
      </c>
      <c r="G376" s="30">
        <f t="shared" si="47"/>
        <v>0.156911492260802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0.92174022341979989</v>
      </c>
      <c r="G377" s="30">
        <f t="shared" si="48"/>
        <v>0.18611508853509506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13.462686567164178</v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2.4614078419265204</v>
      </c>
      <c r="G382" s="32">
        <f t="shared" si="51"/>
        <v>5.1249895702962034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1.3959169496758259</v>
      </c>
      <c r="G383" s="32">
        <f t="shared" si="52"/>
        <v>3.4974551522736754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0.45106514356282801</v>
      </c>
      <c r="G384" s="32">
        <f t="shared" si="53"/>
        <v>2.0710054234459743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-1.1075949367088608E-2</v>
      </c>
      <c r="G385" s="32">
        <f t="shared" si="54"/>
        <v>0.40625782227784729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10177</v>
      </c>
      <c r="G418" s="17">
        <f>G130-G417</f>
        <v>18098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469</v>
      </c>
      <c r="B1" s="39" t="s">
        <v>470</v>
      </c>
      <c r="C1" s="39" t="s">
        <v>471</v>
      </c>
      <c r="D1" s="39"/>
    </row>
    <row r="2" spans="1:4">
      <c r="A2" t="s">
        <v>484</v>
      </c>
      <c r="B2" s="41" t="s">
        <v>472</v>
      </c>
      <c r="C2" s="39" t="s">
        <v>473</v>
      </c>
      <c r="D2" s="39"/>
    </row>
    <row r="3" spans="1:4">
      <c r="A3" t="s">
        <v>486</v>
      </c>
      <c r="B3" s="41" t="s">
        <v>51</v>
      </c>
      <c r="C3" s="39" t="s">
        <v>473</v>
      </c>
    </row>
    <row r="4" spans="1:4">
      <c r="A4" t="s">
        <v>488</v>
      </c>
      <c r="B4" s="41" t="s">
        <v>487</v>
      </c>
      <c r="C4" s="39" t="s">
        <v>473</v>
      </c>
    </row>
    <row r="5" spans="1:4">
      <c r="A5" t="s">
        <v>474</v>
      </c>
      <c r="B5" s="41" t="s">
        <v>475</v>
      </c>
      <c r="C5" s="39" t="s">
        <v>473</v>
      </c>
    </row>
    <row r="6" spans="1:4">
      <c r="A6" t="s">
        <v>476</v>
      </c>
      <c r="B6" s="42" t="s">
        <v>475</v>
      </c>
      <c r="C6" s="39" t="s">
        <v>473</v>
      </c>
    </row>
    <row r="7" spans="1:4">
      <c r="A7" t="s">
        <v>490</v>
      </c>
      <c r="B7" s="41" t="s">
        <v>477</v>
      </c>
      <c r="C7" s="39" t="s">
        <v>473</v>
      </c>
    </row>
    <row r="8" spans="1:4">
      <c r="A8" t="s">
        <v>491</v>
      </c>
      <c r="B8" s="42" t="s">
        <v>478</v>
      </c>
      <c r="C8" s="39" t="s">
        <v>473</v>
      </c>
    </row>
    <row r="9" spans="1:4">
      <c r="A9" t="s">
        <v>492</v>
      </c>
      <c r="B9" t="s">
        <v>137</v>
      </c>
      <c r="C9" s="39" t="s">
        <v>473</v>
      </c>
    </row>
    <row r="10" spans="1:4">
      <c r="A10" t="s">
        <v>494</v>
      </c>
      <c r="B10" s="41" t="s">
        <v>493</v>
      </c>
      <c r="C10" s="39" t="s">
        <v>473</v>
      </c>
    </row>
    <row r="11" spans="1:4">
      <c r="A11" s="41" t="s">
        <v>495</v>
      </c>
      <c r="B11" s="41" t="s">
        <v>112</v>
      </c>
      <c r="C11" s="39" t="s">
        <v>473</v>
      </c>
    </row>
    <row r="12" spans="1:4">
      <c r="A12" s="41" t="s">
        <v>497</v>
      </c>
      <c r="B12" s="41" t="s">
        <v>161</v>
      </c>
      <c r="C12" s="39" t="s">
        <v>473</v>
      </c>
    </row>
    <row r="13" spans="1:4">
      <c r="A13" s="42" t="s">
        <v>498</v>
      </c>
      <c r="B13" s="41" t="s">
        <v>161</v>
      </c>
      <c r="C13" s="39" t="s">
        <v>473</v>
      </c>
    </row>
    <row r="14" spans="1:4">
      <c r="A14" s="42" t="s">
        <v>499</v>
      </c>
      <c r="B14" s="42" t="s">
        <v>146</v>
      </c>
      <c r="C14" s="39" t="s">
        <v>473</v>
      </c>
    </row>
    <row r="15" spans="1:4">
      <c r="A15" s="42" t="s">
        <v>500</v>
      </c>
      <c r="B15" s="42" t="s">
        <v>164</v>
      </c>
      <c r="C15" s="39" t="s">
        <v>473</v>
      </c>
    </row>
    <row r="16" spans="1:4">
      <c r="A16" s="43" t="s">
        <v>501</v>
      </c>
      <c r="B16" s="42" t="s">
        <v>164</v>
      </c>
      <c r="C16" s="39" t="s">
        <v>473</v>
      </c>
    </row>
    <row r="17" spans="1:3">
      <c r="A17" s="42" t="s">
        <v>502</v>
      </c>
      <c r="B17" s="41" t="s">
        <v>168</v>
      </c>
      <c r="C17" s="39" t="s">
        <v>473</v>
      </c>
    </row>
    <row r="18" spans="1:3">
      <c r="A18" s="42" t="s">
        <v>503</v>
      </c>
      <c r="B18" s="44" t="s">
        <v>504</v>
      </c>
      <c r="C18" s="39" t="s">
        <v>473</v>
      </c>
    </row>
    <row r="19" spans="1:3">
      <c r="A19" t="s">
        <v>505</v>
      </c>
      <c r="B19" s="45" t="s">
        <v>479</v>
      </c>
      <c r="C19" s="39" t="s">
        <v>473</v>
      </c>
    </row>
    <row r="20" spans="1:3">
      <c r="A20" s="42" t="s">
        <v>480</v>
      </c>
      <c r="B20" s="44" t="s">
        <v>479</v>
      </c>
      <c r="C20" s="39" t="s">
        <v>473</v>
      </c>
    </row>
    <row r="21" spans="1:3">
      <c r="A21" t="s">
        <v>506</v>
      </c>
      <c r="B21" s="46" t="s">
        <v>481</v>
      </c>
      <c r="C21" s="39" t="s">
        <v>473</v>
      </c>
    </row>
    <row r="22" spans="1:3">
      <c r="A22" t="s">
        <v>507</v>
      </c>
      <c r="B22" s="45" t="s">
        <v>508</v>
      </c>
      <c r="C22" s="39" t="s">
        <v>473</v>
      </c>
    </row>
    <row r="23" spans="1:3">
      <c r="A23" s="42"/>
      <c r="B23" s="44"/>
      <c r="C23" s="39"/>
    </row>
    <row r="24" spans="1:3">
      <c r="A24" s="42"/>
      <c r="B24" s="44"/>
      <c r="C24" s="39"/>
    </row>
    <row r="25" spans="1:3">
      <c r="A25" s="42"/>
      <c r="B25" s="44"/>
      <c r="C25" s="39"/>
    </row>
    <row r="26" spans="1:3">
      <c r="A26"/>
      <c r="B26" s="44"/>
      <c r="C26" s="39"/>
    </row>
    <row r="27" spans="1:3">
      <c r="A27"/>
      <c r="B27" s="44"/>
      <c r="C27" s="39"/>
    </row>
    <row r="28" spans="1:3">
      <c r="A28" s="47"/>
      <c r="B28" s="44"/>
      <c r="C28" s="39"/>
    </row>
    <row r="29" spans="1:3">
      <c r="A29" s="47"/>
      <c r="B29" s="44"/>
      <c r="C29" s="39"/>
    </row>
    <row r="30" spans="1:3">
      <c r="A30" s="47"/>
      <c r="B30" s="44"/>
      <c r="C30" s="39"/>
    </row>
    <row r="31" spans="1:3">
      <c r="A31" s="44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5"/>
      <c r="B38" s="44"/>
      <c r="C38" s="39"/>
    </row>
    <row r="39" spans="1:3">
      <c r="A39" s="45"/>
      <c r="B39" s="44"/>
      <c r="C39" s="39"/>
    </row>
    <row r="40" spans="1:3">
      <c r="A40" s="45"/>
      <c r="B40" s="44"/>
      <c r="C40" s="39"/>
    </row>
    <row r="41" spans="1:3">
      <c r="A41" s="45"/>
      <c r="B41" s="44"/>
      <c r="C41" s="39"/>
    </row>
    <row r="42" spans="1:3">
      <c r="A42" s="45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/>
  </sheetViews>
  <sheetFormatPr defaultRowHeight="12.75"/>
  <cols>
    <col min="1" max="4" width="25.7109375" customWidth="1"/>
  </cols>
  <sheetData>
    <row r="3" spans="1:6">
      <c r="E3">
        <v>2018</v>
      </c>
      <c r="F3">
        <v>2017</v>
      </c>
    </row>
    <row r="5" spans="1:6">
      <c r="A5" t="s">
        <v>374</v>
      </c>
      <c r="B5" t="s">
        <v>116</v>
      </c>
      <c r="C5" t="s">
        <v>116</v>
      </c>
      <c r="D5" t="s">
        <v>116</v>
      </c>
    </row>
    <row r="6" spans="1:6">
      <c r="A6" t="s">
        <v>375</v>
      </c>
      <c r="B6" t="s">
        <v>117</v>
      </c>
      <c r="C6" t="s">
        <v>117</v>
      </c>
      <c r="D6" t="s">
        <v>116</v>
      </c>
      <c r="E6">
        <v>10177</v>
      </c>
      <c r="F6">
        <v>18098</v>
      </c>
    </row>
    <row r="7" spans="1:6">
      <c r="A7" t="s">
        <v>376</v>
      </c>
      <c r="B7" t="s">
        <v>118</v>
      </c>
      <c r="C7" t="s">
        <v>118</v>
      </c>
      <c r="D7" t="s">
        <v>116</v>
      </c>
      <c r="E7">
        <v>1511</v>
      </c>
      <c r="F7">
        <v>6723</v>
      </c>
    </row>
    <row r="8" spans="1:6">
      <c r="D8" t="s">
        <v>116</v>
      </c>
      <c r="E8">
        <v>22400</v>
      </c>
      <c r="F8">
        <v>15702</v>
      </c>
    </row>
    <row r="9" spans="1:6">
      <c r="A9" t="s">
        <v>377</v>
      </c>
      <c r="B9" t="s">
        <v>126</v>
      </c>
      <c r="C9" t="s">
        <v>126</v>
      </c>
      <c r="D9" t="s">
        <v>116</v>
      </c>
      <c r="E9">
        <v>27609</v>
      </c>
      <c r="F9">
        <v>19506</v>
      </c>
    </row>
    <row r="10" spans="1:6">
      <c r="D10" t="s">
        <v>116</v>
      </c>
      <c r="E10">
        <v>2083</v>
      </c>
      <c r="F10">
        <v>1394</v>
      </c>
    </row>
    <row r="11" spans="1:6">
      <c r="D11" t="s">
        <v>116</v>
      </c>
      <c r="E11">
        <v>63780</v>
      </c>
      <c r="F11">
        <v>61423</v>
      </c>
    </row>
    <row r="12" spans="1:6">
      <c r="D12" t="s">
        <v>116</v>
      </c>
    </row>
    <row r="13" spans="1:6">
      <c r="A13" t="s">
        <v>378</v>
      </c>
      <c r="B13" t="s">
        <v>81</v>
      </c>
      <c r="C13" t="s">
        <v>81</v>
      </c>
      <c r="D13" t="s">
        <v>80</v>
      </c>
      <c r="E13">
        <v>967</v>
      </c>
      <c r="F13">
        <v>967</v>
      </c>
    </row>
    <row r="14" spans="1:6">
      <c r="D14" t="s">
        <v>116</v>
      </c>
      <c r="E14">
        <v>12056</v>
      </c>
      <c r="F14">
        <v>11266</v>
      </c>
    </row>
    <row r="15" spans="1:6">
      <c r="A15" t="s">
        <v>379</v>
      </c>
      <c r="B15" t="s">
        <v>380</v>
      </c>
      <c r="C15" t="s">
        <v>84</v>
      </c>
      <c r="D15" t="s">
        <v>116</v>
      </c>
      <c r="E15">
        <v>29854</v>
      </c>
      <c r="F15">
        <v>28145</v>
      </c>
    </row>
    <row r="16" spans="1:6">
      <c r="D16" t="s">
        <v>116</v>
      </c>
      <c r="E16">
        <v>42877</v>
      </c>
      <c r="F16">
        <v>40378</v>
      </c>
    </row>
    <row r="17" spans="1:6">
      <c r="D17" t="s">
        <v>116</v>
      </c>
      <c r="E17">
        <v>-33125</v>
      </c>
      <c r="F17">
        <v>-31098</v>
      </c>
    </row>
    <row r="18" spans="1:6">
      <c r="D18" t="s">
        <v>116</v>
      </c>
      <c r="E18">
        <v>9752</v>
      </c>
      <c r="F18">
        <v>9280</v>
      </c>
    </row>
    <row r="19" spans="1:6">
      <c r="A19" t="s">
        <v>381</v>
      </c>
      <c r="B19" t="s">
        <v>113</v>
      </c>
      <c r="C19" t="s">
        <v>113</v>
      </c>
      <c r="D19" t="s">
        <v>80</v>
      </c>
    </row>
    <row r="20" spans="1:6">
      <c r="A20" t="s">
        <v>382</v>
      </c>
      <c r="B20" t="s">
        <v>383</v>
      </c>
      <c r="C20" t="s">
        <v>92</v>
      </c>
      <c r="D20" t="s">
        <v>80</v>
      </c>
      <c r="E20">
        <v>33633</v>
      </c>
      <c r="F20">
        <v>5264</v>
      </c>
    </row>
    <row r="21" spans="1:6">
      <c r="A21" t="s">
        <v>384</v>
      </c>
      <c r="B21" t="s">
        <v>384</v>
      </c>
      <c r="C21" t="s">
        <v>91</v>
      </c>
      <c r="D21" t="s">
        <v>80</v>
      </c>
      <c r="E21">
        <v>13004</v>
      </c>
      <c r="F21">
        <v>4521</v>
      </c>
    </row>
    <row r="22" spans="1:6">
      <c r="A22" t="s">
        <v>385</v>
      </c>
      <c r="B22" t="s">
        <v>101</v>
      </c>
      <c r="C22" t="s">
        <v>101</v>
      </c>
      <c r="D22" t="s">
        <v>80</v>
      </c>
      <c r="E22">
        <v>1829</v>
      </c>
      <c r="F22">
        <v>2811</v>
      </c>
    </row>
    <row r="23" spans="1:6">
      <c r="A23" t="s">
        <v>386</v>
      </c>
      <c r="B23" t="s">
        <v>139</v>
      </c>
      <c r="C23" t="s">
        <v>139</v>
      </c>
      <c r="D23" t="s">
        <v>116</v>
      </c>
      <c r="E23">
        <v>315</v>
      </c>
      <c r="F23">
        <v>366</v>
      </c>
    </row>
    <row r="24" spans="1:6">
      <c r="A24" t="s">
        <v>387</v>
      </c>
      <c r="B24" t="s">
        <v>140</v>
      </c>
      <c r="C24" t="s">
        <v>140</v>
      </c>
      <c r="D24" t="s">
        <v>80</v>
      </c>
      <c r="E24">
        <v>48781</v>
      </c>
      <c r="F24">
        <v>12962</v>
      </c>
    </row>
    <row r="25" spans="1:6">
      <c r="A25" t="s">
        <v>388</v>
      </c>
      <c r="D25" t="s">
        <v>80</v>
      </c>
      <c r="E25">
        <v>122313</v>
      </c>
      <c r="F25">
        <v>83665</v>
      </c>
    </row>
    <row r="26" spans="1:6">
      <c r="D26" t="s">
        <v>80</v>
      </c>
    </row>
    <row r="27" spans="1:6">
      <c r="A27" t="s">
        <v>389</v>
      </c>
      <c r="B27" t="s">
        <v>141</v>
      </c>
      <c r="C27" t="s">
        <v>141</v>
      </c>
      <c r="D27" t="s">
        <v>141</v>
      </c>
    </row>
    <row r="28" spans="1:6">
      <c r="A28" t="s">
        <v>390</v>
      </c>
      <c r="B28" t="s">
        <v>391</v>
      </c>
      <c r="C28" t="s">
        <v>163</v>
      </c>
      <c r="D28" t="s">
        <v>141</v>
      </c>
      <c r="E28">
        <v>11808</v>
      </c>
      <c r="F28">
        <v>4957</v>
      </c>
    </row>
    <row r="29" spans="1:6">
      <c r="A29" t="s">
        <v>392</v>
      </c>
      <c r="B29" t="s">
        <v>393</v>
      </c>
      <c r="C29" t="s">
        <v>161</v>
      </c>
      <c r="D29" t="s">
        <v>141</v>
      </c>
      <c r="E29">
        <v>2901</v>
      </c>
      <c r="F29">
        <v>2936</v>
      </c>
    </row>
    <row r="30" spans="1:6">
      <c r="A30" t="s">
        <v>394</v>
      </c>
      <c r="B30" t="s">
        <v>393</v>
      </c>
      <c r="C30" t="s">
        <v>161</v>
      </c>
      <c r="D30" t="s">
        <v>141</v>
      </c>
      <c r="E30">
        <v>2414</v>
      </c>
      <c r="F30">
        <v>2171</v>
      </c>
    </row>
    <row r="31" spans="1:6">
      <c r="D31" t="s">
        <v>141</v>
      </c>
      <c r="E31">
        <v>5498</v>
      </c>
    </row>
    <row r="32" spans="1:6">
      <c r="D32" t="s">
        <v>141</v>
      </c>
      <c r="E32">
        <v>1625</v>
      </c>
    </row>
    <row r="33" spans="1:6">
      <c r="D33" t="s">
        <v>141</v>
      </c>
      <c r="E33">
        <v>615</v>
      </c>
    </row>
    <row r="34" spans="1:6">
      <c r="A34" t="s">
        <v>395</v>
      </c>
      <c r="B34" t="s">
        <v>159</v>
      </c>
      <c r="C34" t="s">
        <v>159</v>
      </c>
      <c r="D34" t="s">
        <v>141</v>
      </c>
      <c r="E34">
        <v>684</v>
      </c>
      <c r="F34">
        <v>1449</v>
      </c>
    </row>
    <row r="35" spans="1:6">
      <c r="A35" t="s">
        <v>396</v>
      </c>
      <c r="B35" t="s">
        <v>397</v>
      </c>
      <c r="C35" t="s">
        <v>162</v>
      </c>
      <c r="D35" t="s">
        <v>141</v>
      </c>
      <c r="E35">
        <v>367</v>
      </c>
      <c r="F35">
        <v>472</v>
      </c>
    </row>
    <row r="36" spans="1:6">
      <c r="D36" t="s">
        <v>141</v>
      </c>
      <c r="E36">
        <v>25912</v>
      </c>
      <c r="F36">
        <v>11985</v>
      </c>
    </row>
    <row r="37" spans="1:6">
      <c r="A37" t="s">
        <v>398</v>
      </c>
      <c r="B37" t="s">
        <v>141</v>
      </c>
      <c r="C37" t="s">
        <v>141</v>
      </c>
      <c r="D37" t="s">
        <v>165</v>
      </c>
    </row>
    <row r="38" spans="1:6">
      <c r="D38" t="s">
        <v>141</v>
      </c>
      <c r="E38">
        <v>17648</v>
      </c>
    </row>
    <row r="39" spans="1:6">
      <c r="D39" t="s">
        <v>141</v>
      </c>
      <c r="E39">
        <v>11760</v>
      </c>
    </row>
    <row r="40" spans="1:6">
      <c r="A40" t="s">
        <v>399</v>
      </c>
      <c r="B40" t="s">
        <v>178</v>
      </c>
      <c r="C40" t="s">
        <v>178</v>
      </c>
      <c r="D40" t="s">
        <v>165</v>
      </c>
      <c r="E40">
        <v>698</v>
      </c>
      <c r="F40">
        <v>11</v>
      </c>
    </row>
    <row r="41" spans="1:6">
      <c r="A41" t="s">
        <v>400</v>
      </c>
      <c r="B41" t="s">
        <v>180</v>
      </c>
      <c r="C41" t="s">
        <v>180</v>
      </c>
      <c r="D41" t="s">
        <v>165</v>
      </c>
      <c r="E41">
        <v>2648</v>
      </c>
      <c r="F41">
        <v>1132</v>
      </c>
    </row>
    <row r="42" spans="1:6">
      <c r="D42" t="s">
        <v>165</v>
      </c>
      <c r="E42">
        <v>58666</v>
      </c>
      <c r="F42">
        <v>13128</v>
      </c>
    </row>
    <row r="43" spans="1:6">
      <c r="D43" t="s">
        <v>165</v>
      </c>
    </row>
    <row r="44" spans="1:6">
      <c r="A44" t="s">
        <v>401</v>
      </c>
      <c r="B44" t="s">
        <v>181</v>
      </c>
      <c r="C44" t="s">
        <v>181</v>
      </c>
      <c r="D44" t="s">
        <v>181</v>
      </c>
    </row>
    <row r="45" spans="1:6">
      <c r="D45" t="s">
        <v>181</v>
      </c>
    </row>
    <row r="46" spans="1:6">
      <c r="D46" t="s">
        <v>181</v>
      </c>
    </row>
    <row r="47" spans="1:6">
      <c r="A47" t="s">
        <v>402</v>
      </c>
      <c r="D47" t="s">
        <v>181</v>
      </c>
      <c r="E47">
        <v>500</v>
      </c>
      <c r="F47">
        <v>492</v>
      </c>
    </row>
    <row r="48" spans="1:6">
      <c r="A48" t="s">
        <v>403</v>
      </c>
      <c r="B48" t="s">
        <v>182</v>
      </c>
      <c r="C48" t="s">
        <v>182</v>
      </c>
      <c r="D48" t="s">
        <v>181</v>
      </c>
      <c r="E48">
        <v>50016</v>
      </c>
      <c r="F48">
        <v>47524</v>
      </c>
    </row>
    <row r="49" spans="1:6">
      <c r="A49" t="s">
        <v>187</v>
      </c>
      <c r="B49" t="s">
        <v>187</v>
      </c>
      <c r="C49" t="s">
        <v>187</v>
      </c>
      <c r="D49" t="s">
        <v>181</v>
      </c>
      <c r="E49">
        <v>45700</v>
      </c>
      <c r="F49">
        <v>44358</v>
      </c>
    </row>
    <row r="50" spans="1:6">
      <c r="D50" t="s">
        <v>181</v>
      </c>
      <c r="E50">
        <v>-32397</v>
      </c>
      <c r="F50">
        <v>-20781</v>
      </c>
    </row>
    <row r="51" spans="1:6">
      <c r="D51" t="s">
        <v>181</v>
      </c>
      <c r="E51">
        <v>-172</v>
      </c>
      <c r="F51">
        <v>-1056</v>
      </c>
    </row>
    <row r="52" spans="1:6">
      <c r="D52" t="s">
        <v>181</v>
      </c>
      <c r="E52">
        <v>63647</v>
      </c>
      <c r="F52">
        <v>70537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9"/>
  <sheetViews>
    <sheetView workbookViewId="0">
      <selection activeCell="C4" sqref="C4"/>
    </sheetView>
  </sheetViews>
  <sheetFormatPr defaultRowHeight="12.75"/>
  <cols>
    <col min="1" max="4" width="25.7109375" customWidth="1"/>
  </cols>
  <sheetData>
    <row r="3" spans="1:7">
      <c r="E3">
        <v>2018</v>
      </c>
      <c r="F3">
        <v>2017</v>
      </c>
      <c r="G3">
        <v>2016</v>
      </c>
    </row>
    <row r="4" spans="1:7">
      <c r="A4" t="s">
        <v>404</v>
      </c>
      <c r="B4" t="s">
        <v>404</v>
      </c>
      <c r="C4" t="s">
        <v>26</v>
      </c>
      <c r="D4" t="s">
        <v>404</v>
      </c>
      <c r="E4">
        <v>113401</v>
      </c>
      <c r="F4">
        <v>98448</v>
      </c>
      <c r="G4">
        <v>94658</v>
      </c>
    </row>
    <row r="5" spans="1:7">
      <c r="A5" t="s">
        <v>405</v>
      </c>
      <c r="B5" t="s">
        <v>27</v>
      </c>
      <c r="C5" t="s">
        <v>27</v>
      </c>
      <c r="D5" t="s">
        <v>404</v>
      </c>
      <c r="E5">
        <v>69399</v>
      </c>
      <c r="F5">
        <v>58959</v>
      </c>
      <c r="G5">
        <v>56500</v>
      </c>
    </row>
    <row r="6" spans="1:7">
      <c r="A6" t="s">
        <v>406</v>
      </c>
      <c r="B6" t="s">
        <v>406</v>
      </c>
      <c r="C6" t="s">
        <v>32</v>
      </c>
      <c r="D6" t="s">
        <v>404</v>
      </c>
      <c r="E6">
        <v>44002</v>
      </c>
      <c r="F6">
        <v>39489</v>
      </c>
      <c r="G6">
        <v>38158</v>
      </c>
    </row>
    <row r="7" spans="1:7">
      <c r="A7" t="s">
        <v>407</v>
      </c>
      <c r="D7" t="s">
        <v>404</v>
      </c>
    </row>
    <row r="8" spans="1:7">
      <c r="A8" t="s">
        <v>408</v>
      </c>
      <c r="B8" t="s">
        <v>409</v>
      </c>
      <c r="C8" t="s">
        <v>35</v>
      </c>
      <c r="D8" t="s">
        <v>404</v>
      </c>
      <c r="E8">
        <v>22234</v>
      </c>
      <c r="F8">
        <v>18955</v>
      </c>
      <c r="G8">
        <v>18249</v>
      </c>
    </row>
    <row r="9" spans="1:7">
      <c r="A9" t="s">
        <v>37</v>
      </c>
      <c r="B9" t="s">
        <v>37</v>
      </c>
      <c r="C9" t="s">
        <v>37</v>
      </c>
      <c r="D9" t="s">
        <v>404</v>
      </c>
      <c r="E9">
        <v>7453</v>
      </c>
      <c r="F9">
        <v>6314</v>
      </c>
      <c r="G9">
        <v>6945</v>
      </c>
    </row>
    <row r="10" spans="1:7">
      <c r="A10" t="s">
        <v>410</v>
      </c>
      <c r="B10" t="s">
        <v>36</v>
      </c>
      <c r="C10" t="s">
        <v>36</v>
      </c>
      <c r="D10" t="s">
        <v>404</v>
      </c>
      <c r="E10">
        <v>8903</v>
      </c>
      <c r="F10">
        <v>7939</v>
      </c>
      <c r="G10">
        <v>7030</v>
      </c>
    </row>
    <row r="11" spans="1:7">
      <c r="D11" t="s">
        <v>404</v>
      </c>
      <c r="E11">
        <v>38590</v>
      </c>
      <c r="F11">
        <v>33208</v>
      </c>
      <c r="G11">
        <v>32224</v>
      </c>
    </row>
    <row r="12" spans="1:7">
      <c r="A12" t="s">
        <v>411</v>
      </c>
      <c r="B12" t="s">
        <v>404</v>
      </c>
      <c r="C12" t="s">
        <v>26</v>
      </c>
      <c r="D12" t="s">
        <v>404</v>
      </c>
      <c r="E12">
        <v>5412</v>
      </c>
      <c r="F12">
        <v>6281</v>
      </c>
      <c r="G12">
        <v>5934</v>
      </c>
    </row>
    <row r="13" spans="1:7">
      <c r="A13" t="s">
        <v>412</v>
      </c>
      <c r="B13" t="s">
        <v>56</v>
      </c>
      <c r="C13" t="s">
        <v>56</v>
      </c>
      <c r="D13" t="s">
        <v>404</v>
      </c>
    </row>
    <row r="14" spans="1:7">
      <c r="A14" t="s">
        <v>413</v>
      </c>
      <c r="B14" t="s">
        <v>54</v>
      </c>
      <c r="C14" t="s">
        <v>54</v>
      </c>
      <c r="D14" t="s">
        <v>404</v>
      </c>
      <c r="E14">
        <v>168</v>
      </c>
      <c r="F14">
        <v>78</v>
      </c>
      <c r="G14">
        <v>72</v>
      </c>
    </row>
    <row r="15" spans="1:7">
      <c r="A15" t="s">
        <v>414</v>
      </c>
      <c r="B15" t="s">
        <v>51</v>
      </c>
      <c r="C15" t="s">
        <v>51</v>
      </c>
      <c r="D15" t="s">
        <v>404</v>
      </c>
      <c r="E15">
        <v>-402</v>
      </c>
    </row>
    <row r="16" spans="1:7">
      <c r="A16" t="s">
        <v>415</v>
      </c>
      <c r="B16" t="s">
        <v>416</v>
      </c>
      <c r="C16" t="s">
        <v>33</v>
      </c>
      <c r="D16" t="s">
        <v>404</v>
      </c>
      <c r="E16">
        <v>-21</v>
      </c>
      <c r="F16">
        <v>246</v>
      </c>
      <c r="G16">
        <v>903</v>
      </c>
    </row>
    <row r="17" spans="1:7">
      <c r="D17" t="s">
        <v>404</v>
      </c>
      <c r="E17">
        <v>-255</v>
      </c>
      <c r="F17">
        <v>324</v>
      </c>
      <c r="G17">
        <v>975</v>
      </c>
    </row>
    <row r="18" spans="1:7">
      <c r="A18" t="s">
        <v>417</v>
      </c>
      <c r="B18" t="s">
        <v>418</v>
      </c>
      <c r="C18" t="s">
        <v>61</v>
      </c>
      <c r="D18" t="s">
        <v>404</v>
      </c>
      <c r="E18">
        <v>5157</v>
      </c>
      <c r="F18">
        <v>6605</v>
      </c>
      <c r="G18">
        <v>6909</v>
      </c>
    </row>
    <row r="19" spans="1:7">
      <c r="A19" t="s">
        <v>419</v>
      </c>
      <c r="B19" t="s">
        <v>62</v>
      </c>
      <c r="C19" t="s">
        <v>62</v>
      </c>
      <c r="D19" t="s">
        <v>404</v>
      </c>
      <c r="E19">
        <v>1871</v>
      </c>
      <c r="F19">
        <v>2377</v>
      </c>
      <c r="G19">
        <v>2384</v>
      </c>
    </row>
    <row r="20" spans="1:7">
      <c r="A20" t="s">
        <v>420</v>
      </c>
      <c r="B20" t="s">
        <v>70</v>
      </c>
      <c r="C20" t="s">
        <v>70</v>
      </c>
      <c r="D20" t="s">
        <v>404</v>
      </c>
      <c r="E20">
        <v>3286</v>
      </c>
      <c r="F20">
        <v>4228</v>
      </c>
      <c r="G20">
        <v>4525</v>
      </c>
    </row>
    <row r="21" spans="1:7">
      <c r="A21" t="s">
        <v>421</v>
      </c>
      <c r="D21" t="s">
        <v>404</v>
      </c>
      <c r="E21">
        <v>48</v>
      </c>
      <c r="F21">
        <v>57</v>
      </c>
      <c r="G21">
        <v>62</v>
      </c>
    </row>
    <row r="22" spans="1:7">
      <c r="A22" t="s">
        <v>422</v>
      </c>
      <c r="D22" t="s">
        <v>404</v>
      </c>
      <c r="E22">
        <v>47</v>
      </c>
      <c r="F22">
        <v>56</v>
      </c>
      <c r="G22">
        <v>61</v>
      </c>
    </row>
    <row r="23" spans="1:7">
      <c r="A23" t="s">
        <v>423</v>
      </c>
      <c r="D23" t="s">
        <v>404</v>
      </c>
      <c r="E23">
        <v>6911</v>
      </c>
      <c r="F23">
        <v>7421</v>
      </c>
      <c r="G23">
        <v>7288</v>
      </c>
    </row>
    <row r="24" spans="1:7">
      <c r="A24" t="s">
        <v>424</v>
      </c>
      <c r="D24" t="s">
        <v>404</v>
      </c>
      <c r="E24">
        <v>104</v>
      </c>
      <c r="F24">
        <v>151</v>
      </c>
      <c r="G24">
        <v>183</v>
      </c>
    </row>
    <row r="25" spans="1:7">
      <c r="A25" t="s">
        <v>425</v>
      </c>
      <c r="D25" t="s">
        <v>404</v>
      </c>
      <c r="E25">
        <v>7015</v>
      </c>
      <c r="F25">
        <v>7572</v>
      </c>
      <c r="G25">
        <v>7471</v>
      </c>
    </row>
    <row r="26" spans="1:7">
      <c r="A26" t="s">
        <v>426</v>
      </c>
      <c r="D26" t="s">
        <v>404</v>
      </c>
    </row>
    <row r="27" spans="1:7">
      <c r="A27" t="s">
        <v>427</v>
      </c>
      <c r="D27" t="s">
        <v>404</v>
      </c>
    </row>
    <row r="28" spans="1:7">
      <c r="A28" t="s">
        <v>428</v>
      </c>
      <c r="D28" t="s">
        <v>404</v>
      </c>
    </row>
    <row r="29" spans="1:7">
      <c r="D29" t="s">
        <v>404</v>
      </c>
    </row>
    <row r="30" spans="1:7">
      <c r="D30" t="s">
        <v>404</v>
      </c>
      <c r="E30">
        <v>2018</v>
      </c>
      <c r="F30">
        <v>2017</v>
      </c>
      <c r="G30">
        <v>2016</v>
      </c>
    </row>
    <row r="31" spans="1:7">
      <c r="A31" t="s">
        <v>420</v>
      </c>
      <c r="B31" t="s">
        <v>70</v>
      </c>
      <c r="C31" t="s">
        <v>70</v>
      </c>
      <c r="D31" t="s">
        <v>404</v>
      </c>
      <c r="E31">
        <v>3286</v>
      </c>
      <c r="F31">
        <v>4228</v>
      </c>
      <c r="G31">
        <v>4525</v>
      </c>
    </row>
    <row r="32" spans="1:7">
      <c r="A32" t="s">
        <v>429</v>
      </c>
      <c r="B32" t="s">
        <v>430</v>
      </c>
      <c r="C32" t="s">
        <v>431</v>
      </c>
      <c r="D32" t="s">
        <v>404</v>
      </c>
    </row>
    <row r="33" spans="1:7">
      <c r="A33" t="s">
        <v>432</v>
      </c>
      <c r="B33" t="s">
        <v>59</v>
      </c>
      <c r="C33" t="s">
        <v>59</v>
      </c>
      <c r="D33" t="s">
        <v>404</v>
      </c>
      <c r="E33">
        <v>-870</v>
      </c>
      <c r="F33">
        <v>-65</v>
      </c>
      <c r="G33">
        <v>-269</v>
      </c>
    </row>
    <row r="34" spans="1:7">
      <c r="A34" t="s">
        <v>433</v>
      </c>
      <c r="D34" t="s">
        <v>404</v>
      </c>
      <c r="E34">
        <v>-1036</v>
      </c>
    </row>
    <row r="35" spans="1:7">
      <c r="A35" t="s">
        <v>434</v>
      </c>
      <c r="B35" t="s">
        <v>72</v>
      </c>
      <c r="C35" t="s">
        <v>72</v>
      </c>
      <c r="D35" t="s">
        <v>404</v>
      </c>
      <c r="E35">
        <v>1048</v>
      </c>
    </row>
    <row r="36" spans="1:7">
      <c r="A36" t="s">
        <v>435</v>
      </c>
      <c r="B36" t="s">
        <v>48</v>
      </c>
      <c r="C36" t="s">
        <v>48</v>
      </c>
      <c r="D36" t="s">
        <v>404</v>
      </c>
      <c r="E36">
        <v>2</v>
      </c>
      <c r="F36">
        <v>-16</v>
      </c>
      <c r="G36">
        <v>-7</v>
      </c>
    </row>
    <row r="37" spans="1:7">
      <c r="A37" t="s">
        <v>436</v>
      </c>
      <c r="B37" t="s">
        <v>431</v>
      </c>
      <c r="C37" t="s">
        <v>431</v>
      </c>
      <c r="D37" t="s">
        <v>404</v>
      </c>
      <c r="E37">
        <v>884</v>
      </c>
      <c r="F37">
        <v>-81</v>
      </c>
      <c r="G37">
        <v>-276</v>
      </c>
    </row>
    <row r="38" spans="1:7">
      <c r="A38" t="s">
        <v>437</v>
      </c>
      <c r="B38" t="s">
        <v>431</v>
      </c>
      <c r="C38" t="s">
        <v>431</v>
      </c>
      <c r="D38" t="s">
        <v>404</v>
      </c>
      <c r="E38">
        <v>4170</v>
      </c>
      <c r="F38">
        <v>4147</v>
      </c>
      <c r="G38">
        <v>4249</v>
      </c>
    </row>
    <row r="39" spans="1:7">
      <c r="A39" t="s">
        <v>438</v>
      </c>
      <c r="D39" t="s">
        <v>404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439</v>
      </c>
      <c r="B3" t="s">
        <v>231</v>
      </c>
      <c r="C3" t="s">
        <v>231</v>
      </c>
      <c r="D3" t="s">
        <v>440</v>
      </c>
    </row>
    <row r="4" spans="1:7">
      <c r="A4" t="s">
        <v>420</v>
      </c>
      <c r="B4" t="s">
        <v>232</v>
      </c>
      <c r="C4" t="s">
        <v>232</v>
      </c>
      <c r="D4" t="s">
        <v>440</v>
      </c>
      <c r="E4">
        <v>3286</v>
      </c>
      <c r="F4">
        <v>4228</v>
      </c>
      <c r="G4">
        <v>4525</v>
      </c>
    </row>
    <row r="5" spans="1:7">
      <c r="D5" t="s">
        <v>440</v>
      </c>
    </row>
    <row r="6" spans="1:7">
      <c r="A6" t="s">
        <v>441</v>
      </c>
      <c r="B6" t="s">
        <v>236</v>
      </c>
      <c r="C6" t="s">
        <v>236</v>
      </c>
      <c r="D6" t="s">
        <v>440</v>
      </c>
      <c r="E6">
        <v>3994</v>
      </c>
      <c r="F6">
        <v>2431</v>
      </c>
      <c r="G6">
        <v>2065</v>
      </c>
    </row>
    <row r="7" spans="1:7">
      <c r="A7" t="s">
        <v>442</v>
      </c>
      <c r="B7" t="s">
        <v>240</v>
      </c>
      <c r="C7" t="s">
        <v>240</v>
      </c>
      <c r="D7" t="s">
        <v>440</v>
      </c>
      <c r="E7">
        <v>34</v>
      </c>
    </row>
    <row r="8" spans="1:7">
      <c r="A8" t="s">
        <v>443</v>
      </c>
      <c r="B8" t="s">
        <v>248</v>
      </c>
      <c r="C8" t="s">
        <v>248</v>
      </c>
      <c r="D8" t="s">
        <v>440</v>
      </c>
      <c r="E8">
        <v>1583</v>
      </c>
      <c r="F8">
        <v>1019</v>
      </c>
      <c r="G8">
        <v>1209</v>
      </c>
    </row>
    <row r="9" spans="1:7">
      <c r="D9" t="s">
        <v>440</v>
      </c>
      <c r="E9">
        <v>744</v>
      </c>
      <c r="F9">
        <v>174</v>
      </c>
      <c r="G9">
        <v>-292</v>
      </c>
    </row>
    <row r="10" spans="1:7">
      <c r="D10" t="s">
        <v>440</v>
      </c>
      <c r="G10">
        <v>-65</v>
      </c>
    </row>
    <row r="11" spans="1:7">
      <c r="A11" t="s">
        <v>444</v>
      </c>
      <c r="D11" t="s">
        <v>440</v>
      </c>
      <c r="F11">
        <v>-419</v>
      </c>
    </row>
    <row r="12" spans="1:7">
      <c r="D12" t="s">
        <v>440</v>
      </c>
    </row>
    <row r="13" spans="1:7">
      <c r="A13" t="s">
        <v>352</v>
      </c>
      <c r="B13" t="s">
        <v>265</v>
      </c>
      <c r="C13" t="s">
        <v>265</v>
      </c>
      <c r="D13" t="s">
        <v>440</v>
      </c>
      <c r="E13">
        <v>-4722</v>
      </c>
      <c r="F13">
        <v>-416</v>
      </c>
      <c r="G13">
        <v>-1285</v>
      </c>
    </row>
    <row r="14" spans="1:7">
      <c r="A14" t="s">
        <v>377</v>
      </c>
      <c r="B14" t="s">
        <v>261</v>
      </c>
      <c r="C14" t="s">
        <v>261</v>
      </c>
      <c r="D14" t="s">
        <v>440</v>
      </c>
      <c r="E14">
        <v>-5509</v>
      </c>
      <c r="F14">
        <v>-4659</v>
      </c>
      <c r="G14">
        <v>600</v>
      </c>
    </row>
    <row r="15" spans="1:7">
      <c r="D15" t="s">
        <v>440</v>
      </c>
      <c r="E15">
        <v>5207</v>
      </c>
      <c r="F15">
        <v>1426</v>
      </c>
      <c r="G15">
        <v>151</v>
      </c>
    </row>
    <row r="16" spans="1:7">
      <c r="A16" t="s">
        <v>395</v>
      </c>
      <c r="B16" t="s">
        <v>445</v>
      </c>
      <c r="C16" t="s">
        <v>247</v>
      </c>
      <c r="D16" t="s">
        <v>440</v>
      </c>
      <c r="E16">
        <v>-801</v>
      </c>
      <c r="F16">
        <v>2187</v>
      </c>
      <c r="G16">
        <v>412</v>
      </c>
    </row>
    <row r="17" spans="1:7">
      <c r="A17" t="s">
        <v>386</v>
      </c>
      <c r="B17" t="s">
        <v>251</v>
      </c>
      <c r="C17" t="s">
        <v>251</v>
      </c>
      <c r="D17" t="s">
        <v>440</v>
      </c>
      <c r="E17">
        <v>-92</v>
      </c>
      <c r="F17">
        <v>982</v>
      </c>
      <c r="G17">
        <v>407</v>
      </c>
    </row>
    <row r="18" spans="1:7">
      <c r="D18" t="s">
        <v>440</v>
      </c>
      <c r="E18">
        <v>3724</v>
      </c>
      <c r="F18">
        <v>6953</v>
      </c>
      <c r="G18">
        <v>7727</v>
      </c>
    </row>
    <row r="19" spans="1:7">
      <c r="A19" t="s">
        <v>446</v>
      </c>
      <c r="B19" t="s">
        <v>286</v>
      </c>
      <c r="C19" t="s">
        <v>286</v>
      </c>
      <c r="D19" t="s">
        <v>447</v>
      </c>
    </row>
    <row r="20" spans="1:7">
      <c r="D20" t="s">
        <v>447</v>
      </c>
      <c r="E20">
        <v>5539</v>
      </c>
      <c r="F20">
        <v>4029</v>
      </c>
      <c r="G20">
        <v>9978</v>
      </c>
    </row>
    <row r="21" spans="1:7">
      <c r="A21" t="s">
        <v>448</v>
      </c>
      <c r="B21" t="s">
        <v>290</v>
      </c>
      <c r="C21" t="s">
        <v>290</v>
      </c>
      <c r="D21" t="s">
        <v>447</v>
      </c>
      <c r="E21">
        <v>-321</v>
      </c>
      <c r="F21">
        <v>-400</v>
      </c>
      <c r="G21">
        <v>-5192</v>
      </c>
    </row>
    <row r="22" spans="1:7">
      <c r="A22" t="s">
        <v>449</v>
      </c>
      <c r="B22" t="s">
        <v>288</v>
      </c>
      <c r="C22" t="s">
        <v>288</v>
      </c>
      <c r="D22" t="s">
        <v>447</v>
      </c>
      <c r="F22">
        <v>474</v>
      </c>
    </row>
    <row r="23" spans="1:7">
      <c r="D23" t="s">
        <v>447</v>
      </c>
      <c r="G23">
        <v>-7360</v>
      </c>
    </row>
    <row r="24" spans="1:7">
      <c r="D24" t="s">
        <v>447</v>
      </c>
      <c r="E24">
        <v>-9007</v>
      </c>
    </row>
    <row r="25" spans="1:7">
      <c r="D25" t="s">
        <v>447</v>
      </c>
      <c r="E25">
        <v>-14873</v>
      </c>
    </row>
    <row r="26" spans="1:7">
      <c r="D26" t="s">
        <v>447</v>
      </c>
      <c r="G26">
        <v>1698</v>
      </c>
    </row>
    <row r="27" spans="1:7">
      <c r="D27" t="s">
        <v>447</v>
      </c>
      <c r="E27">
        <v>85</v>
      </c>
      <c r="F27">
        <v>256</v>
      </c>
      <c r="G27">
        <v>395</v>
      </c>
    </row>
    <row r="28" spans="1:7">
      <c r="D28" t="s">
        <v>447</v>
      </c>
      <c r="E28">
        <v>-2204</v>
      </c>
      <c r="F28">
        <v>-1238</v>
      </c>
      <c r="G28">
        <v>-3061</v>
      </c>
    </row>
    <row r="29" spans="1:7">
      <c r="D29" t="s">
        <v>447</v>
      </c>
      <c r="E29">
        <v>-20781</v>
      </c>
      <c r="F29">
        <v>3121</v>
      </c>
      <c r="G29">
        <v>-3542</v>
      </c>
    </row>
    <row r="30" spans="1:7">
      <c r="A30" t="s">
        <v>450</v>
      </c>
      <c r="B30" t="s">
        <v>297</v>
      </c>
      <c r="C30" t="s">
        <v>297</v>
      </c>
      <c r="D30" t="s">
        <v>451</v>
      </c>
    </row>
    <row r="31" spans="1:7">
      <c r="D31" t="s">
        <v>447</v>
      </c>
    </row>
    <row r="32" spans="1:7">
      <c r="D32" t="s">
        <v>447</v>
      </c>
      <c r="E32">
        <v>539</v>
      </c>
      <c r="F32">
        <v>79</v>
      </c>
      <c r="G32">
        <v>387</v>
      </c>
    </row>
    <row r="33" spans="1:7">
      <c r="A33" t="s">
        <v>452</v>
      </c>
      <c r="B33" t="s">
        <v>298</v>
      </c>
      <c r="C33" t="s">
        <v>298</v>
      </c>
      <c r="D33" t="s">
        <v>447</v>
      </c>
      <c r="E33">
        <v>-11238</v>
      </c>
    </row>
    <row r="34" spans="1:7">
      <c r="D34" t="s">
        <v>447</v>
      </c>
      <c r="E34">
        <v>24200</v>
      </c>
    </row>
    <row r="35" spans="1:7">
      <c r="A35" t="s">
        <v>453</v>
      </c>
      <c r="D35" t="s">
        <v>447</v>
      </c>
      <c r="E35">
        <v>-1438</v>
      </c>
    </row>
    <row r="36" spans="1:7">
      <c r="A36" t="s">
        <v>454</v>
      </c>
      <c r="B36" t="s">
        <v>302</v>
      </c>
      <c r="C36" t="s">
        <v>302</v>
      </c>
      <c r="D36" t="s">
        <v>451</v>
      </c>
      <c r="E36">
        <v>-828</v>
      </c>
    </row>
    <row r="37" spans="1:7">
      <c r="A37" t="s">
        <v>455</v>
      </c>
      <c r="B37" t="s">
        <v>456</v>
      </c>
      <c r="C37" t="s">
        <v>456</v>
      </c>
      <c r="D37" t="s">
        <v>451</v>
      </c>
      <c r="E37">
        <v>-234</v>
      </c>
    </row>
    <row r="38" spans="1:7">
      <c r="D38" t="s">
        <v>451</v>
      </c>
      <c r="G38">
        <v>65</v>
      </c>
    </row>
    <row r="39" spans="1:7">
      <c r="A39" t="s">
        <v>457</v>
      </c>
      <c r="B39" t="s">
        <v>458</v>
      </c>
      <c r="C39" t="s">
        <v>307</v>
      </c>
      <c r="D39" t="s">
        <v>451</v>
      </c>
      <c r="E39">
        <v>-1944</v>
      </c>
      <c r="F39">
        <v>-2082</v>
      </c>
      <c r="G39">
        <v>-2048</v>
      </c>
    </row>
    <row r="40" spans="1:7">
      <c r="D40" t="s">
        <v>451</v>
      </c>
      <c r="E40">
        <v>9057</v>
      </c>
      <c r="F40">
        <v>-2003</v>
      </c>
      <c r="G40">
        <v>-1596</v>
      </c>
    </row>
    <row r="41" spans="1:7">
      <c r="A41" t="s">
        <v>459</v>
      </c>
      <c r="B41" t="s">
        <v>313</v>
      </c>
      <c r="C41" t="s">
        <v>313</v>
      </c>
      <c r="D41" t="s">
        <v>451</v>
      </c>
      <c r="E41">
        <v>79</v>
      </c>
      <c r="F41">
        <v>-16</v>
      </c>
      <c r="G41">
        <v>-504</v>
      </c>
    </row>
    <row r="42" spans="1:7">
      <c r="A42" t="s">
        <v>460</v>
      </c>
      <c r="B42" t="s">
        <v>461</v>
      </c>
      <c r="C42" t="s">
        <v>312</v>
      </c>
      <c r="D42" t="s">
        <v>451</v>
      </c>
      <c r="E42">
        <v>-7921</v>
      </c>
      <c r="F42">
        <v>8055</v>
      </c>
      <c r="G42">
        <v>2085</v>
      </c>
    </row>
    <row r="43" spans="1:7">
      <c r="A43" t="s">
        <v>462</v>
      </c>
      <c r="B43" t="s">
        <v>463</v>
      </c>
      <c r="C43" t="s">
        <v>315</v>
      </c>
      <c r="D43" t="s">
        <v>451</v>
      </c>
      <c r="E43">
        <v>18098</v>
      </c>
      <c r="F43">
        <v>10043</v>
      </c>
      <c r="G43">
        <v>7958</v>
      </c>
    </row>
    <row r="44" spans="1:7">
      <c r="A44" t="s">
        <v>464</v>
      </c>
      <c r="B44" t="s">
        <v>316</v>
      </c>
      <c r="C44" t="s">
        <v>316</v>
      </c>
      <c r="D44" t="s">
        <v>451</v>
      </c>
      <c r="E44">
        <v>10177</v>
      </c>
      <c r="F44">
        <v>18098</v>
      </c>
      <c r="G44">
        <v>10043</v>
      </c>
    </row>
    <row r="45" spans="1:7">
      <c r="A45" t="s">
        <v>465</v>
      </c>
      <c r="D45" t="s">
        <v>451</v>
      </c>
    </row>
    <row r="46" spans="1:7">
      <c r="D46" t="s">
        <v>451</v>
      </c>
    </row>
    <row r="47" spans="1:7">
      <c r="A47" t="s">
        <v>466</v>
      </c>
      <c r="B47" t="s">
        <v>243</v>
      </c>
      <c r="C47" t="s">
        <v>243</v>
      </c>
      <c r="D47" t="s">
        <v>451</v>
      </c>
      <c r="E47">
        <v>246</v>
      </c>
    </row>
    <row r="48" spans="1:7">
      <c r="A48" t="s">
        <v>467</v>
      </c>
      <c r="B48" t="s">
        <v>445</v>
      </c>
      <c r="C48" t="s">
        <v>247</v>
      </c>
      <c r="D48" t="s">
        <v>440</v>
      </c>
      <c r="E48">
        <v>1940</v>
      </c>
      <c r="F48">
        <v>-84</v>
      </c>
      <c r="G48">
        <v>2257</v>
      </c>
    </row>
    <row r="49" spans="1:7">
      <c r="A49" t="s">
        <v>468</v>
      </c>
      <c r="B49" t="s">
        <v>311</v>
      </c>
      <c r="C49" t="s">
        <v>311</v>
      </c>
      <c r="D49" t="s">
        <v>451</v>
      </c>
    </row>
    <row r="50" spans="1:7">
      <c r="D50" t="s">
        <v>451</v>
      </c>
      <c r="E50">
        <v>275</v>
      </c>
      <c r="F50">
        <v>451</v>
      </c>
      <c r="G50">
        <v>371</v>
      </c>
    </row>
    <row r="51" spans="1:7">
      <c r="D51" t="s">
        <v>451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4EADA9-B999-4EF4-8D88-BAD75D1753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2D6852-911C-40EC-BED5-7AAF91D18C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C0C3A2-4111-477C-896A-8426FB3823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2021-10-21T09:12:43Z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