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195" i="1" l="1"/>
  <c r="F195" i="1"/>
  <c r="G184" i="1"/>
  <c r="F184" i="1"/>
  <c r="G95" i="1" l="1"/>
  <c r="F95" i="1"/>
  <c r="G94" i="1"/>
  <c r="F94" i="1"/>
  <c r="G154" i="1"/>
  <c r="G160" i="1" s="1"/>
  <c r="G161" i="1" s="1"/>
  <c r="G8" i="1" s="1"/>
  <c r="F154" i="1"/>
  <c r="F160" i="1" s="1"/>
  <c r="G89" i="1"/>
  <c r="F89" i="1"/>
  <c r="G36" i="1"/>
  <c r="F36" i="1"/>
  <c r="F43" i="1" s="1"/>
  <c r="G43" i="1"/>
  <c r="G44" i="1" s="1"/>
  <c r="G432" i="1"/>
  <c r="G433" i="1" s="1"/>
  <c r="F432" i="1"/>
  <c r="F433" i="1" s="1"/>
  <c r="G418" i="1"/>
  <c r="G417" i="1"/>
  <c r="F417" i="1"/>
  <c r="F418" i="1" s="1"/>
  <c r="G409" i="1"/>
  <c r="G410" i="1" s="1"/>
  <c r="G397" i="1"/>
  <c r="F397" i="1"/>
  <c r="F409" i="1" s="1"/>
  <c r="F410" i="1" s="1"/>
  <c r="I382" i="1"/>
  <c r="O381" i="1"/>
  <c r="N381" i="1"/>
  <c r="M381" i="1"/>
  <c r="L381" i="1"/>
  <c r="K381" i="1"/>
  <c r="J381" i="1"/>
  <c r="O377" i="1"/>
  <c r="I376" i="1"/>
  <c r="O375" i="1"/>
  <c r="N375" i="1"/>
  <c r="M375" i="1"/>
  <c r="L375" i="1"/>
  <c r="K375" i="1"/>
  <c r="J375" i="1"/>
  <c r="M373" i="1"/>
  <c r="I371" i="1"/>
  <c r="K370" i="1"/>
  <c r="M369" i="1"/>
  <c r="O368" i="1"/>
  <c r="G368" i="1"/>
  <c r="I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G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2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8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O30" i="1"/>
  <c r="O369" i="1" s="1"/>
  <c r="N30" i="1"/>
  <c r="N369" i="1" s="1"/>
  <c r="M30" i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L366" i="1" s="1"/>
  <c r="K12" i="1"/>
  <c r="K366" i="1" s="1"/>
  <c r="J12" i="1"/>
  <c r="J366" i="1" s="1"/>
  <c r="I12" i="1"/>
  <c r="H12" i="1"/>
  <c r="H366" i="1" s="1"/>
  <c r="O11" i="1"/>
  <c r="N11" i="1"/>
  <c r="M11" i="1"/>
  <c r="L11" i="1"/>
  <c r="K11" i="1"/>
  <c r="J11" i="1"/>
  <c r="I11" i="1"/>
  <c r="H11" i="1"/>
  <c r="F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K371" i="1" s="1"/>
  <c r="J6" i="1"/>
  <c r="J371" i="1" s="1"/>
  <c r="I6" i="1"/>
  <c r="I365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81" i="1" s="1"/>
  <c r="F5" i="1"/>
  <c r="F368" i="1" s="1"/>
  <c r="G377" i="1" l="1"/>
  <c r="F98" i="1"/>
  <c r="F100" i="1" s="1"/>
  <c r="F128" i="1" s="1"/>
  <c r="F7" i="1" s="1"/>
  <c r="F12" i="1" s="1"/>
  <c r="F376" i="1" s="1"/>
  <c r="F161" i="1"/>
  <c r="F8" i="1" s="1"/>
  <c r="F383" i="1" s="1"/>
  <c r="G98" i="1"/>
  <c r="G100" i="1" s="1"/>
  <c r="G128" i="1" s="1"/>
  <c r="G7" i="1" s="1"/>
  <c r="G12" i="1" s="1"/>
  <c r="G366" i="1" s="1"/>
  <c r="G383" i="1"/>
  <c r="G382" i="1"/>
  <c r="F353" i="1"/>
  <c r="F355" i="1" s="1"/>
  <c r="F357" i="1" s="1"/>
  <c r="F385" i="1"/>
  <c r="F382" i="1"/>
  <c r="F384" i="1"/>
  <c r="F13" i="1"/>
  <c r="F377" i="1"/>
  <c r="G378" i="1"/>
  <c r="G370" i="1"/>
  <c r="G59" i="1"/>
  <c r="G67" i="1" s="1"/>
  <c r="G71" i="1" s="1"/>
  <c r="G326" i="1"/>
  <c r="J368" i="1"/>
  <c r="N370" i="1"/>
  <c r="J372" i="1"/>
  <c r="H373" i="1"/>
  <c r="F375" i="1"/>
  <c r="L376" i="1"/>
  <c r="J377" i="1"/>
  <c r="H378" i="1"/>
  <c r="F381" i="1"/>
  <c r="L382" i="1"/>
  <c r="J383" i="1"/>
  <c r="H384" i="1"/>
  <c r="O372" i="1"/>
  <c r="M378" i="1"/>
  <c r="K368" i="1"/>
  <c r="O370" i="1"/>
  <c r="K372" i="1"/>
  <c r="I373" i="1"/>
  <c r="G375" i="1"/>
  <c r="M376" i="1"/>
  <c r="K377" i="1"/>
  <c r="I378" i="1"/>
  <c r="M382" i="1"/>
  <c r="K383" i="1"/>
  <c r="I384" i="1"/>
  <c r="H365" i="1"/>
  <c r="L368" i="1"/>
  <c r="L372" i="1"/>
  <c r="H375" i="1"/>
  <c r="N376" i="1"/>
  <c r="L377" i="1"/>
  <c r="J378" i="1"/>
  <c r="H381" i="1"/>
  <c r="N382" i="1"/>
  <c r="J384" i="1"/>
  <c r="M368" i="1"/>
  <c r="I375" i="1"/>
  <c r="O376" i="1"/>
  <c r="M377" i="1"/>
  <c r="I381" i="1"/>
  <c r="O382" i="1"/>
  <c r="K384" i="1"/>
  <c r="F363" i="1"/>
  <c r="N368" i="1"/>
  <c r="N372" i="1"/>
  <c r="H376" i="1"/>
  <c r="N377" i="1"/>
  <c r="L378" i="1"/>
  <c r="H382" i="1"/>
  <c r="F44" i="1"/>
  <c r="H363" i="1"/>
  <c r="G13" i="1"/>
  <c r="I363" i="1"/>
  <c r="F14" i="1" l="1"/>
  <c r="G376" i="1"/>
  <c r="F366" i="1"/>
  <c r="G14" i="1"/>
  <c r="G353" i="1"/>
  <c r="G355" i="1" s="1"/>
  <c r="G357" i="1" s="1"/>
  <c r="G385" i="1"/>
  <c r="G373" i="1"/>
  <c r="G83" i="1"/>
  <c r="G6" i="1"/>
  <c r="G372" i="1"/>
  <c r="F378" i="1"/>
  <c r="F370" i="1"/>
  <c r="F59" i="1"/>
  <c r="F67" i="1" s="1"/>
  <c r="F71" i="1" s="1"/>
  <c r="G371" i="1" l="1"/>
  <c r="G365" i="1"/>
  <c r="F373" i="1"/>
  <c r="F83" i="1"/>
  <c r="F372" i="1"/>
  <c r="F6" i="1"/>
  <c r="F371" i="1" l="1"/>
  <c r="F365" i="1"/>
</calcChain>
</file>

<file path=xl/sharedStrings.xml><?xml version="1.0" encoding="utf-8"?>
<sst xmlns="http://schemas.openxmlformats.org/spreadsheetml/2006/main" count="943" uniqueCount="568">
  <si>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</si>
  <si>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</si>
  <si>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</si>
  <si>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</si>
  <si>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</si>
  <si>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</si>
  <si>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</si>
  <si>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</si>
  <si>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</si>
  <si>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</si>
  <si>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</si>
  <si>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</si>
  <si>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</si>
  <si>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</si>
  <si>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</si>
  <si>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</si>
  <si>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</si>
  <si>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</si>
  <si>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</si>
  <si>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</si>
  <si>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</si>
  <si>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</si>
  <si>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</si>
  <si>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</si>
  <si>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</si>
  <si>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</si>
  <si>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</si>
  <si>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</si>
  <si>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</si>
  <si>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</si>
  <si>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</si>
  <si>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</si>
  <si>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</si>
  <si>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</si>
  <si>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</si>
  <si>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</si>
  <si>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</si>
  <si>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</si>
  <si>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</si>
  <si>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</si>
  <si>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</si>
  <si>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</si>
  <si>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</si>
  <si>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</si>
  <si>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</si>
  <si>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</si>
  <si>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</si>
  <si>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</si>
  <si>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</si>
  <si>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</si>
  <si>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</si>
  <si>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</si>
  <si>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</si>
  <si>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</si>
  <si>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</si>
  <si>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</si>
  <si>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</si>
  <si>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</si>
  <si>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</si>
  <si>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</si>
  <si>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</si>
  <si>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</si>
  <si>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</si>
  <si>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</si>
  <si>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</si>
  <si>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</si>
  <si>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</si>
  <si>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</si>
  <si>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</si>
  <si>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</si>
  <si>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</si>
  <si>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</si>
  <si>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</si>
  <si>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</si>
  <si>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</si>
  <si>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</si>
  <si>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</si>
  <si>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</si>
  <si>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</si>
  <si>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</si>
  <si>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</si>
  <si>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</si>
  <si>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</si>
  <si>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</si>
  <si>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</si>
  <si>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</si>
  <si>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</si>
  <si>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</si>
  <si>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</si>
  <si>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</si>
  <si>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</si>
  <si>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</si>
  <si>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</si>
  <si>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</si>
  <si>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</si>
  <si>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</si>
  <si>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</si>
  <si>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</si>
  <si>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</si>
  <si>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</si>
  <si>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</si>
  <si>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</si>
  <si>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</si>
  <si>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</si>
  <si>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</si>
  <si>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</si>
  <si>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</si>
  <si>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</si>
  <si>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</si>
  <si>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</si>
  <si>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</si>
  <si>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</si>
  <si>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</si>
  <si>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</si>
  <si>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</si>
  <si>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</si>
  <si>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</si>
  <si>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</si>
  <si>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</si>
  <si>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</si>
  <si>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</si>
  <si>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</si>
  <si>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</si>
  <si>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</si>
  <si>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</si>
  <si>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</si>
  <si>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</si>
  <si>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</si>
  <si>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</si>
  <si>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</si>
  <si>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</si>
  <si>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</si>
  <si>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</si>
  <si>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</si>
  <si>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</si>
  <si>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</si>
  <si>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</si>
  <si>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</si>
  <si>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</si>
  <si>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</si>
  <si>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</si>
  <si>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</si>
  <si>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</si>
  <si>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</si>
  <si>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</si>
  <si>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</si>
  <si>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</si>
  <si>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</si>
  <si>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</si>
  <si>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</si>
  <si>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</si>
  <si>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</si>
  <si>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</si>
  <si>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</si>
  <si>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</si>
  <si>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</si>
  <si>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</si>
  <si>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</si>
  <si>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</si>
  <si>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</si>
  <si>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</si>
  <si>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</si>
  <si>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</si>
  <si>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</si>
  <si>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</si>
  <si>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</si>
  <si>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</si>
  <si>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</si>
  <si>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</si>
  <si>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</si>
  <si>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</si>
  <si>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</si>
  <si>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</si>
  <si>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</si>
  <si>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</si>
  <si>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</si>
  <si>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</si>
  <si>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</si>
  <si>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</si>
  <si>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</si>
  <si>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</si>
  <si>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</si>
  <si>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</si>
  <si>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</si>
  <si>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</si>
  <si>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</si>
  <si>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</si>
  <si>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</si>
  <si>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</si>
  <si>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</si>
  <si>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</si>
  <si>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</si>
  <si>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</si>
  <si>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</si>
  <si>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</si>
  <si>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</si>
  <si>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</si>
  <si>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</si>
  <si>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</si>
  <si>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</si>
  <si>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</si>
  <si>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</si>
  <si>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</si>
  <si>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</si>
  <si>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</si>
  <si>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</si>
  <si>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</si>
  <si>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</si>
  <si>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</si>
  <si>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</si>
  <si>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</si>
  <si>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</si>
  <si>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</si>
  <si>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</si>
  <si>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</si>
  <si>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</si>
  <si>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</si>
  <si>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</si>
  <si>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</si>
  <si>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</si>
  <si>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</si>
  <si>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</si>
  <si>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</si>
  <si>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</si>
  <si>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</si>
  <si>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</si>
  <si>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</si>
  <si>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</si>
  <si>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</si>
  <si>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</si>
  <si>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</si>
  <si>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</si>
  <si>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</si>
  <si>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</si>
  <si>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</si>
  <si>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</si>
  <si>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</si>
  <si>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</si>
  <si>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</si>
  <si>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</si>
  <si>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</si>
  <si>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</si>
  <si>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</si>
  <si>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</si>
  <si>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</si>
  <si>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</si>
  <si>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</si>
  <si>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</si>
  <si>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</si>
  <si>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</si>
  <si>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</si>
  <si>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</si>
  <si>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</si>
  <si>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</si>
  <si>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</si>
  <si>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</si>
  <si>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</si>
  <si>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</si>
  <si>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</si>
  <si>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</si>
  <si>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</si>
  <si>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</si>
  <si>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</si>
  <si>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</si>
  <si>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</si>
  <si>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</si>
  <si>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</si>
  <si>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</si>
  <si>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</si>
  <si>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</si>
  <si>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</si>
  <si>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</si>
  <si>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</si>
  <si>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</si>
  <si>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</si>
  <si>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</si>
  <si>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</si>
  <si>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</si>
  <si>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</si>
  <si>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</si>
  <si>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</si>
  <si>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</si>
  <si>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</si>
  <si>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</si>
  <si>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</si>
  <si>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</si>
  <si>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</si>
  <si>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</si>
  <si>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</si>
  <si>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</si>
  <si>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</si>
  <si>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</si>
  <si>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</si>
  <si>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</si>
  <si>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</si>
  <si>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</si>
  <si>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</si>
  <si>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</si>
  <si>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</si>
  <si>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</si>
  <si>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</si>
  <si>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</si>
  <si>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</si>
  <si>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</si>
  <si>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</si>
  <si>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</si>
  <si>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</si>
  <si>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</si>
  <si>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</si>
  <si>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</si>
  <si>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</si>
  <si>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</si>
  <si>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</si>
  <si>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</si>
  <si>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</si>
  <si>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</si>
  <si>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</si>
  <si>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</si>
  <si>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</si>
  <si>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</si>
  <si>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</si>
  <si>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</si>
  <si>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</si>
  <si>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</si>
  <si>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</si>
  <si>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</si>
  <si>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</si>
  <si>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</si>
  <si>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</si>
  <si>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</si>
  <si>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</si>
  <si>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</si>
  <si>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</si>
  <si>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</si>
  <si>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</si>
  <si>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</si>
  <si>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</si>
  <si>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</si>
  <si>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</si>
  <si>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</si>
  <si>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</si>
  <si>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</si>
  <si>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</si>
  <si>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</si>
  <si>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</si>
  <si>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</si>
  <si>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</si>
  <si>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</si>
  <si>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</si>
  <si>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</si>
  <si>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</si>
  <si>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</si>
  <si>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</si>
  <si>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</si>
  <si>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</si>
  <si>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</si>
  <si>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</si>
  <si>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</si>
  <si>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</si>
  <si>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</si>
  <si>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</si>
  <si>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</si>
  <si>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</si>
  <si>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</si>
  <si>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</si>
  <si>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</si>
  <si>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</si>
  <si>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</si>
  <si>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</si>
  <si>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</si>
  <si>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</si>
  <si>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</si>
  <si>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</si>
  <si>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</si>
  <si>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</si>
  <si>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</si>
  <si>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</si>
  <si>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Trade and other receivables</t>
  </si>
  <si>
    <t>Inventories</t>
  </si>
  <si>
    <t>Prepaid rent</t>
  </si>
  <si>
    <t>Prepaid expenses and other current assets</t>
  </si>
  <si>
    <t>Refundable income taxes</t>
  </si>
  <si>
    <t>Total current assets</t>
  </si>
  <si>
    <t>Property and equipment, net (Note 3)</t>
  </si>
  <si>
    <t>Property and Equipment</t>
  </si>
  <si>
    <t>Franchise rights, net (Note 4)</t>
  </si>
  <si>
    <t>Goodwill (Note 4)</t>
  </si>
  <si>
    <t>Franchise agreements, at cost less accumulated amortization of $12,022 and $11,028, respectively</t>
  </si>
  <si>
    <t>Favorable leases, net (Note 4)</t>
  </si>
  <si>
    <t>Deferred income taxes, net (Note 10)</t>
  </si>
  <si>
    <t>Other assets</t>
  </si>
  <si>
    <t>Total assets</t>
  </si>
  <si>
    <t>LIABILITIES AND STOCKHOLDERS EQUITY</t>
  </si>
  <si>
    <t>Current liabilities:</t>
  </si>
  <si>
    <t>Current portion of long-term debt (Note 8)</t>
  </si>
  <si>
    <t>Accounts payable</t>
  </si>
  <si>
    <t>Accrued interest</t>
  </si>
  <si>
    <t>Accruals</t>
  </si>
  <si>
    <t>Accrued payroll, related taxes and benefits</t>
  </si>
  <si>
    <t>Accrued real estate taxes</t>
  </si>
  <si>
    <t>Other current liabilities</t>
  </si>
  <si>
    <t>Total current liabilities</t>
  </si>
  <si>
    <t>Long-term debt, net of current portion and deferred financing costs (Note 8)</t>
  </si>
  <si>
    <t>Lease financing obligations</t>
  </si>
  <si>
    <t>Deferred incomesale-leaseback of real estate (Note 7)</t>
  </si>
  <si>
    <t>Accrued postretirement benefits (Note 17)</t>
  </si>
  <si>
    <t>Unfavorable leases, net (Note 4)</t>
  </si>
  <si>
    <t>Other liabilities (Note 6)</t>
  </si>
  <si>
    <t>Total liabilities</t>
  </si>
  <si>
    <t>Commitments and contingencies (Note 14)</t>
  </si>
  <si>
    <t>Stockholders equity (Note 12):</t>
  </si>
  <si>
    <t>Preferred stock, par value $.01; authorized 20,000,000 shares, issued and outstanding100 shares</t>
  </si>
  <si>
    <t>Voting common stock, par value $.01; authorized100,000,000 shares, issued36,538,903 and 36,158,711 shares, respectively, and outstanding35,742,427 and 35,436,252 shares, respectively</t>
  </si>
  <si>
    <t>Additional paid-in capital</t>
  </si>
  <si>
    <t>Retained earnings</t>
  </si>
  <si>
    <t>Accumulated other comprehensive loss (Note 17)</t>
  </si>
  <si>
    <t>Treasury stock, at cost</t>
  </si>
  <si>
    <t>Treasury Stock</t>
  </si>
  <si>
    <t>Total stockholders equity</t>
  </si>
  <si>
    <t>CARROLS RESTAURANT GROUP, INC</t>
  </si>
  <si>
    <t>CONSOLIDATED STATEMENTS OF COMPREHENSIVE INCOME</t>
  </si>
  <si>
    <t>YEARS ENDED DECEMBER 30, 2018, DECEMBER 31, 2017 AND JANUARY 1, 2017</t>
  </si>
  <si>
    <t>(In thousands, except share and per share amounts)</t>
  </si>
  <si>
    <t>Restaurant sales</t>
  </si>
  <si>
    <t>Costs and expenses:</t>
  </si>
  <si>
    <t>Cost of sales</t>
  </si>
  <si>
    <t>Revenue</t>
  </si>
  <si>
    <t>Restaurant wages and related expenses</t>
  </si>
  <si>
    <t>Restaurant rent expense (Note 7)</t>
  </si>
  <si>
    <t>Other restaurant operating expenses</t>
  </si>
  <si>
    <t>Advertising expense</t>
  </si>
  <si>
    <t>General and administrative (including stock-based compensation expense of $5,812, $3,518 and $2,053, respectively)</t>
  </si>
  <si>
    <t>Depreciation and amortization</t>
  </si>
  <si>
    <t>Impairment and other lease charges (Note 5)</t>
  </si>
  <si>
    <t>Other expense (income) (Notes 9 and 14)</t>
  </si>
  <si>
    <t>Other Income - net</t>
  </si>
  <si>
    <t>Total operating expenses</t>
  </si>
  <si>
    <t>Income from operations</t>
  </si>
  <si>
    <t>Interest expense</t>
  </si>
  <si>
    <t>Gain on bargain purchase (Note 2)</t>
  </si>
  <si>
    <t>Income before income taxes</t>
  </si>
  <si>
    <t>Profit before Zakat</t>
  </si>
  <si>
    <t>Provision (benefit) for income taxes (Note 10)</t>
  </si>
  <si>
    <t>Net income</t>
  </si>
  <si>
    <t>Basic and diluted net income per share (Note 13)</t>
  </si>
  <si>
    <t>Weighted average common shares outstanding:</t>
  </si>
  <si>
    <t>Basic</t>
  </si>
  <si>
    <t>Diluted</t>
  </si>
  <si>
    <t>Comprehensive income, net of tax:</t>
  </si>
  <si>
    <t>Total Other Comprehensive Income</t>
  </si>
  <si>
    <t>Other comprehensive income (loss)</t>
  </si>
  <si>
    <t>Balance at January 3, 2016</t>
  </si>
  <si>
    <t>Stock-based compensation</t>
  </si>
  <si>
    <t>Operating Activities</t>
  </si>
  <si>
    <t>Vesting of non-vested shares and excess tax benefits</t>
  </si>
  <si>
    <t>Change in postretirement benefit</t>
  </si>
  <si>
    <t>obligations, net of income tax benefit of $541 (Note 17)</t>
  </si>
  <si>
    <t>Balance at January 1, 2017</t>
  </si>
  <si>
    <t>Cumulative-effect adjustment from adoption of ASU 2016-09</t>
  </si>
  <si>
    <t>obligations, net of income tax benefit of $4 (Note 17)</t>
  </si>
  <si>
    <t>Balance at December 31, 2017</t>
  </si>
  <si>
    <t>Vesting of non-vested shares</t>
  </si>
  <si>
    <t>obligations, net of income tax of $186 (Note 17)</t>
  </si>
  <si>
    <t>(In thousands)</t>
  </si>
  <si>
    <t>Cash flows from operating activities:</t>
  </si>
  <si>
    <t>Adjustments to reconcile net income to net cash provided by operating activities:</t>
  </si>
  <si>
    <t>Loss (gain) on disposals of property and equipment</t>
  </si>
  <si>
    <t>Impairment and other lease charges</t>
  </si>
  <si>
    <t>Amortization of deferred financing costs</t>
  </si>
  <si>
    <t>Amortization of bond premium</t>
  </si>
  <si>
    <t>Amortization of deferred gains from sale-leaseback transactions</t>
  </si>
  <si>
    <t>Deferred income taxes</t>
  </si>
  <si>
    <t>Changes in other operating assets and liabilities:</t>
  </si>
  <si>
    <t xml:space="preserve">Adjustment for Income Tax Paid </t>
  </si>
  <si>
    <t>Other</t>
  </si>
  <si>
    <t>Net cash provided by operating activities</t>
  </si>
  <si>
    <t>Cash flows used for investing activities:</t>
  </si>
  <si>
    <t>Investing Activities</t>
  </si>
  <si>
    <t>Capital expenditures:</t>
  </si>
  <si>
    <t>New restaurant development</t>
  </si>
  <si>
    <t>Restaurant remodeling</t>
  </si>
  <si>
    <t>Other restaurant capital expenditures</t>
  </si>
  <si>
    <t>Corporate and restaurant information systems</t>
  </si>
  <si>
    <t>Total capital expenditures</t>
  </si>
  <si>
    <t>Acquisition of restaurants, net of cash acquired (Note 2)</t>
  </si>
  <si>
    <t>Proceeds from insurance recoveries</t>
  </si>
  <si>
    <t>Properties purchased for sale-leaseback</t>
  </si>
  <si>
    <t>Proceeds from sale-leaseback transactions</t>
  </si>
  <si>
    <t>Net cash used for investing activities</t>
  </si>
  <si>
    <t>Cash flows from financing activities:</t>
  </si>
  <si>
    <t>Financing Activities</t>
  </si>
  <si>
    <t>Proceeds from issuance of 8% senior secured second lien notes</t>
  </si>
  <si>
    <t>Borrowings under senior credit facility</t>
  </si>
  <si>
    <t>Repayments under senior credit facility</t>
  </si>
  <si>
    <t>Principal payments on capital leases</t>
  </si>
  <si>
    <t>Proceeds from lease financing obligations</t>
  </si>
  <si>
    <t>Financing costs associated with issuance of debt and lease financing obligations</t>
  </si>
  <si>
    <t>Net cash provided by financing activities</t>
  </si>
  <si>
    <t>Net increase (decrease) in cash and cash equivalents</t>
  </si>
  <si>
    <t>Cash and cash equivalents, beginning of period</t>
  </si>
  <si>
    <t>Cash and cash equivalents at beginning of period</t>
  </si>
  <si>
    <t>Cash and cash equivalents, end of period</t>
  </si>
  <si>
    <t>Supplemental disclosures:</t>
  </si>
  <si>
    <t>Interest paid on long-term debt</t>
  </si>
  <si>
    <t>Interest paid on lease financing obligations</t>
  </si>
  <si>
    <t>Accruals for capital expenditures</t>
  </si>
  <si>
    <t>Non-cash reduction of lease financing obligations</t>
  </si>
  <si>
    <t>Income taxes paid (refunded), net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</si>
  <si>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</si>
  <si>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</si>
  <si>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</si>
  <si>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</si>
  <si>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</si>
  <si>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other operating expenses</t>
  </si>
  <si>
    <t>leasehold improvements</t>
  </si>
  <si>
    <t>leased assets</t>
  </si>
  <si>
    <t>property, plant and equipment</t>
  </si>
  <si>
    <t>accumulated depreciation and amortisation</t>
  </si>
  <si>
    <t>changed value</t>
  </si>
  <si>
    <t>restaurant sales</t>
  </si>
  <si>
    <t>added value</t>
  </si>
  <si>
    <t>salaries and wages</t>
  </si>
  <si>
    <t>restaurant wages and related expenses</t>
  </si>
  <si>
    <t>restaurant rent expense</t>
  </si>
  <si>
    <t>other restaurant operating expenses</t>
  </si>
  <si>
    <t>advertising expense</t>
  </si>
  <si>
    <t>impairment</t>
  </si>
  <si>
    <t>impairment and other lease charges</t>
  </si>
  <si>
    <t>changed sign</t>
  </si>
  <si>
    <t>added value and changed sign from pdf sign</t>
  </si>
  <si>
    <t>gain on bargain purchase</t>
  </si>
  <si>
    <t>land</t>
  </si>
  <si>
    <t>owned buildings</t>
  </si>
  <si>
    <t>equipment</t>
  </si>
  <si>
    <t>assets subject to capital leases</t>
  </si>
  <si>
    <t>less accumulated depreciation and amortization</t>
  </si>
  <si>
    <t>land and buildings</t>
  </si>
  <si>
    <t>refundable income taxes</t>
  </si>
  <si>
    <t>prepaid expenses</t>
  </si>
  <si>
    <t>prepaid rent</t>
  </si>
  <si>
    <t>prepaid expenses and other current assets</t>
  </si>
  <si>
    <t>franchise rights, net</t>
  </si>
  <si>
    <t>intangibles - goodwill</t>
  </si>
  <si>
    <t>goodwill</t>
  </si>
  <si>
    <t>other fixed assets</t>
  </si>
  <si>
    <t>franchise agreements, at cost less accumulated</t>
  </si>
  <si>
    <t>favourable leases, net</t>
  </si>
  <si>
    <t>deleted value</t>
  </si>
  <si>
    <t>deferred tax asset</t>
  </si>
  <si>
    <t>deferred income taxes</t>
  </si>
  <si>
    <t>current tax assets</t>
  </si>
  <si>
    <t>current portion of long-term debt</t>
  </si>
  <si>
    <t>accounts payable</t>
  </si>
  <si>
    <t>accrued interest</t>
  </si>
  <si>
    <t>accrued payroll, related taxes and benefits</t>
  </si>
  <si>
    <t>accrued real estate taxes</t>
  </si>
  <si>
    <t>other operating current liabilities</t>
  </si>
  <si>
    <t>other current liabilities</t>
  </si>
  <si>
    <t>long term debt</t>
  </si>
  <si>
    <t>long-term debt, net of current portion and deferred financing costs</t>
  </si>
  <si>
    <t>lease financing obligations</t>
  </si>
  <si>
    <t>unfavourable leases, net</t>
  </si>
  <si>
    <t>deferred income - sale-leaseback of real estate</t>
  </si>
  <si>
    <t>deferred income and gains</t>
  </si>
  <si>
    <t>accrued postretirement benefits</t>
  </si>
  <si>
    <t>other liabilities</t>
  </si>
  <si>
    <t>long term accruals</t>
  </si>
  <si>
    <t>other non-current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</si>
</sst>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4" fillId="0" borderId="0" xfId="2" applyFill="1" applyAlignment="1">
      <alignment horizontal="left" vertical="center" wrapText="1"/>
    </xf>
    <xf numFmtId="3" fontId="4" fillId="0" borderId="0" xfId="2"/>
    <xf numFmtId="3" fontId="4" fillId="0" borderId="0" xfId="2" applyFill="1"/>
    <xf numFmtId="3" fontId="4" fillId="0" borderId="0" xfId="2" applyFont="1" applyFill="1"/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ADD-4B75-9D19-3FE9F9434F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01-4FD6-808A-8E9163FD52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58B-49CA-BE29-B9730398B0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B8-4877-9989-1E9B895B06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474-4DE4-871F-D7E2089332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77-4DEA-A452-A7077603C7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105-49BD-BF12-211C2FE559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274-4D2D-9744-A370EE060D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D4E-45D3-9F41-EB349E517C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991-4B85-AC61-F76A1127EE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561-47C0-80C2-4FB980B49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54E-4BF7-AC74-ECAB29C7EB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71-4FC0-AF69-7FE72604A5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A8-43F4-91E3-61DFE1A070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A8D-4964-98BB-AC7FFC5D55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10104</v>
      </c>
      <c r="G6" s="7">
        <f t="shared" ref="G6:O6" si="1">IF(G4=$BF$1,"",G71)</f>
        <v>7159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565573</v>
      </c>
      <c r="G7" s="7">
        <f t="shared" ref="G7:O7" si="2">IF(G4=$BF$1,"",G128)</f>
        <v>521499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34678</v>
      </c>
      <c r="G8" s="7">
        <f t="shared" ref="G8:O8" si="3">IF(G4=$BF$1,"",G161)</f>
        <v>60015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82139</v>
      </c>
      <c r="G9" s="7">
        <f t="shared" ref="G9:O9" si="4">IF(G4=$BF$1,"",G189)</f>
        <v>79529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332572</v>
      </c>
      <c r="G10" s="7">
        <f t="shared" ref="G10:O10" si="5">IF(G4=$BF$1,"",G210)</f>
        <v>332925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185540</v>
      </c>
      <c r="G11" s="7">
        <f t="shared" ref="G11:O11" si="6">IF(G4=$BF$1,"",G227)</f>
        <v>169060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600251</v>
      </c>
      <c r="G12" s="35">
        <f t="shared" ref="G12:O12" si="7">IF(G4=$BF$1,"",SUM(G7:G8))</f>
        <v>581514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600251</v>
      </c>
      <c r="G13" s="35">
        <f t="shared" ref="G13:O13" si="8">IF(G4=$BF$1,"",SUM(G9:G11))</f>
        <v>581514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1179307</v>
      </c>
      <c r="G24">
        <v>1088532</v>
      </c>
      <c r="P24" s="49" t="s">
        <v>518</v>
      </c>
    </row>
    <row r="25" spans="5:16">
      <c r="E25" s="1" t="s">
        <v>27</v>
      </c>
      <c r="F25">
        <v>326308</v>
      </c>
      <c r="G25">
        <v>304593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852999</v>
      </c>
      <c r="G30" s="7">
        <f>IF(G4=$BF$1,"",G24-G25+ABS(G26)-G27-G28-G29)</f>
        <v>783939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>
        <v>424</v>
      </c>
      <c r="G31">
        <v>333</v>
      </c>
      <c r="H31">
        <v>338</v>
      </c>
      <c r="P31" s="49" t="s">
        <v>528</v>
      </c>
    </row>
    <row r="32" spans="5:16">
      <c r="E32" s="1" t="s">
        <v>34</v>
      </c>
      <c r="F32" s="38">
        <v>382829</v>
      </c>
      <c r="G32" s="38">
        <v>350054</v>
      </c>
      <c r="P32" s="49" t="s">
        <v>520</v>
      </c>
    </row>
    <row r="33" spans="5:16">
      <c r="E33" s="1" t="s">
        <v>35</v>
      </c>
    </row>
    <row r="34" spans="5:16">
      <c r="E34" s="1" t="s">
        <v>36</v>
      </c>
      <c r="F34">
        <v>66587</v>
      </c>
      <c r="G34">
        <v>60348</v>
      </c>
      <c r="H34">
        <v>54956</v>
      </c>
    </row>
    <row r="35" spans="5:16">
      <c r="E35" s="1" t="s">
        <v>37</v>
      </c>
    </row>
    <row r="36" spans="5:16">
      <c r="E36" s="1" t="s">
        <v>38</v>
      </c>
      <c r="F36">
        <f>178750+81409+48340</f>
        <v>308499</v>
      </c>
      <c r="G36">
        <f>166786+75948+44677</f>
        <v>287411</v>
      </c>
      <c r="H36">
        <v>148946</v>
      </c>
      <c r="P36" s="49" t="s">
        <v>518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58468</v>
      </c>
      <c r="G40">
        <v>54159</v>
      </c>
      <c r="H40">
        <v>47295</v>
      </c>
    </row>
    <row r="41" spans="5:16">
      <c r="E41" s="1" t="s">
        <v>43</v>
      </c>
      <c r="P41" s="49" t="s">
        <v>520</v>
      </c>
    </row>
    <row r="42" spans="5:16">
      <c r="E42" s="1" t="s">
        <v>44</v>
      </c>
      <c r="F42" s="38">
        <v>3685</v>
      </c>
      <c r="G42" s="38">
        <v>2827</v>
      </c>
    </row>
    <row r="43" spans="5:16">
      <c r="E43" s="6" t="s">
        <v>45</v>
      </c>
      <c r="F43" s="7">
        <f>F32+F33+F34+F35+F36+F37+F38+F39+F40+F41+F42</f>
        <v>820068</v>
      </c>
      <c r="G43" s="7">
        <f>G32+G33+G34+G35+G36+G37+G38+G39+G40+G41+G42</f>
        <v>754799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33355</v>
      </c>
      <c r="G44" s="7">
        <f>IF(G4=$BF$1,"",G30+G31-G43)</f>
        <v>29473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0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  <c r="F47" s="38">
        <v>230</v>
      </c>
      <c r="P47" s="49" t="s">
        <v>529</v>
      </c>
    </row>
    <row r="48" spans="5:16">
      <c r="E48" s="1" t="s">
        <v>50</v>
      </c>
    </row>
    <row r="49" spans="5:16">
      <c r="E49" s="1" t="s">
        <v>51</v>
      </c>
      <c r="F49">
        <v>23638</v>
      </c>
      <c r="G49">
        <v>21710</v>
      </c>
      <c r="H49">
        <v>18315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9947</v>
      </c>
      <c r="G59" s="7">
        <f>IF(G4=$BF$1,"",G44+G45+G46+G47+G48-G49-G50-G51+G52-G53+G54+G55-G56+G57+G58)</f>
        <v>7763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0"/>
    </row>
    <row r="60" spans="5:16">
      <c r="E60" s="1" t="s">
        <v>62</v>
      </c>
      <c r="F60">
        <v>-157</v>
      </c>
      <c r="G60">
        <v>604</v>
      </c>
      <c r="H60">
        <v>-28085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10104</v>
      </c>
      <c r="G67" s="7">
        <f>IF(G4=$BF$1,"",SUM(G59,-G60,-ABS(G61),-G62,-G66))</f>
        <v>7159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0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10104</v>
      </c>
      <c r="G71" s="7">
        <f t="shared" ref="G71:O71" si="14">IF(G4=$BF$1,"",SUM(G67:G70))</f>
        <v>7159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10104</v>
      </c>
      <c r="G83" s="7">
        <f t="shared" ref="G83:O83" si="15">IF(G4=$BF$1,"",SUM(G71:G82))</f>
        <v>7159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8779+9488</f>
        <v>18267</v>
      </c>
      <c r="G89" s="38">
        <f>8659+9950</f>
        <v>18609</v>
      </c>
      <c r="P89" s="49" t="s">
        <v>520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v>244446</v>
      </c>
      <c r="G92">
        <v>227284</v>
      </c>
      <c r="P92" s="49" t="s">
        <v>520</v>
      </c>
    </row>
    <row r="93" spans="5:16">
      <c r="E93" s="1" t="s">
        <v>85</v>
      </c>
    </row>
    <row r="94" spans="5:16">
      <c r="E94" s="1" t="s">
        <v>86</v>
      </c>
      <c r="F94">
        <f>339180+16797+175897</f>
        <v>531874</v>
      </c>
      <c r="G94">
        <f>301091+16874+152028</f>
        <v>469993</v>
      </c>
      <c r="P94" s="49" t="s">
        <v>520</v>
      </c>
    </row>
    <row r="95" spans="5:16">
      <c r="E95" s="1" t="s">
        <v>87</v>
      </c>
      <c r="F95" s="38">
        <f>24414+5892</f>
        <v>30306</v>
      </c>
      <c r="G95" s="38">
        <f>23192+5862</f>
        <v>29054</v>
      </c>
      <c r="P95" s="49" t="s">
        <v>520</v>
      </c>
    </row>
    <row r="96" spans="5:16">
      <c r="E96" s="12"/>
    </row>
    <row r="98" spans="5:16">
      <c r="E98" s="6" t="s">
        <v>88</v>
      </c>
      <c r="F98" s="7">
        <f>F89+F90+F91+F92+F93+F94+F95+F96</f>
        <v>824893</v>
      </c>
      <c r="G98" s="7">
        <f>IF(G4=$BF$1,"",G89+G90+G91+G92+G93+G94+G95+G96)</f>
        <v>744940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0"/>
    </row>
    <row r="99" spans="5:16">
      <c r="E99" s="1" t="s">
        <v>89</v>
      </c>
      <c r="F99" s="38">
        <v>-328873</v>
      </c>
      <c r="G99" s="38">
        <v>-289760</v>
      </c>
      <c r="P99" s="49" t="s">
        <v>520</v>
      </c>
    </row>
    <row r="100" spans="5:16">
      <c r="E100" s="6" t="s">
        <v>90</v>
      </c>
      <c r="F100" s="7">
        <f>F98+F99</f>
        <v>496020</v>
      </c>
      <c r="G100" s="7">
        <f t="shared" ref="G100:O100" si="17">IF(G4=$BF$1,"",G98+G99)</f>
        <v>455180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0"/>
    </row>
    <row r="101" spans="5:16">
      <c r="E101" s="1" t="s">
        <v>91</v>
      </c>
      <c r="F101" s="38">
        <v>38469</v>
      </c>
      <c r="G101" s="38">
        <v>36792</v>
      </c>
      <c r="P101" s="49" t="s">
        <v>520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38469</v>
      </c>
      <c r="G104" s="7">
        <f t="shared" ref="G104:O104" si="18">IF(G4=$BF$1,"",G101+G102+G103)</f>
        <v>36792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  <c r="F110"/>
      <c r="G110"/>
      <c r="P110" s="49" t="s">
        <v>547</v>
      </c>
    </row>
    <row r="111" spans="5:16">
      <c r="E111" s="1" t="s">
        <v>101</v>
      </c>
      <c r="F111" s="38">
        <v>28291</v>
      </c>
      <c r="G111" s="38">
        <v>27647</v>
      </c>
      <c r="P111" s="49" t="s">
        <v>520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2793</v>
      </c>
      <c r="G126">
        <v>1880</v>
      </c>
    </row>
    <row r="127" spans="5:16">
      <c r="E127" s="12" t="s">
        <v>114</v>
      </c>
      <c r="F127"/>
      <c r="G127"/>
      <c r="P127" s="49" t="s">
        <v>547</v>
      </c>
    </row>
    <row r="128" spans="5:16">
      <c r="E128" s="6" t="s">
        <v>115</v>
      </c>
      <c r="F128" s="7">
        <f>F100+SUM(F104:F127)</f>
        <v>565573</v>
      </c>
      <c r="G128" s="7">
        <f t="shared" ref="G128:O128" si="19">IF(G4=$BF$1,"",G100+SUM(G104:G126))</f>
        <v>521499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4014</v>
      </c>
      <c r="G130">
        <v>29412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  <c r="F133">
        <v>11693</v>
      </c>
      <c r="G133">
        <v>9420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15707</v>
      </c>
      <c r="G140" s="7">
        <f t="shared" ref="G140:O140" si="20">IF(G4=$BF$1,"",G130+G131+G132+G133+G134+G135+G136+G139)</f>
        <v>38832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10396</v>
      </c>
      <c r="G144">
        <v>9373</v>
      </c>
    </row>
    <row r="145" spans="5:16">
      <c r="E145" s="6" t="s">
        <v>127</v>
      </c>
      <c r="F145" s="7">
        <f>F141+F142+F143+F144</f>
        <v>10396</v>
      </c>
      <c r="G145" s="7">
        <f t="shared" ref="G145:O145" si="21">IF(G4=$BF$1,"",G141+G142+G143+G144)</f>
        <v>9373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  <c r="P151" s="49" t="s">
        <v>520</v>
      </c>
    </row>
    <row r="154" spans="5:16">
      <c r="E154" s="12" t="s">
        <v>134</v>
      </c>
      <c r="F154">
        <f>1880+6695</f>
        <v>8575</v>
      </c>
      <c r="G154">
        <f>5134+6622</f>
        <v>11756</v>
      </c>
      <c r="P154" s="49" t="s">
        <v>518</v>
      </c>
    </row>
    <row r="155" spans="5:16">
      <c r="E155" s="1" t="s">
        <v>135</v>
      </c>
    </row>
    <row r="156" spans="5:16">
      <c r="E156" s="12" t="s">
        <v>136</v>
      </c>
      <c r="G156" s="38">
        <v>54</v>
      </c>
    </row>
    <row r="157" spans="5:16">
      <c r="E157" s="12" t="s">
        <v>137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8575</v>
      </c>
      <c r="G160" s="7">
        <f>IF(G4=$BF$1,"",G146+G147+G148+G149+G150+G151+G152+G153+G154+G155+G156+G157+G158+G159)</f>
        <v>11810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34678</v>
      </c>
      <c r="G161" s="7">
        <f t="shared" ref="G161:O161" si="22">IF(G4=$BF$1,"",G140+G145+G160)</f>
        <v>60015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1948</v>
      </c>
      <c r="G167">
        <v>1808</v>
      </c>
      <c r="P167" s="49" t="s">
        <v>518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29143+3818+28719+5910</f>
        <v>67590</v>
      </c>
      <c r="G184">
        <f>29245+3672+26635+5269</f>
        <v>64821</v>
      </c>
      <c r="P184" s="49" t="s">
        <v>518</v>
      </c>
    </row>
    <row r="185" spans="5:16">
      <c r="E185" s="12" t="s">
        <v>162</v>
      </c>
    </row>
    <row r="187" spans="5:16">
      <c r="E187" s="1" t="s">
        <v>163</v>
      </c>
      <c r="F187">
        <v>12601</v>
      </c>
      <c r="G187">
        <v>12900</v>
      </c>
      <c r="P187" s="49" t="s">
        <v>518</v>
      </c>
    </row>
    <row r="188" spans="5:16">
      <c r="E188" s="1" t="s">
        <v>164</v>
      </c>
      <c r="F188"/>
      <c r="G188"/>
      <c r="P188" s="49" t="s">
        <v>547</v>
      </c>
    </row>
    <row r="189" spans="5:16">
      <c r="E189" s="6" t="s">
        <v>13</v>
      </c>
      <c r="F189" s="7">
        <f>SUM(F163:F188)</f>
        <v>82139</v>
      </c>
      <c r="G189" s="7">
        <f t="shared" ref="G189:O189" si="23">IF(G4=$BF$1,"",SUM(G163:G188))</f>
        <v>79529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0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  <c r="F194" s="38">
        <v>276823</v>
      </c>
      <c r="G194" s="38">
        <v>278519</v>
      </c>
      <c r="P194" s="49" t="s">
        <v>520</v>
      </c>
    </row>
    <row r="195" spans="5:16">
      <c r="E195" s="1" t="s">
        <v>170</v>
      </c>
      <c r="F195" s="38">
        <f>1196+12348</f>
        <v>13544</v>
      </c>
      <c r="G195" s="38">
        <f>1196+13111</f>
        <v>14307</v>
      </c>
      <c r="P195" s="49" t="s">
        <v>520</v>
      </c>
    </row>
    <row r="196" spans="5:16">
      <c r="E196" s="1" t="s">
        <v>171</v>
      </c>
    </row>
    <row r="197" spans="5:16">
      <c r="E197" s="1" t="s">
        <v>172</v>
      </c>
      <c r="F197" s="38">
        <v>4320</v>
      </c>
      <c r="G197" s="38">
        <v>4838</v>
      </c>
      <c r="P197" s="49" t="s">
        <v>520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10073</v>
      </c>
      <c r="G206" s="38">
        <v>11451</v>
      </c>
      <c r="P206" s="49" t="s">
        <v>520</v>
      </c>
    </row>
    <row r="209" spans="5:16">
      <c r="E209" s="1" t="s">
        <v>180</v>
      </c>
      <c r="F209">
        <v>27812</v>
      </c>
      <c r="G209">
        <v>23810</v>
      </c>
      <c r="P209" s="49" t="s">
        <v>520</v>
      </c>
    </row>
    <row r="210" spans="5:16">
      <c r="E210" s="6" t="s">
        <v>14</v>
      </c>
      <c r="F210" s="7">
        <f>SUM(F191:F209)</f>
        <v>332572</v>
      </c>
      <c r="G210" s="7">
        <f t="shared" ref="G210:O210" si="24">IF(G4=$BF$1,"",SUM(G191:G209))</f>
        <v>332925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0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150816</v>
      </c>
      <c r="G212">
        <v>145004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35511</v>
      </c>
      <c r="G217">
        <v>25407</v>
      </c>
    </row>
    <row r="218" spans="5:16">
      <c r="E218" s="1" t="s">
        <v>188</v>
      </c>
    </row>
    <row r="219" spans="5:16">
      <c r="E219" s="1" t="s">
        <v>189</v>
      </c>
      <c r="F219">
        <v>-646</v>
      </c>
      <c r="G219">
        <v>-1210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-141</v>
      </c>
      <c r="G223">
        <v>-141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185540</v>
      </c>
      <c r="G227" s="7">
        <f t="shared" ref="G227:O227" si="25">IF(G4=$BF$1,"",SUM(G212:G226))</f>
        <v>169060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10104</v>
      </c>
      <c r="G267">
        <v>7159</v>
      </c>
      <c r="H267">
        <v>45472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58468</v>
      </c>
      <c r="G271">
        <v>54159</v>
      </c>
      <c r="H271">
        <v>47295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-1295</v>
      </c>
      <c r="G275">
        <v>-1050</v>
      </c>
      <c r="H275">
        <v>-997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  <c r="F278">
        <v>146</v>
      </c>
      <c r="G278">
        <v>996</v>
      </c>
      <c r="H278">
        <v>4</v>
      </c>
    </row>
    <row r="279" spans="5:8">
      <c r="E279" s="1" t="s">
        <v>244</v>
      </c>
    </row>
    <row r="280" spans="5:8" ht="25.5" customHeight="1">
      <c r="E280" s="1" t="s">
        <v>245</v>
      </c>
      <c r="F280">
        <v>312</v>
      </c>
      <c r="G280">
        <v>521</v>
      </c>
      <c r="H280">
        <v>-549</v>
      </c>
    </row>
    <row r="281" spans="5:8" ht="25.5" customHeight="1">
      <c r="E281" s="1" t="s">
        <v>246</v>
      </c>
    </row>
    <row r="284" spans="5:8">
      <c r="E284" s="1" t="s">
        <v>247</v>
      </c>
      <c r="F284">
        <v>-215</v>
      </c>
      <c r="G284">
        <v>36</v>
      </c>
      <c r="H284">
        <v>0</v>
      </c>
    </row>
    <row r="285" spans="5:8">
      <c r="E285" s="1" t="s">
        <v>248</v>
      </c>
      <c r="F285">
        <v>5812</v>
      </c>
      <c r="G285">
        <v>3518</v>
      </c>
      <c r="H285">
        <v>13436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5312</v>
      </c>
      <c r="G288">
        <v>1870</v>
      </c>
      <c r="H288">
        <v>-3778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68540</v>
      </c>
      <c r="G296" s="7">
        <f>IF(G4=$BF$1,"",G271+G272+G273+G274+G275+G276+G277+G278+G279+G280+G281+G282+G283+G284+G285+G286+G287+G288+G289+G290+G291+G292+G293+G294+G295)</f>
        <v>60050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78644</v>
      </c>
      <c r="G297" s="7">
        <f t="shared" ref="G297:O297" si="27">IF(G4=$BF$1,"",MIN(F267,F268,F269)+F296)</f>
        <v>78644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  <c r="F301">
        <v>-2275</v>
      </c>
      <c r="G301">
        <v>-1310</v>
      </c>
      <c r="H301">
        <v>-1462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-483</v>
      </c>
      <c r="G309">
        <v>574</v>
      </c>
      <c r="H309">
        <v>-28085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-926</v>
      </c>
      <c r="G315">
        <v>3084</v>
      </c>
      <c r="H315">
        <v>1686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-3684</v>
      </c>
      <c r="G318" s="7">
        <f>IF(G4=$BF$1,"",G299+G300+G301+G302+G303+G304+G305+G306+G307+G308+G309+G310+G311+G312+G313+G314+G315+G316+G317)</f>
        <v>2348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74960</v>
      </c>
      <c r="G319" s="7">
        <f t="shared" ref="G319:O319" si="28">IF(G4=$BF$1,"",G297+G318)</f>
        <v>80992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74960</v>
      </c>
      <c r="G326" s="7">
        <f t="shared" ref="G326:O326" si="30">IF(G4=$BF$1,"",G325+G319)</f>
        <v>80992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-113837</v>
      </c>
      <c r="G328">
        <v>-111439</v>
      </c>
      <c r="H328">
        <v>-142187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-113837</v>
      </c>
      <c r="G337" s="7">
        <f>IF(G4=$BF$1,"",SUM(G328:G336))</f>
        <v>-111439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0</v>
      </c>
      <c r="G339">
        <v>79875</v>
      </c>
      <c r="H339">
        <v>0</v>
      </c>
    </row>
    <row r="340" spans="5:15">
      <c r="E340" s="1" t="s">
        <v>299</v>
      </c>
      <c r="F340">
        <v>17000</v>
      </c>
      <c r="G340">
        <v>183250</v>
      </c>
      <c r="H340">
        <v>129000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-18811</v>
      </c>
      <c r="G343">
        <v>-198401</v>
      </c>
      <c r="H343">
        <v>-116980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-1811</v>
      </c>
      <c r="G352" s="7">
        <f>IF(G4=$BF$1,"",SUM(G339:G351))</f>
        <v>64724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-40688</v>
      </c>
      <c r="G353" s="7">
        <f t="shared" ref="G353:O353" si="33">IF(G4=$BF$1,"",G326+G337+G352)</f>
        <v>34277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-40688</v>
      </c>
      <c r="G355" s="7">
        <f t="shared" ref="G355:O355" si="34">IF(G4=$BF$1,"",G353+G354)</f>
        <v>34277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29412</v>
      </c>
      <c r="G356">
        <v>2002</v>
      </c>
      <c r="H356">
        <v>22274</v>
      </c>
    </row>
    <row r="357" spans="5:15">
      <c r="E357" s="6" t="s">
        <v>316</v>
      </c>
      <c r="F357" s="7">
        <f>F355+F356</f>
        <v>-11276</v>
      </c>
      <c r="G357" s="7">
        <f t="shared" ref="G357:O357" si="35">IF(G4=$BF$1,"",G355+G356)</f>
        <v>36279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8.3392128113826694E-2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0.4113703031149602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3.2221064325192512E-2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0.72330529709397129</v>
      </c>
      <c r="G369" s="27">
        <f t="shared" si="41"/>
        <v>0.72018002226852307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2.8283559751616838E-2</v>
      </c>
      <c r="G370" s="27">
        <f t="shared" si="42"/>
        <v>2.7075915085638273E-2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8.5677435985710253E-3</v>
      </c>
      <c r="G371" s="28">
        <f t="shared" si="43"/>
        <v>6.5767473992496316E-3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1.6832958212481111E-2</v>
      </c>
      <c r="G372" s="27">
        <f t="shared" si="44"/>
        <v>1.2310967577736736E-2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5.4457259890050666E-2</v>
      </c>
      <c r="G373" s="27">
        <f t="shared" si="45"/>
        <v>4.2345912693718207E-2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0.69089597518371482</v>
      </c>
      <c r="G376" s="30">
        <f t="shared" si="47"/>
        <v>0.70927613092720043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2.2351568394955268</v>
      </c>
      <c r="G377" s="30">
        <f t="shared" si="48"/>
        <v>2.4396900508695136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1.4110753870885862</v>
      </c>
      <c r="G378" s="30">
        <f t="shared" si="49"/>
        <v>1.3575771533855365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0.42218678094449652</v>
      </c>
      <c r="G382" s="32">
        <f t="shared" si="51"/>
        <v>0.75463038639992963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0.29562083784803811</v>
      </c>
      <c r="G383" s="32">
        <f t="shared" si="52"/>
        <v>0.63677400696601238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4.886838164574684E-2</v>
      </c>
      <c r="G384" s="32">
        <f t="shared" si="53"/>
        <v>0.36982735857360211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0.91259937423148563</v>
      </c>
      <c r="G385" s="32">
        <f t="shared" si="54"/>
        <v>1.0183958053037256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4014</v>
      </c>
      <c r="G418" s="17">
        <f>G130-G417</f>
        <v>29412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508</v>
      </c>
      <c r="B1" s="39" t="s">
        <v>509</v>
      </c>
      <c r="C1" s="39" t="s">
        <v>510</v>
      </c>
      <c r="D1" s="39"/>
    </row>
    <row r="2" spans="1:4">
      <c r="A2" t="s">
        <v>519</v>
      </c>
      <c r="B2" s="41" t="s">
        <v>511</v>
      </c>
      <c r="C2" s="39" t="s">
        <v>512</v>
      </c>
      <c r="D2" s="39"/>
    </row>
    <row r="3" spans="1:4">
      <c r="A3" t="s">
        <v>522</v>
      </c>
      <c r="B3" s="41" t="s">
        <v>521</v>
      </c>
      <c r="C3" s="39" t="s">
        <v>512</v>
      </c>
    </row>
    <row r="4" spans="1:4">
      <c r="A4" t="s">
        <v>523</v>
      </c>
      <c r="B4" s="41" t="s">
        <v>513</v>
      </c>
      <c r="C4" s="39" t="s">
        <v>512</v>
      </c>
    </row>
    <row r="5" spans="1:4">
      <c r="A5" t="s">
        <v>524</v>
      </c>
      <c r="B5" s="42" t="s">
        <v>513</v>
      </c>
      <c r="C5" s="39" t="s">
        <v>512</v>
      </c>
    </row>
    <row r="6" spans="1:4">
      <c r="A6" t="s">
        <v>525</v>
      </c>
      <c r="B6" s="42" t="s">
        <v>513</v>
      </c>
      <c r="C6" s="39" t="s">
        <v>512</v>
      </c>
    </row>
    <row r="7" spans="1:4">
      <c r="A7" t="s">
        <v>527</v>
      </c>
      <c r="B7" s="41" t="s">
        <v>526</v>
      </c>
      <c r="C7" s="39" t="s">
        <v>512</v>
      </c>
    </row>
    <row r="8" spans="1:4">
      <c r="A8" t="s">
        <v>530</v>
      </c>
      <c r="B8" s="42" t="s">
        <v>49</v>
      </c>
      <c r="C8" s="39" t="s">
        <v>512</v>
      </c>
    </row>
    <row r="9" spans="1:4">
      <c r="A9" t="s">
        <v>531</v>
      </c>
      <c r="B9" s="42" t="s">
        <v>536</v>
      </c>
      <c r="C9" s="39" t="s">
        <v>512</v>
      </c>
    </row>
    <row r="10" spans="1:4">
      <c r="A10" t="s">
        <v>532</v>
      </c>
      <c r="B10" s="41" t="s">
        <v>536</v>
      </c>
      <c r="C10" s="39" t="s">
        <v>512</v>
      </c>
    </row>
    <row r="11" spans="1:4">
      <c r="A11" t="s">
        <v>514</v>
      </c>
      <c r="B11" s="41" t="s">
        <v>515</v>
      </c>
      <c r="C11" s="39" t="s">
        <v>512</v>
      </c>
    </row>
    <row r="12" spans="1:4">
      <c r="A12" t="s">
        <v>533</v>
      </c>
      <c r="B12" s="41" t="s">
        <v>516</v>
      </c>
      <c r="C12" s="39" t="s">
        <v>512</v>
      </c>
    </row>
    <row r="13" spans="1:4">
      <c r="A13" s="42" t="s">
        <v>534</v>
      </c>
      <c r="B13" s="42" t="s">
        <v>515</v>
      </c>
      <c r="C13" s="39" t="s">
        <v>512</v>
      </c>
    </row>
    <row r="14" spans="1:4">
      <c r="A14" s="42" t="s">
        <v>535</v>
      </c>
      <c r="B14" s="42" t="s">
        <v>517</v>
      </c>
      <c r="C14" s="39" t="s">
        <v>512</v>
      </c>
    </row>
    <row r="15" spans="1:4">
      <c r="A15" s="42" t="s">
        <v>537</v>
      </c>
      <c r="B15" s="42" t="s">
        <v>550</v>
      </c>
      <c r="C15" s="39" t="s">
        <v>512</v>
      </c>
    </row>
    <row r="16" spans="1:4">
      <c r="A16" s="43" t="s">
        <v>539</v>
      </c>
      <c r="B16" s="42" t="s">
        <v>538</v>
      </c>
      <c r="C16" s="39" t="s">
        <v>512</v>
      </c>
    </row>
    <row r="17" spans="1:3">
      <c r="A17" s="42" t="s">
        <v>540</v>
      </c>
      <c r="B17" s="42" t="s">
        <v>538</v>
      </c>
      <c r="C17" s="39" t="s">
        <v>512</v>
      </c>
    </row>
    <row r="18" spans="1:3">
      <c r="A18" s="42" t="s">
        <v>541</v>
      </c>
      <c r="B18" s="44" t="s">
        <v>515</v>
      </c>
      <c r="C18" s="39" t="s">
        <v>512</v>
      </c>
    </row>
    <row r="19" spans="1:3">
      <c r="A19" s="42" t="s">
        <v>543</v>
      </c>
      <c r="B19" s="42" t="s">
        <v>542</v>
      </c>
      <c r="C19" s="39" t="s">
        <v>512</v>
      </c>
    </row>
    <row r="20" spans="1:3">
      <c r="A20" s="42" t="s">
        <v>545</v>
      </c>
      <c r="B20" s="44" t="s">
        <v>544</v>
      </c>
      <c r="C20" s="39" t="s">
        <v>512</v>
      </c>
    </row>
    <row r="21" spans="1:3">
      <c r="A21" s="42" t="s">
        <v>546</v>
      </c>
      <c r="B21" s="45" t="s">
        <v>544</v>
      </c>
      <c r="C21" s="39" t="s">
        <v>512</v>
      </c>
    </row>
    <row r="22" spans="1:3">
      <c r="A22" s="42" t="s">
        <v>549</v>
      </c>
      <c r="B22" s="46" t="s">
        <v>548</v>
      </c>
      <c r="C22" s="39" t="s">
        <v>512</v>
      </c>
    </row>
    <row r="23" spans="1:3">
      <c r="A23" s="42" t="s">
        <v>551</v>
      </c>
      <c r="B23" s="44" t="s">
        <v>146</v>
      </c>
      <c r="C23" s="39" t="s">
        <v>512</v>
      </c>
    </row>
    <row r="24" spans="1:3">
      <c r="A24" s="42" t="s">
        <v>552</v>
      </c>
      <c r="B24" s="44" t="s">
        <v>161</v>
      </c>
      <c r="C24" s="39" t="s">
        <v>512</v>
      </c>
    </row>
    <row r="25" spans="1:3">
      <c r="A25" s="42" t="s">
        <v>553</v>
      </c>
      <c r="B25" s="44" t="s">
        <v>161</v>
      </c>
      <c r="C25" s="39" t="s">
        <v>512</v>
      </c>
    </row>
    <row r="26" spans="1:3">
      <c r="A26" s="42" t="s">
        <v>554</v>
      </c>
      <c r="B26" s="44" t="s">
        <v>161</v>
      </c>
      <c r="C26" s="39" t="s">
        <v>512</v>
      </c>
    </row>
    <row r="27" spans="1:3">
      <c r="A27" s="42" t="s">
        <v>555</v>
      </c>
      <c r="B27" s="44" t="s">
        <v>161</v>
      </c>
      <c r="C27" s="39" t="s">
        <v>512</v>
      </c>
    </row>
    <row r="28" spans="1:3">
      <c r="A28" s="47" t="s">
        <v>557</v>
      </c>
      <c r="B28" s="44" t="s">
        <v>556</v>
      </c>
      <c r="C28" s="39" t="s">
        <v>512</v>
      </c>
    </row>
    <row r="29" spans="1:3">
      <c r="A29" s="47" t="s">
        <v>559</v>
      </c>
      <c r="B29" s="44" t="s">
        <v>558</v>
      </c>
      <c r="C29" s="39" t="s">
        <v>512</v>
      </c>
    </row>
    <row r="30" spans="1:3">
      <c r="A30" s="47" t="s">
        <v>560</v>
      </c>
      <c r="B30" s="44" t="s">
        <v>170</v>
      </c>
      <c r="C30" s="39" t="s">
        <v>512</v>
      </c>
    </row>
    <row r="31" spans="1:3">
      <c r="A31" s="47" t="s">
        <v>561</v>
      </c>
      <c r="B31" s="44" t="s">
        <v>170</v>
      </c>
      <c r="C31" s="39" t="s">
        <v>512</v>
      </c>
    </row>
    <row r="32" spans="1:3">
      <c r="A32" s="43" t="s">
        <v>562</v>
      </c>
      <c r="B32" s="44" t="s">
        <v>563</v>
      </c>
      <c r="C32" s="39" t="s">
        <v>512</v>
      </c>
    </row>
    <row r="33" spans="1:3">
      <c r="A33" s="44" t="s">
        <v>564</v>
      </c>
      <c r="B33" s="44" t="s">
        <v>566</v>
      </c>
      <c r="C33" s="39" t="s">
        <v>512</v>
      </c>
    </row>
    <row r="34" spans="1:3">
      <c r="A34" s="48" t="s">
        <v>565</v>
      </c>
      <c r="B34" s="44" t="s">
        <v>567</v>
      </c>
      <c r="C34" s="39" t="s">
        <v>512</v>
      </c>
    </row>
    <row r="35" spans="1:3">
      <c r="A35" s="48"/>
      <c r="B35" s="44"/>
      <c r="C35" s="39"/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6"/>
      <c r="B38" s="44"/>
      <c r="C38" s="39"/>
    </row>
    <row r="39" spans="1:3">
      <c r="A39" s="46"/>
      <c r="B39" s="44"/>
      <c r="C39" s="39"/>
    </row>
    <row r="40" spans="1:3">
      <c r="A40"/>
      <c r="B40" s="44"/>
      <c r="C40" s="39"/>
    </row>
    <row r="41" spans="1:3">
      <c r="A41" s="46"/>
      <c r="B41" s="44"/>
      <c r="C41" s="39"/>
    </row>
    <row r="42" spans="1:3">
      <c r="A42" s="46"/>
      <c r="B42" s="44"/>
      <c r="C42" s="39"/>
    </row>
    <row r="43" spans="1:3">
      <c r="A43" s="44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5" sqref="A15"/>
    </sheetView>
  </sheetViews>
  <sheetFormatPr defaultRowHeight="12.75"/>
  <cols>
    <col min="1" max="4" width="25.7109375" customWidth="1"/>
  </cols>
  <sheetData>
    <row r="1" spans="1:6">
      <c r="E1">
        <v>30</v>
      </c>
      <c r="F1">
        <v>31</v>
      </c>
    </row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4014</v>
      </c>
      <c r="F5">
        <v>29412</v>
      </c>
    </row>
    <row r="6" spans="1:6">
      <c r="A6" t="s">
        <v>377</v>
      </c>
      <c r="B6" t="s">
        <v>120</v>
      </c>
      <c r="C6" t="s">
        <v>120</v>
      </c>
      <c r="D6" t="s">
        <v>116</v>
      </c>
      <c r="E6">
        <v>11693</v>
      </c>
      <c r="F6">
        <v>9420</v>
      </c>
    </row>
    <row r="7" spans="1:6">
      <c r="A7" t="s">
        <v>378</v>
      </c>
      <c r="B7" t="s">
        <v>126</v>
      </c>
      <c r="C7" t="s">
        <v>126</v>
      </c>
      <c r="D7" t="s">
        <v>116</v>
      </c>
      <c r="E7">
        <v>10396</v>
      </c>
      <c r="F7">
        <v>9373</v>
      </c>
    </row>
    <row r="8" spans="1:6">
      <c r="A8" t="s">
        <v>379</v>
      </c>
      <c r="D8" t="s">
        <v>116</v>
      </c>
      <c r="E8">
        <v>1880</v>
      </c>
      <c r="F8">
        <v>5134</v>
      </c>
    </row>
    <row r="9" spans="1:6">
      <c r="A9" t="s">
        <v>380</v>
      </c>
      <c r="B9" t="s">
        <v>134</v>
      </c>
      <c r="C9" t="s">
        <v>134</v>
      </c>
      <c r="D9" t="s">
        <v>116</v>
      </c>
      <c r="E9">
        <v>6695</v>
      </c>
      <c r="F9">
        <v>6622</v>
      </c>
    </row>
    <row r="10" spans="1:6">
      <c r="A10" t="s">
        <v>381</v>
      </c>
      <c r="B10" t="s">
        <v>100</v>
      </c>
      <c r="C10" t="s">
        <v>100</v>
      </c>
      <c r="D10" t="s">
        <v>80</v>
      </c>
      <c r="F10">
        <v>54</v>
      </c>
    </row>
    <row r="11" spans="1:6">
      <c r="A11" t="s">
        <v>382</v>
      </c>
      <c r="B11" t="s">
        <v>12</v>
      </c>
      <c r="C11" t="s">
        <v>12</v>
      </c>
      <c r="D11" t="s">
        <v>116</v>
      </c>
      <c r="E11">
        <v>34678</v>
      </c>
      <c r="F11">
        <v>60015</v>
      </c>
    </row>
    <row r="12" spans="1:6">
      <c r="A12" t="s">
        <v>383</v>
      </c>
      <c r="B12" t="s">
        <v>384</v>
      </c>
      <c r="C12" t="s">
        <v>84</v>
      </c>
      <c r="D12" t="s">
        <v>80</v>
      </c>
      <c r="E12">
        <v>289817</v>
      </c>
      <c r="F12">
        <v>274098</v>
      </c>
    </row>
    <row r="13" spans="1:6">
      <c r="A13" t="s">
        <v>385</v>
      </c>
      <c r="B13" t="s">
        <v>86</v>
      </c>
      <c r="C13" t="s">
        <v>86</v>
      </c>
      <c r="D13" t="s">
        <v>80</v>
      </c>
      <c r="E13">
        <v>175897</v>
      </c>
      <c r="F13">
        <v>152028</v>
      </c>
    </row>
    <row r="14" spans="1:6">
      <c r="A14" t="s">
        <v>386</v>
      </c>
      <c r="D14" t="s">
        <v>80</v>
      </c>
      <c r="E14">
        <v>38469</v>
      </c>
      <c r="F14">
        <v>36792</v>
      </c>
    </row>
    <row r="15" spans="1:6">
      <c r="A15" t="s">
        <v>387</v>
      </c>
      <c r="D15" t="s">
        <v>80</v>
      </c>
      <c r="E15">
        <v>24414</v>
      </c>
      <c r="F15">
        <v>23192</v>
      </c>
    </row>
    <row r="16" spans="1:6">
      <c r="A16" t="s">
        <v>388</v>
      </c>
      <c r="D16" t="s">
        <v>80</v>
      </c>
      <c r="E16">
        <v>5892</v>
      </c>
      <c r="F16">
        <v>5862</v>
      </c>
    </row>
    <row r="17" spans="1:6">
      <c r="A17" t="s">
        <v>389</v>
      </c>
      <c r="B17" t="s">
        <v>114</v>
      </c>
      <c r="C17" t="s">
        <v>114</v>
      </c>
      <c r="D17" t="s">
        <v>80</v>
      </c>
      <c r="E17">
        <v>28291</v>
      </c>
      <c r="F17">
        <v>27647</v>
      </c>
    </row>
    <row r="18" spans="1:6">
      <c r="A18" t="s">
        <v>390</v>
      </c>
      <c r="B18" t="s">
        <v>113</v>
      </c>
      <c r="C18" t="s">
        <v>113</v>
      </c>
      <c r="D18" t="s">
        <v>80</v>
      </c>
      <c r="E18">
        <v>2793</v>
      </c>
      <c r="F18">
        <v>1880</v>
      </c>
    </row>
    <row r="19" spans="1:6">
      <c r="A19" t="s">
        <v>391</v>
      </c>
      <c r="D19" t="s">
        <v>80</v>
      </c>
      <c r="E19">
        <v>600251</v>
      </c>
      <c r="F19">
        <v>581514</v>
      </c>
    </row>
    <row r="20" spans="1:6">
      <c r="A20" t="s">
        <v>392</v>
      </c>
      <c r="D20" t="s">
        <v>80</v>
      </c>
    </row>
    <row r="21" spans="1:6">
      <c r="A21" t="s">
        <v>393</v>
      </c>
      <c r="B21" t="s">
        <v>141</v>
      </c>
      <c r="C21" t="s">
        <v>141</v>
      </c>
      <c r="D21" t="s">
        <v>141</v>
      </c>
    </row>
    <row r="22" spans="1:6">
      <c r="A22" t="s">
        <v>394</v>
      </c>
      <c r="B22" t="s">
        <v>146</v>
      </c>
      <c r="C22" t="s">
        <v>146</v>
      </c>
      <c r="D22" t="s">
        <v>141</v>
      </c>
      <c r="E22">
        <v>1948</v>
      </c>
      <c r="F22">
        <v>1808</v>
      </c>
    </row>
    <row r="23" spans="1:6">
      <c r="A23" t="s">
        <v>395</v>
      </c>
      <c r="B23" t="s">
        <v>395</v>
      </c>
      <c r="C23" t="s">
        <v>163</v>
      </c>
      <c r="D23" t="s">
        <v>141</v>
      </c>
      <c r="E23">
        <v>29143</v>
      </c>
      <c r="F23">
        <v>29245</v>
      </c>
    </row>
    <row r="24" spans="1:6">
      <c r="A24" t="s">
        <v>396</v>
      </c>
      <c r="B24" t="s">
        <v>397</v>
      </c>
      <c r="C24" t="s">
        <v>161</v>
      </c>
      <c r="D24" t="s">
        <v>141</v>
      </c>
      <c r="E24">
        <v>3818</v>
      </c>
      <c r="F24">
        <v>3672</v>
      </c>
    </row>
    <row r="25" spans="1:6">
      <c r="A25" t="s">
        <v>398</v>
      </c>
      <c r="B25" t="s">
        <v>397</v>
      </c>
      <c r="C25" t="s">
        <v>161</v>
      </c>
      <c r="D25" t="s">
        <v>141</v>
      </c>
      <c r="E25">
        <v>28719</v>
      </c>
      <c r="F25">
        <v>26635</v>
      </c>
    </row>
    <row r="26" spans="1:6">
      <c r="A26" t="s">
        <v>399</v>
      </c>
      <c r="D26" t="s">
        <v>141</v>
      </c>
      <c r="E26">
        <v>5910</v>
      </c>
      <c r="F26">
        <v>5269</v>
      </c>
    </row>
    <row r="27" spans="1:6">
      <c r="A27" t="s">
        <v>400</v>
      </c>
      <c r="B27" t="s">
        <v>163</v>
      </c>
      <c r="C27" t="s">
        <v>163</v>
      </c>
      <c r="D27" t="s">
        <v>141</v>
      </c>
      <c r="E27">
        <v>12601</v>
      </c>
      <c r="F27">
        <v>12900</v>
      </c>
    </row>
    <row r="28" spans="1:6">
      <c r="A28" t="s">
        <v>401</v>
      </c>
      <c r="B28" t="s">
        <v>13</v>
      </c>
      <c r="C28" t="s">
        <v>13</v>
      </c>
      <c r="D28" t="s">
        <v>141</v>
      </c>
      <c r="E28">
        <v>82139</v>
      </c>
      <c r="F28">
        <v>79529</v>
      </c>
    </row>
    <row r="29" spans="1:6">
      <c r="A29" t="s">
        <v>402</v>
      </c>
      <c r="B29" t="s">
        <v>146</v>
      </c>
      <c r="C29" t="s">
        <v>146</v>
      </c>
      <c r="D29" t="s">
        <v>141</v>
      </c>
      <c r="E29">
        <v>276823</v>
      </c>
      <c r="F29">
        <v>278519</v>
      </c>
    </row>
    <row r="30" spans="1:6">
      <c r="A30" t="s">
        <v>403</v>
      </c>
      <c r="B30" t="s">
        <v>180</v>
      </c>
      <c r="C30" t="s">
        <v>180</v>
      </c>
      <c r="D30" t="s">
        <v>141</v>
      </c>
      <c r="E30">
        <v>1196</v>
      </c>
      <c r="F30">
        <v>1196</v>
      </c>
    </row>
    <row r="31" spans="1:6">
      <c r="A31" t="s">
        <v>404</v>
      </c>
      <c r="D31" t="s">
        <v>141</v>
      </c>
      <c r="E31">
        <v>10073</v>
      </c>
      <c r="F31">
        <v>11451</v>
      </c>
    </row>
    <row r="32" spans="1:6">
      <c r="A32" t="s">
        <v>405</v>
      </c>
      <c r="D32" t="s">
        <v>141</v>
      </c>
      <c r="E32">
        <v>4320</v>
      </c>
      <c r="F32">
        <v>4838</v>
      </c>
    </row>
    <row r="33" spans="1:6">
      <c r="A33" t="s">
        <v>406</v>
      </c>
      <c r="D33" t="s">
        <v>141</v>
      </c>
      <c r="E33">
        <v>12348</v>
      </c>
      <c r="F33">
        <v>13111</v>
      </c>
    </row>
    <row r="34" spans="1:6">
      <c r="A34" t="s">
        <v>407</v>
      </c>
      <c r="D34" t="s">
        <v>141</v>
      </c>
      <c r="E34">
        <v>27812</v>
      </c>
      <c r="F34">
        <v>23810</v>
      </c>
    </row>
    <row r="35" spans="1:6">
      <c r="A35" t="s">
        <v>408</v>
      </c>
      <c r="B35" t="s">
        <v>164</v>
      </c>
      <c r="C35" t="s">
        <v>164</v>
      </c>
      <c r="D35" t="s">
        <v>141</v>
      </c>
      <c r="E35">
        <v>414711</v>
      </c>
      <c r="F35">
        <v>412454</v>
      </c>
    </row>
    <row r="36" spans="1:6">
      <c r="A36" t="s">
        <v>409</v>
      </c>
      <c r="B36" t="s">
        <v>180</v>
      </c>
      <c r="C36" t="s">
        <v>180</v>
      </c>
      <c r="D36" t="s">
        <v>165</v>
      </c>
    </row>
    <row r="37" spans="1:6">
      <c r="A37" t="s">
        <v>410</v>
      </c>
      <c r="D37" t="s">
        <v>141</v>
      </c>
    </row>
    <row r="38" spans="1:6">
      <c r="A38" t="s">
        <v>411</v>
      </c>
      <c r="B38" t="s">
        <v>182</v>
      </c>
      <c r="C38" t="s">
        <v>182</v>
      </c>
      <c r="D38" t="s">
        <v>141</v>
      </c>
    </row>
    <row r="39" spans="1:6">
      <c r="A39" t="s">
        <v>412</v>
      </c>
      <c r="B39" t="s">
        <v>182</v>
      </c>
      <c r="C39" t="s">
        <v>182</v>
      </c>
      <c r="D39" t="s">
        <v>181</v>
      </c>
      <c r="E39">
        <v>357</v>
      </c>
      <c r="F39">
        <v>354</v>
      </c>
    </row>
    <row r="40" spans="1:6">
      <c r="A40" t="s">
        <v>413</v>
      </c>
      <c r="B40" t="s">
        <v>182</v>
      </c>
      <c r="C40" t="s">
        <v>182</v>
      </c>
      <c r="D40" t="s">
        <v>181</v>
      </c>
      <c r="E40">
        <v>150459</v>
      </c>
      <c r="F40">
        <v>144650</v>
      </c>
    </row>
    <row r="41" spans="1:6">
      <c r="A41" t="s">
        <v>414</v>
      </c>
      <c r="B41" t="s">
        <v>187</v>
      </c>
      <c r="C41" t="s">
        <v>187</v>
      </c>
      <c r="D41" t="s">
        <v>181</v>
      </c>
      <c r="E41">
        <v>35511</v>
      </c>
      <c r="F41">
        <v>25407</v>
      </c>
    </row>
    <row r="42" spans="1:6">
      <c r="A42" t="s">
        <v>415</v>
      </c>
      <c r="B42" t="s">
        <v>189</v>
      </c>
      <c r="C42" t="s">
        <v>189</v>
      </c>
      <c r="D42" t="s">
        <v>181</v>
      </c>
      <c r="E42">
        <v>-646</v>
      </c>
      <c r="F42">
        <v>-1210</v>
      </c>
    </row>
    <row r="43" spans="1:6">
      <c r="A43" t="s">
        <v>416</v>
      </c>
      <c r="B43" t="s">
        <v>417</v>
      </c>
      <c r="C43" t="s">
        <v>192</v>
      </c>
      <c r="D43" t="s">
        <v>181</v>
      </c>
      <c r="E43">
        <v>-141</v>
      </c>
      <c r="F43">
        <v>-141</v>
      </c>
    </row>
    <row r="44" spans="1:6">
      <c r="A44" t="s">
        <v>418</v>
      </c>
      <c r="B44" t="s">
        <v>195</v>
      </c>
      <c r="C44" t="s">
        <v>195</v>
      </c>
      <c r="D44" t="s">
        <v>181</v>
      </c>
      <c r="E44">
        <v>185540</v>
      </c>
      <c r="F44">
        <v>169060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/>
  </sheetViews>
  <sheetFormatPr defaultRowHeight="12.75"/>
  <cols>
    <col min="1" max="4" width="25.7109375" customWidth="1"/>
  </cols>
  <sheetData>
    <row r="1" spans="1:7">
      <c r="A1" t="s">
        <v>419</v>
      </c>
    </row>
    <row r="2" spans="1:7">
      <c r="A2" t="s">
        <v>420</v>
      </c>
    </row>
    <row r="3" spans="1:7">
      <c r="A3" t="s">
        <v>421</v>
      </c>
    </row>
    <row r="4" spans="1:7">
      <c r="A4" t="s">
        <v>422</v>
      </c>
    </row>
    <row r="5" spans="1:7">
      <c r="E5">
        <v>302018312017</v>
      </c>
      <c r="G5">
        <v>12017</v>
      </c>
    </row>
    <row r="6" spans="1:7">
      <c r="A6" t="s">
        <v>423</v>
      </c>
      <c r="E6">
        <v>1179307</v>
      </c>
      <c r="F6">
        <v>1088532</v>
      </c>
      <c r="G6">
        <v>943583</v>
      </c>
    </row>
    <row r="7" spans="1:7">
      <c r="A7" t="s">
        <v>424</v>
      </c>
    </row>
    <row r="8" spans="1:7">
      <c r="A8" t="s">
        <v>425</v>
      </c>
      <c r="B8" t="s">
        <v>27</v>
      </c>
      <c r="C8" t="s">
        <v>27</v>
      </c>
      <c r="D8" t="s">
        <v>426</v>
      </c>
      <c r="E8">
        <v>326308</v>
      </c>
      <c r="F8">
        <v>304593</v>
      </c>
      <c r="G8">
        <v>250112</v>
      </c>
    </row>
    <row r="9" spans="1:7">
      <c r="A9" t="s">
        <v>427</v>
      </c>
      <c r="D9" t="s">
        <v>426</v>
      </c>
      <c r="E9">
        <v>382829</v>
      </c>
      <c r="F9">
        <v>350054</v>
      </c>
      <c r="G9">
        <v>297766</v>
      </c>
    </row>
    <row r="10" spans="1:7">
      <c r="A10" t="s">
        <v>428</v>
      </c>
      <c r="D10" t="s">
        <v>426</v>
      </c>
      <c r="E10">
        <v>81409</v>
      </c>
      <c r="F10">
        <v>75948</v>
      </c>
      <c r="G10">
        <v>64814</v>
      </c>
    </row>
    <row r="11" spans="1:7">
      <c r="A11" t="s">
        <v>429</v>
      </c>
      <c r="B11" t="s">
        <v>38</v>
      </c>
      <c r="C11" t="s">
        <v>38</v>
      </c>
      <c r="D11" t="s">
        <v>426</v>
      </c>
      <c r="E11">
        <v>-178750</v>
      </c>
      <c r="F11">
        <v>-166786</v>
      </c>
      <c r="G11">
        <v>148946</v>
      </c>
    </row>
    <row r="12" spans="1:7">
      <c r="A12" t="s">
        <v>430</v>
      </c>
      <c r="D12" t="s">
        <v>426</v>
      </c>
      <c r="E12">
        <v>48340</v>
      </c>
      <c r="F12">
        <v>44677</v>
      </c>
      <c r="G12">
        <v>41299</v>
      </c>
    </row>
    <row r="13" spans="1:7">
      <c r="A13" t="s">
        <v>431</v>
      </c>
      <c r="B13" t="s">
        <v>36</v>
      </c>
      <c r="C13" t="s">
        <v>36</v>
      </c>
      <c r="D13" t="s">
        <v>426</v>
      </c>
      <c r="E13">
        <v>66587</v>
      </c>
      <c r="F13">
        <v>60348</v>
      </c>
      <c r="G13">
        <v>54956</v>
      </c>
    </row>
    <row r="14" spans="1:7">
      <c r="A14" t="s">
        <v>432</v>
      </c>
      <c r="B14" t="s">
        <v>42</v>
      </c>
      <c r="C14" t="s">
        <v>42</v>
      </c>
      <c r="D14" t="s">
        <v>426</v>
      </c>
      <c r="E14">
        <v>58468</v>
      </c>
      <c r="F14">
        <v>54159</v>
      </c>
      <c r="G14">
        <v>47295</v>
      </c>
    </row>
    <row r="15" spans="1:7">
      <c r="A15" t="s">
        <v>433</v>
      </c>
      <c r="D15" t="s">
        <v>426</v>
      </c>
      <c r="E15">
        <v>3685</v>
      </c>
      <c r="F15">
        <v>2827</v>
      </c>
      <c r="G15">
        <v>2355</v>
      </c>
    </row>
    <row r="16" spans="1:7">
      <c r="A16" t="s">
        <v>434</v>
      </c>
      <c r="B16" t="s">
        <v>435</v>
      </c>
      <c r="C16" t="s">
        <v>33</v>
      </c>
      <c r="D16" t="s">
        <v>426</v>
      </c>
      <c r="E16">
        <v>-424</v>
      </c>
      <c r="F16">
        <v>-333</v>
      </c>
      <c r="G16">
        <v>338</v>
      </c>
    </row>
    <row r="17" spans="1:7">
      <c r="A17" t="s">
        <v>436</v>
      </c>
      <c r="B17" t="s">
        <v>45</v>
      </c>
      <c r="C17" t="s">
        <v>45</v>
      </c>
      <c r="D17" t="s">
        <v>426</v>
      </c>
      <c r="E17">
        <v>1145952</v>
      </c>
      <c r="F17">
        <v>1059059</v>
      </c>
      <c r="G17">
        <v>907881</v>
      </c>
    </row>
    <row r="18" spans="1:7">
      <c r="A18" t="s">
        <v>437</v>
      </c>
      <c r="B18" t="s">
        <v>426</v>
      </c>
      <c r="C18" t="s">
        <v>26</v>
      </c>
      <c r="D18" t="s">
        <v>426</v>
      </c>
      <c r="E18">
        <v>33355</v>
      </c>
      <c r="F18">
        <v>29473</v>
      </c>
      <c r="G18">
        <v>35702</v>
      </c>
    </row>
    <row r="19" spans="1:7">
      <c r="A19" t="s">
        <v>438</v>
      </c>
      <c r="B19" t="s">
        <v>51</v>
      </c>
      <c r="C19" t="s">
        <v>51</v>
      </c>
      <c r="D19" t="s">
        <v>426</v>
      </c>
      <c r="E19">
        <v>23638</v>
      </c>
      <c r="F19">
        <v>21710</v>
      </c>
      <c r="G19">
        <v>18315</v>
      </c>
    </row>
    <row r="20" spans="1:7">
      <c r="A20" t="s">
        <v>439</v>
      </c>
      <c r="D20" t="s">
        <v>426</v>
      </c>
      <c r="E20">
        <v>-230</v>
      </c>
    </row>
    <row r="21" spans="1:7">
      <c r="A21" t="s">
        <v>440</v>
      </c>
      <c r="B21" t="s">
        <v>441</v>
      </c>
      <c r="C21" t="s">
        <v>61</v>
      </c>
      <c r="D21" t="s">
        <v>426</v>
      </c>
      <c r="E21">
        <v>9947</v>
      </c>
      <c r="F21">
        <v>7763</v>
      </c>
      <c r="G21">
        <v>17387</v>
      </c>
    </row>
    <row r="22" spans="1:7">
      <c r="A22" t="s">
        <v>442</v>
      </c>
      <c r="B22" t="s">
        <v>62</v>
      </c>
      <c r="C22" t="s">
        <v>62</v>
      </c>
      <c r="D22" t="s">
        <v>426</v>
      </c>
      <c r="E22">
        <v>-157</v>
      </c>
      <c r="F22">
        <v>604</v>
      </c>
      <c r="G22">
        <v>-28085</v>
      </c>
    </row>
    <row r="23" spans="1:7">
      <c r="A23" t="s">
        <v>443</v>
      </c>
      <c r="B23" t="s">
        <v>70</v>
      </c>
      <c r="C23" t="s">
        <v>70</v>
      </c>
      <c r="D23" t="s">
        <v>426</v>
      </c>
      <c r="E23">
        <v>10104</v>
      </c>
      <c r="F23">
        <v>7159</v>
      </c>
      <c r="G23">
        <v>45472</v>
      </c>
    </row>
    <row r="24" spans="1:7">
      <c r="A24" t="s">
        <v>444</v>
      </c>
      <c r="D24" t="s">
        <v>426</v>
      </c>
      <c r="E24">
        <v>22</v>
      </c>
      <c r="F24">
        <v>16</v>
      </c>
      <c r="G24">
        <v>101</v>
      </c>
    </row>
    <row r="25" spans="1:7">
      <c r="A25" t="s">
        <v>445</v>
      </c>
      <c r="D25" t="s">
        <v>426</v>
      </c>
    </row>
    <row r="26" spans="1:7">
      <c r="A26" t="s">
        <v>446</v>
      </c>
      <c r="D26" t="s">
        <v>426</v>
      </c>
      <c r="E26">
        <v>35715372</v>
      </c>
      <c r="F26">
        <v>35416531</v>
      </c>
      <c r="G26">
        <v>35178329</v>
      </c>
    </row>
    <row r="27" spans="1:7">
      <c r="A27" t="s">
        <v>447</v>
      </c>
      <c r="D27" t="s">
        <v>426</v>
      </c>
      <c r="E27">
        <v>45319971</v>
      </c>
      <c r="F27">
        <v>44976514</v>
      </c>
      <c r="G27">
        <v>44851345</v>
      </c>
    </row>
    <row r="28" spans="1:7">
      <c r="A28" t="s">
        <v>448</v>
      </c>
      <c r="B28" t="s">
        <v>449</v>
      </c>
      <c r="C28" t="s">
        <v>449</v>
      </c>
      <c r="D28" t="s">
        <v>426</v>
      </c>
    </row>
    <row r="29" spans="1:7">
      <c r="A29" t="s">
        <v>443</v>
      </c>
      <c r="B29" t="s">
        <v>70</v>
      </c>
      <c r="C29" t="s">
        <v>70</v>
      </c>
      <c r="D29" t="s">
        <v>426</v>
      </c>
      <c r="E29">
        <v>10104</v>
      </c>
      <c r="F29">
        <v>7159</v>
      </c>
      <c r="G29">
        <v>45472</v>
      </c>
    </row>
    <row r="30" spans="1:7">
      <c r="A30" t="s">
        <v>450</v>
      </c>
      <c r="B30" t="s">
        <v>449</v>
      </c>
      <c r="C30" t="s">
        <v>449</v>
      </c>
      <c r="D30" t="s">
        <v>426</v>
      </c>
      <c r="E30">
        <v>564</v>
      </c>
      <c r="F30">
        <v>-7</v>
      </c>
      <c r="G30">
        <v>-868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4"/>
  <sheetViews>
    <sheetView workbookViewId="0"/>
  </sheetViews>
  <sheetFormatPr defaultRowHeight="12.75"/>
  <cols>
    <col min="1" max="4" width="25.7109375" customWidth="1"/>
  </cols>
  <sheetData>
    <row r="4" spans="1:7">
      <c r="A4" t="s">
        <v>451</v>
      </c>
      <c r="E4">
        <v>35039890</v>
      </c>
      <c r="F4">
        <v>350</v>
      </c>
      <c r="G4">
        <v>139083</v>
      </c>
    </row>
    <row r="5" spans="1:7">
      <c r="A5" t="s">
        <v>452</v>
      </c>
      <c r="B5" t="s">
        <v>248</v>
      </c>
      <c r="C5" t="s">
        <v>248</v>
      </c>
      <c r="D5" t="s">
        <v>453</v>
      </c>
      <c r="G5">
        <v>2053</v>
      </c>
    </row>
    <row r="6" spans="1:7">
      <c r="A6" t="s">
        <v>454</v>
      </c>
      <c r="E6">
        <v>218689</v>
      </c>
      <c r="F6">
        <v>3</v>
      </c>
      <c r="G6">
        <v>-3</v>
      </c>
    </row>
    <row r="7" spans="1:7">
      <c r="A7" t="s">
        <v>443</v>
      </c>
      <c r="B7" t="s">
        <v>232</v>
      </c>
      <c r="C7" t="s">
        <v>232</v>
      </c>
      <c r="D7" t="s">
        <v>453</v>
      </c>
    </row>
    <row r="8" spans="1:7">
      <c r="A8" t="s">
        <v>455</v>
      </c>
    </row>
    <row r="9" spans="1:7">
      <c r="A9" t="s">
        <v>456</v>
      </c>
    </row>
    <row r="10" spans="1:7">
      <c r="A10" t="s">
        <v>457</v>
      </c>
      <c r="E10">
        <v>35258579</v>
      </c>
      <c r="F10">
        <v>353</v>
      </c>
      <c r="G10">
        <v>141133</v>
      </c>
    </row>
    <row r="11" spans="1:7">
      <c r="A11" t="s">
        <v>458</v>
      </c>
    </row>
    <row r="12" spans="1:7">
      <c r="A12" t="s">
        <v>452</v>
      </c>
      <c r="B12" t="s">
        <v>248</v>
      </c>
      <c r="C12" t="s">
        <v>248</v>
      </c>
      <c r="D12" t="s">
        <v>453</v>
      </c>
      <c r="G12">
        <v>3518</v>
      </c>
    </row>
    <row r="13" spans="1:7">
      <c r="A13" t="s">
        <v>454</v>
      </c>
      <c r="E13">
        <v>177673</v>
      </c>
      <c r="F13">
        <v>1</v>
      </c>
      <c r="G13">
        <v>-1</v>
      </c>
    </row>
    <row r="14" spans="1:7">
      <c r="A14" t="s">
        <v>443</v>
      </c>
      <c r="B14" t="s">
        <v>232</v>
      </c>
      <c r="C14" t="s">
        <v>232</v>
      </c>
      <c r="D14" t="s">
        <v>453</v>
      </c>
    </row>
    <row r="15" spans="1:7">
      <c r="A15" t="s">
        <v>455</v>
      </c>
    </row>
    <row r="16" spans="1:7">
      <c r="A16" t="s">
        <v>459</v>
      </c>
    </row>
    <row r="17" spans="1:7">
      <c r="A17" t="s">
        <v>460</v>
      </c>
      <c r="E17">
        <v>35436252</v>
      </c>
      <c r="F17">
        <v>354</v>
      </c>
      <c r="G17">
        <v>144650</v>
      </c>
    </row>
    <row r="18" spans="1:7">
      <c r="A18" t="s">
        <v>452</v>
      </c>
      <c r="B18" t="s">
        <v>248</v>
      </c>
      <c r="C18" t="s">
        <v>248</v>
      </c>
      <c r="D18" t="s">
        <v>453</v>
      </c>
      <c r="G18">
        <v>5812</v>
      </c>
    </row>
    <row r="19" spans="1:7">
      <c r="A19" t="s">
        <v>461</v>
      </c>
      <c r="E19">
        <v>306175</v>
      </c>
      <c r="F19">
        <v>3</v>
      </c>
      <c r="G19">
        <v>-3</v>
      </c>
    </row>
    <row r="20" spans="1:7">
      <c r="A20" t="s">
        <v>443</v>
      </c>
      <c r="B20" t="s">
        <v>232</v>
      </c>
      <c r="C20" t="s">
        <v>232</v>
      </c>
      <c r="D20" t="s">
        <v>453</v>
      </c>
    </row>
    <row r="21" spans="1:7">
      <c r="A21" t="s">
        <v>455</v>
      </c>
    </row>
    <row r="22" spans="1:7">
      <c r="A22" t="s">
        <v>462</v>
      </c>
    </row>
    <row r="23" spans="1:7">
      <c r="A23" t="s">
        <v>463</v>
      </c>
    </row>
    <row r="24" spans="1:7">
      <c r="E24">
        <v>302018</v>
      </c>
      <c r="F24">
        <v>312017</v>
      </c>
      <c r="G24">
        <v>12017</v>
      </c>
    </row>
    <row r="25" spans="1:7">
      <c r="A25" t="s">
        <v>464</v>
      </c>
      <c r="B25" t="s">
        <v>231</v>
      </c>
      <c r="C25" t="s">
        <v>231</v>
      </c>
      <c r="D25" t="s">
        <v>453</v>
      </c>
    </row>
    <row r="26" spans="1:7">
      <c r="A26" t="s">
        <v>443</v>
      </c>
      <c r="B26" t="s">
        <v>232</v>
      </c>
      <c r="C26" t="s">
        <v>232</v>
      </c>
      <c r="D26" t="s">
        <v>453</v>
      </c>
      <c r="E26">
        <v>10104</v>
      </c>
      <c r="F26">
        <v>7159</v>
      </c>
      <c r="G26">
        <v>45472</v>
      </c>
    </row>
    <row r="27" spans="1:7">
      <c r="A27" t="s">
        <v>465</v>
      </c>
    </row>
    <row r="28" spans="1:7">
      <c r="A28" t="s">
        <v>466</v>
      </c>
      <c r="B28" t="s">
        <v>245</v>
      </c>
      <c r="C28" t="s">
        <v>245</v>
      </c>
      <c r="D28" t="s">
        <v>453</v>
      </c>
      <c r="E28">
        <v>312</v>
      </c>
      <c r="F28">
        <v>521</v>
      </c>
      <c r="G28">
        <v>-549</v>
      </c>
    </row>
    <row r="29" spans="1:7">
      <c r="A29" t="s">
        <v>452</v>
      </c>
      <c r="B29" t="s">
        <v>248</v>
      </c>
      <c r="C29" t="s">
        <v>248</v>
      </c>
      <c r="D29" t="s">
        <v>453</v>
      </c>
      <c r="E29">
        <v>5812</v>
      </c>
      <c r="F29">
        <v>3518</v>
      </c>
      <c r="G29">
        <v>2053</v>
      </c>
    </row>
    <row r="30" spans="1:7">
      <c r="A30" t="s">
        <v>439</v>
      </c>
      <c r="E30">
        <v>-230</v>
      </c>
    </row>
    <row r="31" spans="1:7">
      <c r="A31" t="s">
        <v>467</v>
      </c>
      <c r="E31">
        <v>3685</v>
      </c>
      <c r="F31">
        <v>2827</v>
      </c>
      <c r="G31">
        <v>2355</v>
      </c>
    </row>
    <row r="32" spans="1:7">
      <c r="A32" t="s">
        <v>432</v>
      </c>
      <c r="B32" t="s">
        <v>236</v>
      </c>
      <c r="C32" t="s">
        <v>236</v>
      </c>
      <c r="D32" t="s">
        <v>453</v>
      </c>
      <c r="E32">
        <v>58468</v>
      </c>
      <c r="F32">
        <v>54159</v>
      </c>
      <c r="G32">
        <v>47295</v>
      </c>
    </row>
    <row r="33" spans="1:7">
      <c r="A33" t="s">
        <v>468</v>
      </c>
      <c r="B33" t="s">
        <v>240</v>
      </c>
      <c r="C33" t="s">
        <v>240</v>
      </c>
      <c r="D33" t="s">
        <v>453</v>
      </c>
      <c r="E33">
        <v>1202</v>
      </c>
      <c r="F33">
        <v>1035</v>
      </c>
      <c r="G33">
        <v>791</v>
      </c>
    </row>
    <row r="34" spans="1:7">
      <c r="A34" t="s">
        <v>469</v>
      </c>
      <c r="B34" t="s">
        <v>240</v>
      </c>
      <c r="C34" t="s">
        <v>240</v>
      </c>
      <c r="D34" t="s">
        <v>453</v>
      </c>
      <c r="E34">
        <v>-913</v>
      </c>
      <c r="F34">
        <v>-459</v>
      </c>
    </row>
    <row r="35" spans="1:7">
      <c r="A35" t="s">
        <v>470</v>
      </c>
      <c r="B35" t="s">
        <v>240</v>
      </c>
      <c r="C35" t="s">
        <v>240</v>
      </c>
      <c r="D35" t="s">
        <v>453</v>
      </c>
      <c r="E35">
        <v>-1584</v>
      </c>
      <c r="F35">
        <v>-1626</v>
      </c>
      <c r="G35">
        <v>-1788</v>
      </c>
    </row>
    <row r="36" spans="1:7">
      <c r="A36" t="s">
        <v>471</v>
      </c>
      <c r="B36" t="s">
        <v>269</v>
      </c>
      <c r="C36" t="s">
        <v>269</v>
      </c>
      <c r="D36" t="s">
        <v>453</v>
      </c>
      <c r="E36">
        <v>-483</v>
      </c>
      <c r="F36">
        <v>574</v>
      </c>
      <c r="G36">
        <v>-28085</v>
      </c>
    </row>
    <row r="37" spans="1:7">
      <c r="A37" t="s">
        <v>472</v>
      </c>
      <c r="B37" t="s">
        <v>251</v>
      </c>
      <c r="C37" t="s">
        <v>251</v>
      </c>
      <c r="D37" t="s">
        <v>453</v>
      </c>
    </row>
    <row r="38" spans="1:7">
      <c r="A38" t="s">
        <v>381</v>
      </c>
      <c r="B38" t="s">
        <v>473</v>
      </c>
      <c r="C38" t="s">
        <v>247</v>
      </c>
      <c r="D38" t="s">
        <v>453</v>
      </c>
      <c r="E38">
        <v>55</v>
      </c>
      <c r="F38">
        <v>99</v>
      </c>
      <c r="G38">
        <v>-153</v>
      </c>
    </row>
    <row r="39" spans="1:7">
      <c r="A39" t="s">
        <v>377</v>
      </c>
      <c r="B39" t="s">
        <v>263</v>
      </c>
      <c r="C39" t="s">
        <v>263</v>
      </c>
      <c r="D39" t="s">
        <v>453</v>
      </c>
      <c r="E39">
        <v>-2275</v>
      </c>
      <c r="F39">
        <v>-1310</v>
      </c>
      <c r="G39">
        <v>-1462</v>
      </c>
    </row>
    <row r="40" spans="1:7">
      <c r="A40" t="s">
        <v>395</v>
      </c>
      <c r="B40" t="s">
        <v>275</v>
      </c>
      <c r="C40" t="s">
        <v>275</v>
      </c>
      <c r="D40" t="s">
        <v>453</v>
      </c>
      <c r="E40">
        <v>-926</v>
      </c>
      <c r="F40">
        <v>3084</v>
      </c>
      <c r="G40">
        <v>1686</v>
      </c>
    </row>
    <row r="41" spans="1:7">
      <c r="A41" t="s">
        <v>396</v>
      </c>
      <c r="B41" t="s">
        <v>243</v>
      </c>
      <c r="C41" t="s">
        <v>243</v>
      </c>
      <c r="D41" t="s">
        <v>453</v>
      </c>
      <c r="E41">
        <v>146</v>
      </c>
      <c r="F41">
        <v>996</v>
      </c>
      <c r="G41">
        <v>4</v>
      </c>
    </row>
    <row r="42" spans="1:7">
      <c r="A42" t="s">
        <v>398</v>
      </c>
      <c r="D42" t="s">
        <v>453</v>
      </c>
      <c r="E42">
        <v>2084</v>
      </c>
      <c r="F42">
        <v>336</v>
      </c>
      <c r="G42">
        <v>-1553</v>
      </c>
    </row>
    <row r="43" spans="1:7">
      <c r="A43" t="s">
        <v>474</v>
      </c>
      <c r="B43" t="s">
        <v>251</v>
      </c>
      <c r="C43" t="s">
        <v>251</v>
      </c>
      <c r="D43" t="s">
        <v>453</v>
      </c>
      <c r="E43">
        <v>5312</v>
      </c>
      <c r="F43">
        <v>1870</v>
      </c>
      <c r="G43">
        <v>-3778</v>
      </c>
    </row>
    <row r="44" spans="1:7">
      <c r="A44" t="s">
        <v>475</v>
      </c>
      <c r="B44" t="s">
        <v>285</v>
      </c>
      <c r="C44" t="s">
        <v>285</v>
      </c>
      <c r="D44" t="s">
        <v>453</v>
      </c>
      <c r="E44">
        <v>80769</v>
      </c>
      <c r="F44">
        <v>72783</v>
      </c>
      <c r="G44">
        <v>62288</v>
      </c>
    </row>
    <row r="45" spans="1:7">
      <c r="A45" t="s">
        <v>476</v>
      </c>
      <c r="B45" t="s">
        <v>286</v>
      </c>
      <c r="C45" t="s">
        <v>286</v>
      </c>
      <c r="D45" t="s">
        <v>477</v>
      </c>
    </row>
    <row r="46" spans="1:7">
      <c r="A46" t="s">
        <v>478</v>
      </c>
      <c r="B46" t="s">
        <v>287</v>
      </c>
      <c r="C46" t="s">
        <v>287</v>
      </c>
      <c r="D46" t="s">
        <v>477</v>
      </c>
    </row>
    <row r="47" spans="1:7">
      <c r="A47" t="s">
        <v>479</v>
      </c>
      <c r="D47" t="s">
        <v>477</v>
      </c>
      <c r="E47">
        <v>-23171</v>
      </c>
      <c r="F47">
        <v>-14759</v>
      </c>
      <c r="G47">
        <v>-8228</v>
      </c>
    </row>
    <row r="48" spans="1:7">
      <c r="A48" t="s">
        <v>480</v>
      </c>
      <c r="D48" t="s">
        <v>477</v>
      </c>
      <c r="E48">
        <v>-31951</v>
      </c>
      <c r="F48">
        <v>-33504</v>
      </c>
      <c r="G48">
        <v>-65767</v>
      </c>
    </row>
    <row r="49" spans="1:7">
      <c r="A49" t="s">
        <v>481</v>
      </c>
      <c r="D49" t="s">
        <v>477</v>
      </c>
      <c r="E49">
        <v>-15726</v>
      </c>
      <c r="F49">
        <v>-18926</v>
      </c>
      <c r="G49">
        <v>-15168</v>
      </c>
    </row>
    <row r="50" spans="1:7">
      <c r="A50" t="s">
        <v>482</v>
      </c>
      <c r="D50" t="s">
        <v>477</v>
      </c>
      <c r="E50">
        <v>-4887</v>
      </c>
      <c r="F50">
        <v>-6327</v>
      </c>
      <c r="G50">
        <v>-4936</v>
      </c>
    </row>
    <row r="51" spans="1:7">
      <c r="A51" t="s">
        <v>483</v>
      </c>
      <c r="B51" t="s">
        <v>287</v>
      </c>
      <c r="C51" t="s">
        <v>287</v>
      </c>
      <c r="D51" t="s">
        <v>477</v>
      </c>
      <c r="E51">
        <v>-75735</v>
      </c>
      <c r="F51">
        <v>-73516</v>
      </c>
      <c r="G51">
        <v>-94099</v>
      </c>
    </row>
    <row r="52" spans="1:7">
      <c r="A52" t="s">
        <v>484</v>
      </c>
      <c r="B52" t="s">
        <v>287</v>
      </c>
      <c r="C52" t="s">
        <v>287</v>
      </c>
      <c r="D52" t="s">
        <v>477</v>
      </c>
      <c r="E52">
        <v>-38102</v>
      </c>
      <c r="F52">
        <v>-37923</v>
      </c>
      <c r="G52">
        <v>-48088</v>
      </c>
    </row>
    <row r="53" spans="1:7">
      <c r="A53" t="s">
        <v>485</v>
      </c>
      <c r="D53" t="s">
        <v>477</v>
      </c>
      <c r="E53">
        <v>642</v>
      </c>
      <c r="F53">
        <v>481</v>
      </c>
      <c r="G53">
        <v>1413</v>
      </c>
    </row>
    <row r="54" spans="1:7">
      <c r="A54" t="s">
        <v>486</v>
      </c>
      <c r="D54" t="s">
        <v>477</v>
      </c>
      <c r="E54">
        <v>-2123</v>
      </c>
      <c r="F54">
        <v>-1404</v>
      </c>
      <c r="G54">
        <v>-9046</v>
      </c>
    </row>
    <row r="55" spans="1:7">
      <c r="A55" t="s">
        <v>487</v>
      </c>
      <c r="D55" t="s">
        <v>477</v>
      </c>
      <c r="E55">
        <v>8424</v>
      </c>
      <c r="F55">
        <v>4257</v>
      </c>
      <c r="G55">
        <v>53599</v>
      </c>
    </row>
    <row r="56" spans="1:7">
      <c r="A56" t="s">
        <v>488</v>
      </c>
      <c r="B56" t="s">
        <v>296</v>
      </c>
      <c r="C56" t="s">
        <v>296</v>
      </c>
      <c r="D56" t="s">
        <v>477</v>
      </c>
      <c r="E56">
        <v>-106894</v>
      </c>
      <c r="F56">
        <v>-108105</v>
      </c>
      <c r="G56">
        <v>-96221</v>
      </c>
    </row>
    <row r="57" spans="1:7">
      <c r="A57" t="s">
        <v>489</v>
      </c>
      <c r="B57" t="s">
        <v>297</v>
      </c>
      <c r="C57" t="s">
        <v>297</v>
      </c>
      <c r="D57" t="s">
        <v>490</v>
      </c>
    </row>
    <row r="58" spans="1:7">
      <c r="A58" t="s">
        <v>491</v>
      </c>
      <c r="B58" t="s">
        <v>298</v>
      </c>
      <c r="C58" t="s">
        <v>298</v>
      </c>
      <c r="D58" t="s">
        <v>490</v>
      </c>
      <c r="F58">
        <v>79875</v>
      </c>
    </row>
    <row r="59" spans="1:7">
      <c r="A59" t="s">
        <v>492</v>
      </c>
      <c r="B59" t="s">
        <v>299</v>
      </c>
      <c r="C59" t="s">
        <v>299</v>
      </c>
      <c r="D59" t="s">
        <v>490</v>
      </c>
      <c r="E59">
        <v>17000</v>
      </c>
      <c r="F59">
        <v>183250</v>
      </c>
      <c r="G59">
        <v>129000</v>
      </c>
    </row>
    <row r="60" spans="1:7">
      <c r="A60" t="s">
        <v>493</v>
      </c>
      <c r="B60" t="s">
        <v>302</v>
      </c>
      <c r="C60" t="s">
        <v>302</v>
      </c>
      <c r="D60" t="s">
        <v>490</v>
      </c>
      <c r="E60">
        <v>-17000</v>
      </c>
      <c r="F60">
        <v>-196750</v>
      </c>
      <c r="G60">
        <v>-115500</v>
      </c>
    </row>
    <row r="61" spans="1:7">
      <c r="A61" t="s">
        <v>494</v>
      </c>
      <c r="B61" t="s">
        <v>302</v>
      </c>
      <c r="C61" t="s">
        <v>302</v>
      </c>
      <c r="D61" t="s">
        <v>490</v>
      </c>
      <c r="E61">
        <v>-1811</v>
      </c>
      <c r="F61">
        <v>-1651</v>
      </c>
      <c r="G61">
        <v>-1480</v>
      </c>
    </row>
    <row r="62" spans="1:7">
      <c r="A62" t="s">
        <v>495</v>
      </c>
      <c r="D62" t="s">
        <v>490</v>
      </c>
      <c r="E62">
        <v>2692</v>
      </c>
      <c r="G62">
        <v>1816</v>
      </c>
    </row>
    <row r="63" spans="1:7">
      <c r="A63" t="s">
        <v>496</v>
      </c>
      <c r="D63" t="s">
        <v>490</v>
      </c>
      <c r="E63">
        <v>-154</v>
      </c>
      <c r="F63">
        <v>-1992</v>
      </c>
      <c r="G63">
        <v>-175</v>
      </c>
    </row>
    <row r="64" spans="1:7">
      <c r="A64" t="s">
        <v>497</v>
      </c>
      <c r="B64" t="s">
        <v>311</v>
      </c>
      <c r="C64" t="s">
        <v>311</v>
      </c>
      <c r="D64" t="s">
        <v>490</v>
      </c>
      <c r="E64">
        <v>727</v>
      </c>
      <c r="F64">
        <v>62732</v>
      </c>
      <c r="G64">
        <v>13661</v>
      </c>
    </row>
    <row r="65" spans="1:7">
      <c r="A65" t="s">
        <v>498</v>
      </c>
      <c r="B65" t="s">
        <v>498</v>
      </c>
      <c r="C65" t="s">
        <v>312</v>
      </c>
      <c r="D65" t="s">
        <v>490</v>
      </c>
      <c r="E65">
        <v>-25398</v>
      </c>
      <c r="F65">
        <v>27410</v>
      </c>
      <c r="G65">
        <v>-20272</v>
      </c>
    </row>
    <row r="66" spans="1:7">
      <c r="A66" t="s">
        <v>499</v>
      </c>
      <c r="B66" t="s">
        <v>500</v>
      </c>
      <c r="C66" t="s">
        <v>315</v>
      </c>
      <c r="D66" t="s">
        <v>490</v>
      </c>
      <c r="E66">
        <v>29412</v>
      </c>
      <c r="F66">
        <v>2002</v>
      </c>
      <c r="G66">
        <v>22274</v>
      </c>
    </row>
    <row r="67" spans="1:7">
      <c r="A67" t="s">
        <v>501</v>
      </c>
      <c r="B67" t="s">
        <v>316</v>
      </c>
      <c r="C67" t="s">
        <v>316</v>
      </c>
      <c r="D67" t="s">
        <v>490</v>
      </c>
      <c r="E67">
        <v>4014</v>
      </c>
      <c r="F67">
        <v>29412</v>
      </c>
      <c r="G67">
        <v>2002</v>
      </c>
    </row>
    <row r="68" spans="1:7">
      <c r="D68" t="s">
        <v>490</v>
      </c>
      <c r="E68">
        <v>302018</v>
      </c>
      <c r="F68">
        <v>312017</v>
      </c>
      <c r="G68">
        <v>12017</v>
      </c>
    </row>
    <row r="69" spans="1:7">
      <c r="A69" t="s">
        <v>502</v>
      </c>
      <c r="D69" t="s">
        <v>490</v>
      </c>
    </row>
    <row r="70" spans="1:7">
      <c r="A70" t="s">
        <v>503</v>
      </c>
      <c r="D70" t="s">
        <v>490</v>
      </c>
      <c r="E70">
        <v>23098</v>
      </c>
      <c r="F70">
        <v>20885</v>
      </c>
      <c r="G70">
        <v>17415</v>
      </c>
    </row>
    <row r="71" spans="1:7">
      <c r="A71" t="s">
        <v>504</v>
      </c>
      <c r="D71" t="s">
        <v>490</v>
      </c>
      <c r="E71">
        <v>105</v>
      </c>
      <c r="F71">
        <v>119</v>
      </c>
      <c r="G71">
        <v>105</v>
      </c>
    </row>
    <row r="72" spans="1:7">
      <c r="A72" t="s">
        <v>505</v>
      </c>
      <c r="D72" t="s">
        <v>490</v>
      </c>
      <c r="E72">
        <v>7605</v>
      </c>
      <c r="F72">
        <v>6839</v>
      </c>
      <c r="G72">
        <v>4032</v>
      </c>
    </row>
    <row r="73" spans="1:7">
      <c r="A73" t="s">
        <v>506</v>
      </c>
      <c r="D73" t="s">
        <v>490</v>
      </c>
      <c r="E73">
        <v>2538</v>
      </c>
      <c r="F73">
        <v>1744</v>
      </c>
    </row>
    <row r="74" spans="1:7">
      <c r="A74" t="s">
        <v>507</v>
      </c>
      <c r="B74" t="s">
        <v>473</v>
      </c>
      <c r="C74" t="s">
        <v>247</v>
      </c>
      <c r="D74" t="s">
        <v>453</v>
      </c>
      <c r="E74">
        <v>-270</v>
      </c>
      <c r="F74">
        <v>-63</v>
      </c>
      <c r="G74">
        <v>153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38B48D-E409-48B2-A6E1-90F268CBA0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CB370B-57A5-466F-9FD5-BA067CF5CC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66F0BC-21BC-4345-9B38-96D83B786E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2021-10-22T09:33:00Z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