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G227" i="1" s="1"/>
  <c r="G11" i="1" s="1"/>
  <c r="F212" i="1"/>
  <c r="G210" i="1"/>
  <c r="G10" i="1" s="1"/>
  <c r="F210" i="1"/>
  <c r="F10" i="1" s="1"/>
  <c r="G197" i="1"/>
  <c r="F197" i="1"/>
  <c r="G102" i="1"/>
  <c r="G104" i="1" s="1"/>
  <c r="F102" i="1"/>
  <c r="G154" i="1"/>
  <c r="G92" i="1"/>
  <c r="F92" i="1"/>
  <c r="G432" i="1"/>
  <c r="G433" i="1" s="1"/>
  <c r="F432" i="1"/>
  <c r="F433" i="1" s="1"/>
  <c r="G418" i="1"/>
  <c r="F418" i="1"/>
  <c r="G417" i="1"/>
  <c r="F417" i="1"/>
  <c r="G409" i="1"/>
  <c r="G410" i="1" s="1"/>
  <c r="G397" i="1"/>
  <c r="F397" i="1"/>
  <c r="F409" i="1" s="1"/>
  <c r="F410" i="1" s="1"/>
  <c r="N382" i="1"/>
  <c r="I382" i="1"/>
  <c r="O381" i="1"/>
  <c r="N381" i="1"/>
  <c r="M381" i="1"/>
  <c r="L381" i="1"/>
  <c r="K381" i="1"/>
  <c r="J381" i="1"/>
  <c r="O377" i="1"/>
  <c r="L377" i="1"/>
  <c r="N376" i="1"/>
  <c r="I376" i="1"/>
  <c r="O375" i="1"/>
  <c r="N375" i="1"/>
  <c r="M375" i="1"/>
  <c r="L375" i="1"/>
  <c r="K375" i="1"/>
  <c r="J375" i="1"/>
  <c r="M373" i="1"/>
  <c r="J373" i="1"/>
  <c r="N371" i="1"/>
  <c r="I371" i="1"/>
  <c r="K370" i="1"/>
  <c r="H370" i="1"/>
  <c r="M369" i="1"/>
  <c r="J369" i="1"/>
  <c r="O368" i="1"/>
  <c r="L368" i="1"/>
  <c r="I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G319" i="1"/>
  <c r="G326" i="1" s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F227" i="1"/>
  <c r="O210" i="1"/>
  <c r="N210" i="1"/>
  <c r="M210" i="1"/>
  <c r="L210" i="1"/>
  <c r="K210" i="1"/>
  <c r="J210" i="1"/>
  <c r="I210" i="1"/>
  <c r="H210" i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2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L30" i="1"/>
  <c r="L369" i="1" s="1"/>
  <c r="K30" i="1"/>
  <c r="K369" i="1" s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66" i="1" s="1"/>
  <c r="J12" i="1"/>
  <c r="J366" i="1" s="1"/>
  <c r="I12" i="1"/>
  <c r="H12" i="1"/>
  <c r="H366" i="1" s="1"/>
  <c r="O11" i="1"/>
  <c r="N11" i="1"/>
  <c r="M11" i="1"/>
  <c r="L11" i="1"/>
  <c r="K11" i="1"/>
  <c r="J11" i="1"/>
  <c r="I11" i="1"/>
  <c r="H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K371" i="1" s="1"/>
  <c r="J6" i="1"/>
  <c r="J371" i="1" s="1"/>
  <c r="I6" i="1"/>
  <c r="I365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377" i="1" l="1"/>
  <c r="G128" i="1"/>
  <c r="G7" i="1" s="1"/>
  <c r="F128" i="1"/>
  <c r="F7" i="1" s="1"/>
  <c r="F12" i="1" s="1"/>
  <c r="G161" i="1"/>
  <c r="G8" i="1" s="1"/>
  <c r="G383" i="1" s="1"/>
  <c r="F383" i="1"/>
  <c r="F382" i="1"/>
  <c r="G353" i="1"/>
  <c r="G355" i="1" s="1"/>
  <c r="G357" i="1" s="1"/>
  <c r="G385" i="1"/>
  <c r="F353" i="1"/>
  <c r="F355" i="1" s="1"/>
  <c r="F357" i="1" s="1"/>
  <c r="F385" i="1"/>
  <c r="J368" i="1"/>
  <c r="N370" i="1"/>
  <c r="H373" i="1"/>
  <c r="F375" i="1"/>
  <c r="L376" i="1"/>
  <c r="J377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N366" i="1"/>
  <c r="L372" i="1"/>
  <c r="H375" i="1"/>
  <c r="J378" i="1"/>
  <c r="H381" i="1"/>
  <c r="J384" i="1"/>
  <c r="M368" i="1"/>
  <c r="I375" i="1"/>
  <c r="O376" i="1"/>
  <c r="M377" i="1"/>
  <c r="I381" i="1"/>
  <c r="O382" i="1"/>
  <c r="K384" i="1"/>
  <c r="F363" i="1"/>
  <c r="N368" i="1"/>
  <c r="N372" i="1"/>
  <c r="H376" i="1"/>
  <c r="F377" i="1"/>
  <c r="N377" i="1"/>
  <c r="L378" i="1"/>
  <c r="H382" i="1"/>
  <c r="G363" i="1"/>
  <c r="O372" i="1"/>
  <c r="M378" i="1"/>
  <c r="F13" i="1"/>
  <c r="F44" i="1"/>
  <c r="H363" i="1"/>
  <c r="G13" i="1"/>
  <c r="G44" i="1"/>
  <c r="I363" i="1"/>
  <c r="G12" i="1" l="1"/>
  <c r="G366" i="1" s="1"/>
  <c r="G382" i="1"/>
  <c r="F14" i="1"/>
  <c r="F376" i="1"/>
  <c r="F378" i="1"/>
  <c r="F370" i="1"/>
  <c r="F59" i="1"/>
  <c r="F67" i="1" s="1"/>
  <c r="F71" i="1" s="1"/>
  <c r="G378" i="1"/>
  <c r="G370" i="1"/>
  <c r="G59" i="1"/>
  <c r="G67" i="1" s="1"/>
  <c r="G71" i="1" s="1"/>
  <c r="F366" i="1" l="1"/>
  <c r="G376" i="1"/>
  <c r="G14" i="1"/>
  <c r="F373" i="1"/>
  <c r="F83" i="1"/>
  <c r="F372" i="1"/>
  <c r="F6" i="1"/>
  <c r="G373" i="1"/>
  <c r="G83" i="1"/>
  <c r="G372" i="1"/>
  <c r="G6" i="1"/>
  <c r="F371" i="1" l="1"/>
  <c r="F365" i="1"/>
  <c r="G371" i="1"/>
  <c r="G365" i="1"/>
</calcChain>
</file>

<file path=xl/sharedStrings.xml><?xml version="1.0" encoding="utf-8"?>
<sst xmlns="http://schemas.openxmlformats.org/spreadsheetml/2006/main" count="809" uniqueCount="521">
  <si>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</si>
  <si>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</si>
  <si>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</si>
  <si>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</si>
  <si>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</si>
  <si>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</si>
  <si>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</si>
  <si>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</si>
  <si>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</si>
  <si>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</si>
  <si>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</si>
  <si>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</si>
  <si>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</si>
  <si>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</si>
  <si>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</si>
  <si>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</si>
  <si>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</si>
  <si>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</si>
  <si>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</si>
  <si>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</si>
  <si>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</si>
  <si>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</si>
  <si>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</si>
  <si>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</si>
  <si>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</si>
  <si>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</si>
  <si>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</si>
  <si>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</si>
  <si>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</si>
  <si>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</si>
  <si>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</si>
  <si>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</si>
  <si>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</si>
  <si>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</si>
  <si>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</si>
  <si>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</si>
  <si>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</si>
  <si>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</si>
  <si>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</si>
  <si>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</si>
  <si>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</si>
  <si>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</si>
  <si>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</si>
  <si>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</si>
  <si>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</si>
  <si>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</si>
  <si>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</si>
  <si>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</si>
  <si>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</si>
  <si>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</si>
  <si>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</si>
  <si>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</si>
  <si>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</si>
  <si>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</si>
  <si>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</si>
  <si>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</si>
  <si>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</si>
  <si>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</si>
  <si>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</si>
  <si>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</si>
  <si>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</si>
  <si>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</si>
  <si>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</si>
  <si>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</si>
  <si>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</si>
  <si>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</si>
  <si>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</si>
  <si>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</si>
  <si>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</si>
  <si>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</si>
  <si>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</si>
  <si>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</si>
  <si>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</si>
  <si>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</si>
  <si>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</si>
  <si>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</si>
  <si>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</si>
  <si>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</si>
  <si>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</si>
  <si>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</si>
  <si>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</si>
  <si>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</si>
  <si>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</si>
  <si>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</si>
  <si>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</si>
  <si>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</si>
  <si>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</si>
  <si>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</si>
  <si>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</si>
  <si>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</si>
  <si>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</si>
  <si>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</si>
  <si>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</si>
  <si>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</si>
  <si>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</si>
  <si>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</si>
  <si>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</si>
  <si>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</si>
  <si>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</si>
  <si>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</si>
  <si>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</si>
  <si>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</si>
  <si>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</si>
  <si>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</si>
  <si>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</si>
  <si>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</si>
  <si>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</si>
  <si>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</si>
  <si>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</si>
  <si>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</si>
  <si>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</si>
  <si>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</si>
  <si>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</si>
  <si>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</si>
  <si>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</si>
  <si>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</si>
  <si>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</si>
  <si>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</si>
  <si>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</si>
  <si>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</si>
  <si>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</si>
  <si>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</si>
  <si>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</si>
  <si>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</si>
  <si>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</si>
  <si>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</si>
  <si>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</si>
  <si>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</si>
  <si>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</si>
  <si>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</si>
  <si>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</si>
  <si>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</si>
  <si>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</si>
  <si>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</si>
  <si>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</si>
  <si>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</si>
  <si>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</si>
  <si>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</si>
  <si>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</si>
  <si>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</si>
  <si>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</si>
  <si>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</si>
  <si>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</si>
  <si>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</si>
  <si>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</si>
  <si>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</si>
  <si>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</si>
  <si>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</si>
  <si>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</si>
  <si>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</si>
  <si>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</si>
  <si>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</si>
  <si>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</si>
  <si>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</si>
  <si>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</si>
  <si>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</si>
  <si>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</si>
  <si>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</si>
  <si>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</si>
  <si>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</si>
  <si>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</si>
  <si>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</si>
  <si>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</si>
  <si>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</si>
  <si>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</si>
  <si>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</si>
  <si>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</si>
  <si>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</si>
  <si>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</si>
  <si>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</si>
  <si>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</si>
  <si>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</si>
  <si>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</si>
  <si>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</si>
  <si>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</si>
  <si>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</si>
  <si>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</si>
  <si>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</si>
  <si>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</si>
  <si>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</si>
  <si>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</si>
  <si>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</si>
  <si>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</si>
  <si>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</si>
  <si>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</si>
  <si>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</si>
  <si>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</si>
  <si>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</si>
  <si>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</si>
  <si>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</si>
  <si>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</si>
  <si>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</si>
  <si>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</si>
  <si>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</si>
  <si>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</si>
  <si>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</si>
  <si>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</si>
  <si>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</si>
  <si>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</si>
  <si>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</si>
  <si>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</si>
  <si>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</si>
  <si>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</si>
  <si>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</si>
  <si>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</si>
  <si>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</si>
  <si>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</si>
  <si>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</si>
  <si>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</si>
  <si>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</si>
  <si>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</si>
  <si>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</si>
  <si>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</si>
  <si>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</si>
  <si>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</si>
  <si>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</si>
  <si>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</si>
  <si>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</si>
  <si>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</si>
  <si>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</si>
  <si>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</si>
  <si>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</si>
  <si>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</si>
  <si>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</si>
  <si>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</si>
  <si>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</si>
  <si>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</si>
  <si>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</si>
  <si>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</si>
  <si>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</si>
  <si>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</si>
  <si>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</si>
  <si>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</si>
  <si>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</si>
  <si>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</si>
  <si>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</si>
  <si>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</si>
  <si>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</si>
  <si>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</si>
  <si>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</si>
  <si>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</si>
  <si>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</si>
  <si>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</si>
  <si>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</si>
  <si>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</si>
  <si>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</si>
  <si>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</si>
  <si>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</si>
  <si>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</si>
  <si>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</si>
  <si>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</si>
  <si>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</si>
  <si>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</si>
  <si>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</si>
  <si>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</si>
  <si>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</si>
  <si>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</si>
  <si>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</si>
  <si>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</si>
  <si>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</si>
  <si>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</si>
  <si>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</si>
  <si>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</si>
  <si>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</si>
  <si>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</si>
  <si>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</si>
  <si>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</si>
  <si>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</si>
  <si>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</si>
  <si>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</si>
  <si>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</si>
  <si>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</si>
  <si>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</si>
  <si>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</si>
  <si>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</si>
  <si>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</si>
  <si>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</si>
  <si>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</si>
  <si>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</si>
  <si>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</si>
  <si>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</si>
  <si>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</si>
  <si>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</si>
  <si>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</si>
  <si>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</si>
  <si>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</si>
  <si>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</si>
  <si>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</si>
  <si>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</si>
  <si>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</si>
  <si>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</si>
  <si>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</si>
  <si>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</si>
  <si>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</si>
  <si>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</si>
  <si>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</si>
  <si>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</si>
  <si>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</si>
  <si>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</si>
  <si>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</si>
  <si>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</si>
  <si>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</si>
  <si>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</si>
  <si>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</si>
  <si>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</si>
  <si>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</si>
  <si>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</si>
  <si>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</si>
  <si>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</si>
  <si>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</si>
  <si>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</si>
  <si>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</si>
  <si>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</si>
  <si>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</si>
  <si>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</si>
  <si>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</si>
  <si>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</si>
  <si>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</si>
  <si>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</si>
  <si>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</si>
  <si>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</si>
  <si>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</si>
  <si>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</si>
  <si>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</si>
  <si>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</si>
  <si>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</si>
  <si>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</si>
  <si>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</si>
  <si>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</si>
  <si>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</si>
  <si>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</si>
  <si>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</si>
  <si>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</si>
  <si>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</si>
  <si>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</si>
  <si>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</si>
  <si>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</si>
  <si>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</si>
  <si>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</si>
  <si>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</si>
  <si>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</si>
  <si>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</si>
  <si>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</si>
  <si>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</si>
  <si>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</si>
  <si>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</si>
  <si>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</si>
  <si>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</si>
  <si>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</si>
  <si>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</si>
  <si>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</si>
  <si>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</si>
  <si>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</si>
  <si>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</si>
  <si>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</si>
  <si>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</si>
  <si>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</si>
  <si>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</si>
  <si>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</si>
  <si>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</si>
  <si>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</si>
  <si>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</si>
  <si>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</si>
  <si>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</si>
  <si>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</si>
  <si>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</si>
  <si>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</si>
  <si>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</si>
  <si>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</si>
  <si>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</si>
  <si>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</si>
  <si>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</si>
  <si>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</si>
  <si>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</si>
  <si>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- ASSETS -</t>
  </si>
  <si>
    <t>CURRENT ASSETS:</t>
  </si>
  <si>
    <t>Cash</t>
  </si>
  <si>
    <t>Accounts receivable, net of allowances of $144,000 for 2018 and 2017</t>
  </si>
  <si>
    <t>Inventories</t>
  </si>
  <si>
    <t>Prepaid green coffee</t>
  </si>
  <si>
    <t>Prepaid expenses and other current assets</t>
  </si>
  <si>
    <t>Prepaid and refundable income taxes</t>
  </si>
  <si>
    <t>TOTAL CURRENT ASSETS</t>
  </si>
  <si>
    <t>Machinery and equipment, at cost, net of accumulated depreciation of $6,251,828 and $5,557,899 for 2018 and 2017, respectively</t>
  </si>
  <si>
    <t>Customer list and relationships, net of accumulated amortization of $108,875 and $72,250 for 2018 and 2017, respectively</t>
  </si>
  <si>
    <t>Trademarks and tradenames</t>
  </si>
  <si>
    <t>Other intangible assets</t>
  </si>
  <si>
    <t>Other Intangibles</t>
  </si>
  <si>
    <t>Non-compete, net of accumulated amortization of $9,900 and $0 for 2018 and 2017, respectively</t>
  </si>
  <si>
    <t>Goodwill</t>
  </si>
  <si>
    <t>Equity method investments</t>
  </si>
  <si>
    <t>Deferred income tax asset</t>
  </si>
  <si>
    <t>Deposits and other assets</t>
  </si>
  <si>
    <t>TOTAL ASSETS</t>
  </si>
  <si>
    <t>- LIABILITIES AND STOCKHOLDERS EQUITY -</t>
  </si>
  <si>
    <t>CURRENT LIABILITIES:</t>
  </si>
  <si>
    <t>Accounts payable and accrued expenses</t>
  </si>
  <si>
    <t>Accruals</t>
  </si>
  <si>
    <t>Line of credit</t>
  </si>
  <si>
    <t>Borrowings</t>
  </si>
  <si>
    <t>Due to broker</t>
  </si>
  <si>
    <t>Note payable</t>
  </si>
  <si>
    <t>Income taxes payable</t>
  </si>
  <si>
    <t>TOTAL CURRENT LIABILITIES</t>
  </si>
  <si>
    <t>Deferred income tax liabilities</t>
  </si>
  <si>
    <t>Deferred rent payable</t>
  </si>
  <si>
    <t>Deferred compensation payable</t>
  </si>
  <si>
    <t>TOTAL LIABILITIES</t>
  </si>
  <si>
    <t>Commitments and Contingencies</t>
  </si>
  <si>
    <t>STOCKHOLDERS EQUITY:</t>
  </si>
  <si>
    <t>Coffee Holding Co., Inc. stockholders equity:</t>
  </si>
  <si>
    <t>Preferred stock, par value $.001 per share; 10,000,000 shares authorized; none issued</t>
  </si>
  <si>
    <t>Common stock, par value $.001 per share; 30,000,000 shares authorized, 6,494,680 shares issued; 5,569,349 and 5,805,935 shares outstanding for 2018 and 2017</t>
  </si>
  <si>
    <t>Additional paid-in capital</t>
  </si>
  <si>
    <t>Retained earnings</t>
  </si>
  <si>
    <t>Less: Treasury stock, 925,331 and 688,745 common shares, at cost for 2018 and 2017</t>
  </si>
  <si>
    <t>Total Coffee Holding Co., Inc. Stockholders Equity</t>
  </si>
  <si>
    <t>Noncontrolling interest</t>
  </si>
  <si>
    <t>TOTAL EQUITY</t>
  </si>
  <si>
    <t>TOTAL LIABILITIES AND STOCKHOLDERS EQUITY</t>
  </si>
  <si>
    <t>See Notes to Consolidated Financial Statements</t>
  </si>
  <si>
    <t>F-3</t>
  </si>
  <si>
    <t>NET SALES</t>
  </si>
  <si>
    <t>Net revenue</t>
  </si>
  <si>
    <t>Revenue</t>
  </si>
  <si>
    <t>COST OF SALES (which include purchases of approximately $9.1 million and $6.7 million in fiscal years 2018 and 2017, respectively, from a related party)</t>
  </si>
  <si>
    <t>GROSS PROFIT</t>
  </si>
  <si>
    <t>Gross Profit</t>
  </si>
  <si>
    <t>OPERATING EXPENSES:</t>
  </si>
  <si>
    <t>Selling and administrative</t>
  </si>
  <si>
    <t>Officers salaries</t>
  </si>
  <si>
    <t>TOTAL</t>
  </si>
  <si>
    <t>INCOME FROM OPERATIONS</t>
  </si>
  <si>
    <t>OTHER INCOME (EXPENSE):</t>
  </si>
  <si>
    <t>Interest income</t>
  </si>
  <si>
    <t>Loss from equity method investments</t>
  </si>
  <si>
    <t>Interest expense</t>
  </si>
  <si>
    <t>INCOME BEFORE PROVISION FOR INCOME TAXES AND NON-CONTROLLING INTEREST IN</t>
  </si>
  <si>
    <t>Profit before Zakat and Income tax</t>
  </si>
  <si>
    <t>SUBSIDIARY</t>
  </si>
  <si>
    <t>Provision for income taxes</t>
  </si>
  <si>
    <t>NET INCOME BEFORE NON-CONTROLLING INTEREST IN SUBSIDIARY</t>
  </si>
  <si>
    <t>Less: Net income attributable to the non-controlling interest in subsidiary</t>
  </si>
  <si>
    <t>NET INCOME ATTRIBUTABLE TO COFFEE HOLDING CO., INC</t>
  </si>
  <si>
    <t>Basic and diluted earnings per share</t>
  </si>
  <si>
    <t>Weighted average common shares outstanding:</t>
  </si>
  <si>
    <t>OPERATING ACTIVITIES:</t>
  </si>
  <si>
    <t>Operating Activities</t>
  </si>
  <si>
    <t>Net income</t>
  </si>
  <si>
    <t>Adjustments to reconcile net income to net cash provided by operating activities:</t>
  </si>
  <si>
    <t>Depreciation and amortization</t>
  </si>
  <si>
    <t>Unrealized loss (gain) on commodities</t>
  </si>
  <si>
    <t>Loss on equity method investments</t>
  </si>
  <si>
    <t>Deferred rent</t>
  </si>
  <si>
    <t>Deferred income taxes</t>
  </si>
  <si>
    <t>Changes in operating assets and liabilities:</t>
  </si>
  <si>
    <t>Accounts receivable</t>
  </si>
  <si>
    <t xml:space="preserve">Adjustment for Income Tax Paid </t>
  </si>
  <si>
    <t>Net cash provided by operating activities</t>
  </si>
  <si>
    <t>INVESTING ACTIVITIES:</t>
  </si>
  <si>
    <t>Investing Activities</t>
  </si>
  <si>
    <t>Purchase of business net of cash acquired</t>
  </si>
  <si>
    <t>Purchases of machinery and equipment</t>
  </si>
  <si>
    <t>Net cash used in investing activities</t>
  </si>
  <si>
    <t>FINANCING ACTIVITIES:</t>
  </si>
  <si>
    <t>Financing Activities</t>
  </si>
  <si>
    <t>Advances under bank line of credit</t>
  </si>
  <si>
    <t>Purchase of treasury stock</t>
  </si>
  <si>
    <t>Principal payments under bank line of credit</t>
  </si>
  <si>
    <t>Net cash (used in) provided by financing activities</t>
  </si>
  <si>
    <t>NET INCREASE (DECREASE) IN CASH</t>
  </si>
  <si>
    <t>CASH, BEGINNING OF YEAR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</si>
  <si>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</si>
  <si>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</si>
  <si>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</si>
  <si>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</si>
  <si>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</si>
  <si>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administrative expenses</t>
  </si>
  <si>
    <t>other income (expenses)</t>
  </si>
  <si>
    <t>minority interest</t>
  </si>
  <si>
    <t>machinery and equipment</t>
  </si>
  <si>
    <t>property, plant and equipment</t>
  </si>
  <si>
    <t>accumulated depreciation and amortisation</t>
  </si>
  <si>
    <t>intangibles - other</t>
  </si>
  <si>
    <t>long term accruals</t>
  </si>
  <si>
    <t>ordinary shares</t>
  </si>
  <si>
    <t>additional paid-in capital</t>
  </si>
  <si>
    <t>changed value</t>
  </si>
  <si>
    <t>net sales</t>
  </si>
  <si>
    <t>added value</t>
  </si>
  <si>
    <t>salaries and wages</t>
  </si>
  <si>
    <t>selling and administrative</t>
  </si>
  <si>
    <t>officers' salaries</t>
  </si>
  <si>
    <t>changed sign</t>
  </si>
  <si>
    <t>loss from equity method investments</t>
  </si>
  <si>
    <t>interest paid and financial costs</t>
  </si>
  <si>
    <t>interest expense</t>
  </si>
  <si>
    <t>other fixed assets</t>
  </si>
  <si>
    <t>improvements</t>
  </si>
  <si>
    <t>furniture and fixtures</t>
  </si>
  <si>
    <t>less, accumulated depreciation</t>
  </si>
  <si>
    <t>tax recoverable</t>
  </si>
  <si>
    <t>prepaid and refundable income taxes</t>
  </si>
  <si>
    <t>prepaid green coffee</t>
  </si>
  <si>
    <t>prepaid expenses</t>
  </si>
  <si>
    <t>other intangible assets</t>
  </si>
  <si>
    <t>trademarks and tradenames</t>
  </si>
  <si>
    <t>deleted this value</t>
  </si>
  <si>
    <t>long term deposits</t>
  </si>
  <si>
    <t>deposits and other assets</t>
  </si>
  <si>
    <t>long term investments</t>
  </si>
  <si>
    <t>equity method investments</t>
  </si>
  <si>
    <t>accounts payable and accrued expenses</t>
  </si>
  <si>
    <t>deleted value</t>
  </si>
  <si>
    <t>other creditors</t>
  </si>
  <si>
    <t>due to broker</t>
  </si>
  <si>
    <t>deferred rent payable</t>
  </si>
  <si>
    <t>deferred compensation payable</t>
  </si>
  <si>
    <t>split value</t>
  </si>
  <si>
    <t>Common stock, par value $.001 per share;</t>
  </si>
  <si>
    <t>treasury stock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</si>
</sst>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/>
    <xf numFmtId="3" fontId="4" fillId="0" borderId="0" xfId="2" applyFill="1"/>
    <xf numFmtId="3" fontId="4" fillId="0" borderId="0" xfId="2" applyFont="1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4BC-4A39-B522-9D24E95C81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A4-4925-85FA-817957535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458-4A9D-BBDC-48DE1B2D4C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7C-4F7C-BB0B-A67605CE87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E0A-48F0-9BA7-44DC08732A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93-40C3-AADE-557E3CFD63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FC-45CF-B774-A205698BC9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10-475E-B729-934473B5B8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29-4C3C-A980-4CF7AB7200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4AE-400E-AE26-2A52E9C22B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1D-46BE-9C98-4291D68C6D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93-40B9-AD0E-BEF58154DE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113-4C90-B2D4-B846077F8A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DE-42B7-A304-D1F12E920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675-4F44-9359-374D6D3A02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1059276</v>
      </c>
      <c r="G6" s="7">
        <f t="shared" ref="G6:O6" si="1">IF(G4=$BF$1,"",G71)</f>
        <v>467262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8075223</v>
      </c>
      <c r="G7" s="7">
        <f t="shared" ref="G7:O7" si="2">IF(G4=$BF$1,"",G128)</f>
        <v>6684397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30758854</v>
      </c>
      <c r="G8" s="7">
        <f t="shared" ref="G8:O8" si="3">IF(G4=$BF$1,"",G161)</f>
        <v>33316013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11187368</v>
      </c>
      <c r="G9" s="7">
        <f t="shared" ref="G9:O9" si="4">IF(G4=$BF$1,"",G189)</f>
        <v>13050361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1656891</v>
      </c>
      <c r="G10" s="7">
        <f t="shared" ref="G10:O10" si="5">IF(G4=$BF$1,"",G210)</f>
        <v>1358588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25989818</v>
      </c>
      <c r="G11" s="7">
        <f t="shared" ref="G11:O11" si="6">IF(G4=$BF$1,"",G227)</f>
        <v>25591461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38834077</v>
      </c>
      <c r="G12" s="35">
        <f t="shared" ref="G12:O12" si="7">IF(G4=$BF$1,"",SUM(G7:G8))</f>
        <v>40000410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38834077</v>
      </c>
      <c r="G13" s="35">
        <f t="shared" ref="G13:O13" si="8">IF(G4=$BF$1,"",SUM(G9:G11))</f>
        <v>40000410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90655294</v>
      </c>
      <c r="G24">
        <v>77127595</v>
      </c>
      <c r="P24" s="50" t="s">
        <v>487</v>
      </c>
    </row>
    <row r="25" spans="5:16">
      <c r="E25" s="1" t="s">
        <v>27</v>
      </c>
      <c r="F25">
        <v>75040802</v>
      </c>
      <c r="G25">
        <v>64977632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15614492</v>
      </c>
      <c r="G30" s="7">
        <f>IF(G4=$BF$1,"",G24-G25+ABS(G26)-G27-G28-G29)</f>
        <v>12149963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</row>
    <row r="32" spans="5:16">
      <c r="E32" s="1" t="s">
        <v>34</v>
      </c>
      <c r="F32" s="38">
        <v>681000</v>
      </c>
      <c r="G32" s="38">
        <v>698740</v>
      </c>
      <c r="P32" s="50" t="s">
        <v>489</v>
      </c>
    </row>
    <row r="33" spans="5:16">
      <c r="E33" s="1" t="s">
        <v>35</v>
      </c>
    </row>
    <row r="34" spans="5:16">
      <c r="E34" s="1" t="s">
        <v>36</v>
      </c>
      <c r="F34" s="38">
        <v>12532329</v>
      </c>
      <c r="G34" s="38">
        <v>10228506</v>
      </c>
      <c r="P34" s="50" t="s">
        <v>489</v>
      </c>
    </row>
    <row r="35" spans="5:16">
      <c r="E35" s="1" t="s">
        <v>37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13213329</v>
      </c>
      <c r="G43" s="7">
        <f>G32+G33+G34+G35+G36+G37+G38+G39+G40+G41+G42</f>
        <v>10927246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2401163</v>
      </c>
      <c r="G44" s="7">
        <f>IF(G4=$BF$1,"",G30+G31-G43)</f>
        <v>1222717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370705</v>
      </c>
      <c r="G49">
        <v>264261</v>
      </c>
      <c r="P49" s="50" t="s">
        <v>493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13347</v>
      </c>
      <c r="G52">
        <v>19436</v>
      </c>
    </row>
    <row r="53" spans="5:16">
      <c r="E53" s="1" t="s">
        <v>55</v>
      </c>
    </row>
    <row r="54" spans="5:16">
      <c r="E54" s="1" t="s">
        <v>56</v>
      </c>
      <c r="F54">
        <v>-4867</v>
      </c>
      <c r="G54">
        <v>-956</v>
      </c>
      <c r="P54" s="50" t="s">
        <v>489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2038938</v>
      </c>
      <c r="G59" s="7">
        <f>IF(G4=$BF$1,"",G44+G45+G46+G47+G48-G49-G50-G51+G52-G53+G54+G55-G56+G57+G58)</f>
        <v>976936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511532</v>
      </c>
      <c r="G60">
        <v>244096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1527406</v>
      </c>
      <c r="G67" s="7">
        <f>IF(G4=$BF$1,"",SUM(G59,-G60,-ABS(G61),-G62,-G66))</f>
        <v>732840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  <c r="F68">
        <v>-468130</v>
      </c>
      <c r="G68">
        <v>-265578</v>
      </c>
      <c r="P68" s="50" t="s">
        <v>487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1059276</v>
      </c>
      <c r="G71" s="7">
        <f t="shared" ref="G71:O71" si="14">IF(G4=$BF$1,"",SUM(G67:G70))</f>
        <v>467262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9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1059276</v>
      </c>
      <c r="G83" s="7">
        <f t="shared" ref="G83:O83" si="15">IF(G4=$BF$1,"",SUM(G71:G82))</f>
        <v>467262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 s="38">
        <f>7363497+1028454</f>
        <v>8391951</v>
      </c>
      <c r="G92" s="38">
        <f>6809944+985008</f>
        <v>7794952</v>
      </c>
      <c r="P92" s="50" t="s">
        <v>489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  <c r="F95" s="38">
        <v>210085</v>
      </c>
      <c r="G95" s="38">
        <v>202285</v>
      </c>
      <c r="P95" s="50" t="s">
        <v>489</v>
      </c>
    </row>
    <row r="96" spans="5:16">
      <c r="E96" s="12"/>
    </row>
    <row r="98" spans="5:16">
      <c r="E98" s="6" t="s">
        <v>88</v>
      </c>
      <c r="F98" s="7">
        <f>F89+F90+F91+F92+F93+F94+F95+F96</f>
        <v>8602036</v>
      </c>
      <c r="G98" s="7">
        <f>IF(G4=$BF$1,"",G89+G90+G91+G92+G93+G94+G95+G96)</f>
        <v>7997237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-6251828</v>
      </c>
      <c r="G99" s="38">
        <v>-5557899</v>
      </c>
      <c r="P99" s="50" t="s">
        <v>489</v>
      </c>
    </row>
    <row r="100" spans="5:16">
      <c r="E100" s="6" t="s">
        <v>90</v>
      </c>
      <c r="F100" s="7">
        <f>F98+F99</f>
        <v>2350208</v>
      </c>
      <c r="G100" s="7">
        <f t="shared" ref="G100:O100" si="17">IF(G4=$BF$1,"",G98+G99)</f>
        <v>2439338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2157661</v>
      </c>
      <c r="G101">
        <v>1794265</v>
      </c>
    </row>
    <row r="102" spans="5:16">
      <c r="E102" s="1" t="s">
        <v>92</v>
      </c>
      <c r="F102">
        <f>331124+1488000</f>
        <v>1819124</v>
      </c>
      <c r="G102">
        <f>331124+820000</f>
        <v>1151124</v>
      </c>
      <c r="P102" s="50" t="s">
        <v>487</v>
      </c>
    </row>
    <row r="103" spans="5:16">
      <c r="E103" s="1" t="s">
        <v>93</v>
      </c>
      <c r="F103" s="38">
        <v>89100</v>
      </c>
      <c r="P103" s="50" t="s">
        <v>489</v>
      </c>
    </row>
    <row r="104" spans="5:16">
      <c r="E104" s="6" t="s">
        <v>94</v>
      </c>
      <c r="F104" s="7">
        <f>F101+F102+F103</f>
        <v>4065885</v>
      </c>
      <c r="G104" s="7">
        <f t="shared" ref="G104:O104" si="18">IF(G4=$BF$1,"",G101+G102+G103)</f>
        <v>2945389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  <c r="F110"/>
      <c r="G110"/>
      <c r="P110" s="50" t="s">
        <v>507</v>
      </c>
    </row>
    <row r="111" spans="5:16">
      <c r="E111" s="1" t="s">
        <v>101</v>
      </c>
      <c r="F111">
        <v>440325</v>
      </c>
      <c r="G111">
        <v>339748</v>
      </c>
    </row>
    <row r="112" spans="5:16">
      <c r="E112" s="1" t="s">
        <v>102</v>
      </c>
    </row>
    <row r="113" spans="5:16">
      <c r="E113" s="1" t="s">
        <v>103</v>
      </c>
      <c r="F113">
        <v>89776</v>
      </c>
      <c r="G113">
        <v>94643</v>
      </c>
      <c r="P113" s="50" t="s">
        <v>487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  <c r="F123" s="38">
        <v>552904</v>
      </c>
      <c r="G123" s="38">
        <v>497529</v>
      </c>
      <c r="P123" s="50" t="s">
        <v>489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 s="38">
        <v>576125</v>
      </c>
      <c r="G126" s="38">
        <v>367750</v>
      </c>
      <c r="P126" s="50" t="s">
        <v>489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8075223</v>
      </c>
      <c r="G128" s="7">
        <f t="shared" ref="G128:O128" si="19">IF(G4=$BF$1,"",G100+SUM(G104:G126))</f>
        <v>6684397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4611384</v>
      </c>
      <c r="G130">
        <v>2325650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4611384</v>
      </c>
      <c r="G140" s="7">
        <f t="shared" ref="G140:O140" si="20">IF(G4=$BF$1,"",G130+G131+G132+G133+G134+G135+G136+G139)</f>
        <v>2325650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15271106</v>
      </c>
      <c r="G144">
        <v>16310572</v>
      </c>
    </row>
    <row r="145" spans="5:16">
      <c r="E145" s="6" t="s">
        <v>127</v>
      </c>
      <c r="F145" s="7">
        <f>F141+F142+F143+F144</f>
        <v>15271106</v>
      </c>
      <c r="G145" s="7">
        <f t="shared" ref="G145:O145" si="21">IF(G4=$BF$1,"",G141+G142+G143+G144)</f>
        <v>16310572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 s="38">
        <v>383206</v>
      </c>
      <c r="G151" s="38">
        <v>472814</v>
      </c>
      <c r="P151" s="50" t="s">
        <v>489</v>
      </c>
    </row>
    <row r="154" spans="5:16">
      <c r="E154" s="12" t="s">
        <v>134</v>
      </c>
      <c r="F154">
        <v>578861</v>
      </c>
      <c r="G154">
        <f>171350+593825</f>
        <v>765175</v>
      </c>
      <c r="P154" s="50" t="s">
        <v>487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9914297</v>
      </c>
      <c r="G157">
        <v>13441802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10876364</v>
      </c>
      <c r="G160" s="7">
        <f>IF(G4=$BF$1,"",G146+G147+G148+G149+G150+G151+G152+G153+G154+G155+G156+G157+G158+G159)</f>
        <v>14679791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30758854</v>
      </c>
      <c r="G161" s="7">
        <f t="shared" ref="G161:O161" si="22">IF(G4=$BF$1,"",G140+G145+G160)</f>
        <v>33316013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  <c r="F168">
        <v>6260014</v>
      </c>
      <c r="G168">
        <v>8407527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F171">
        <v>70255</v>
      </c>
      <c r="G171">
        <v>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1505</v>
      </c>
      <c r="G181">
        <v>1346</v>
      </c>
    </row>
    <row r="183" spans="5:16">
      <c r="E183" s="1" t="s">
        <v>160</v>
      </c>
      <c r="F183" s="38">
        <v>22046</v>
      </c>
      <c r="G183" s="38">
        <v>210862</v>
      </c>
      <c r="P183" s="50" t="s">
        <v>489</v>
      </c>
    </row>
    <row r="184" spans="5:16">
      <c r="E184" s="12" t="s">
        <v>161</v>
      </c>
      <c r="F184">
        <v>4833548</v>
      </c>
      <c r="G184">
        <v>4430626</v>
      </c>
      <c r="P184" s="50" t="s">
        <v>487</v>
      </c>
    </row>
    <row r="185" spans="5:16">
      <c r="E185" s="12" t="s">
        <v>162</v>
      </c>
    </row>
    <row r="187" spans="5:16">
      <c r="E187" s="1" t="s">
        <v>163</v>
      </c>
    </row>
    <row r="188" spans="5:16">
      <c r="E188" s="1" t="s">
        <v>164</v>
      </c>
      <c r="F188"/>
      <c r="G188"/>
      <c r="P188" s="50" t="s">
        <v>513</v>
      </c>
    </row>
    <row r="189" spans="5:16">
      <c r="E189" s="6" t="s">
        <v>13</v>
      </c>
      <c r="F189" s="7">
        <f>SUM(F163:F188)</f>
        <v>11187368</v>
      </c>
      <c r="G189" s="7">
        <f t="shared" ref="G189:O189" si="23">IF(G4=$BF$1,"",SUM(G163:G188))</f>
        <v>13050361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f>532726+242143</f>
        <v>774869</v>
      </c>
      <c r="G197" s="38">
        <f>488529+240379</f>
        <v>728908</v>
      </c>
      <c r="P197" s="50" t="s">
        <v>489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882022</v>
      </c>
      <c r="G203">
        <v>629680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1656891</v>
      </c>
      <c r="G210" s="7">
        <f t="shared" ref="G210:O210" si="24">IF(G4=$BF$1,"",SUM(G191:G209))</f>
        <v>1358588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6494+16104075</f>
        <v>16110569</v>
      </c>
      <c r="G212">
        <f>6494+16104075</f>
        <v>16110569</v>
      </c>
      <c r="P212" s="50" t="s">
        <v>518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13404767</v>
      </c>
      <c r="G217">
        <v>12345490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  <c r="F221">
        <v>1108042</v>
      </c>
      <c r="G221">
        <v>639912</v>
      </c>
    </row>
    <row r="222" spans="5:16">
      <c r="E222" s="1" t="s">
        <v>191</v>
      </c>
    </row>
    <row r="223" spans="5:16">
      <c r="E223" s="1" t="s">
        <v>192</v>
      </c>
      <c r="F223" s="38">
        <v>-4633560</v>
      </c>
      <c r="G223" s="38">
        <v>-3504510</v>
      </c>
      <c r="P223" s="50" t="s">
        <v>489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25989818</v>
      </c>
      <c r="G227" s="7">
        <f t="shared" ref="G227:O227" si="25">IF(G4=$BF$1,"",SUM(G212:G226))</f>
        <v>25591461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1527406</v>
      </c>
      <c r="G267">
        <v>732840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740454</v>
      </c>
      <c r="G271">
        <v>762043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</row>
    <row r="276" spans="5:7">
      <c r="E276" s="1" t="s">
        <v>241</v>
      </c>
    </row>
    <row r="277" spans="5:7" ht="25.5" customHeight="1">
      <c r="E277" s="1" t="s">
        <v>242</v>
      </c>
    </row>
    <row r="278" spans="5:7">
      <c r="E278" s="1" t="s">
        <v>243</v>
      </c>
    </row>
    <row r="279" spans="5:7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  <c r="F284">
        <v>89767</v>
      </c>
      <c r="G284">
        <v>9459</v>
      </c>
    </row>
    <row r="285" spans="5:7">
      <c r="E285" s="1" t="s">
        <v>248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0</v>
      </c>
      <c r="G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830221</v>
      </c>
      <c r="G296" s="7">
        <f>IF(G4=$BF$1,"",G271+G272+G273+G274+G275+G276+G277+G278+G279+G280+G281+G282+G283+G284+G285+G286+G287+G288+G289+G290+G291+G292+G293+G294+G295)</f>
        <v>771502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2357627</v>
      </c>
      <c r="G297" s="7">
        <f t="shared" ref="G297:O297" si="27">IF(G4=$BF$1,"",MIN(F267,F268,F269)+F296)</f>
        <v>2357627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4441221</v>
      </c>
      <c r="G299">
        <v>-1819707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43877</v>
      </c>
      <c r="G302">
        <v>-25688</v>
      </c>
    </row>
    <row r="303" spans="5:15">
      <c r="E303" s="1" t="s">
        <v>265</v>
      </c>
      <c r="F303">
        <v>3613947</v>
      </c>
      <c r="G303">
        <v>661008</v>
      </c>
    </row>
    <row r="305" spans="5:15">
      <c r="E305" s="1" t="s">
        <v>266</v>
      </c>
      <c r="F305">
        <v>-11178</v>
      </c>
      <c r="G305">
        <v>77220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392713</v>
      </c>
      <c r="G313">
        <v>-258827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8480580</v>
      </c>
      <c r="G318" s="7">
        <f>IF(G4=$BF$1,"",G299+G300+G301+G302+G303+G304+G305+G306+G307+G308+G309+G310+G311+G312+G313+G314+G315+G316+G317)</f>
        <v>-1365994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10838207</v>
      </c>
      <c r="G319" s="7">
        <f t="shared" ref="G319:O319" si="28">IF(G4=$BF$1,"",G297+G318)</f>
        <v>991633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10838207</v>
      </c>
      <c r="G326" s="7">
        <f t="shared" ref="G326:O326" si="30">IF(G4=$BF$1,"",G325+G319)</f>
        <v>991633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-383516</v>
      </c>
      <c r="G328">
        <v>-679921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-2677335</v>
      </c>
      <c r="G331">
        <v>-2893275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-3060851</v>
      </c>
      <c r="G337" s="7">
        <f>IF(G4=$BF$1,"",SUM(G328:G336))</f>
        <v>-3573196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-6028168</v>
      </c>
      <c r="G343">
        <v>-4865000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-6028168</v>
      </c>
      <c r="G352" s="7">
        <f>IF(G4=$BF$1,"",SUM(G339:G351))</f>
        <v>-4865000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1749188</v>
      </c>
      <c r="G353" s="7">
        <f t="shared" ref="G353:O353" si="33">IF(G4=$BF$1,"",G326+G337+G352)</f>
        <v>-7446563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1749188</v>
      </c>
      <c r="G355" s="7">
        <f t="shared" ref="G355:O355" si="34">IF(G4=$BF$1,"",G353+G354)</f>
        <v>-7446563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1749188</v>
      </c>
      <c r="G357" s="7">
        <f t="shared" ref="G357:O357" si="35">IF(G4=$BF$1,"",G355+G356)</f>
        <v>-7446563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0.17539376146760444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1.2669851175571736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-2.9158026130232165E-2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0.17224026651990121</v>
      </c>
      <c r="G369" s="27">
        <f t="shared" si="41"/>
        <v>0.15753068664983005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2.6486737773968282E-2</v>
      </c>
      <c r="G370" s="27">
        <f t="shared" si="42"/>
        <v>1.5853171617758857E-2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1.1684656827653109E-2</v>
      </c>
      <c r="G371" s="28">
        <f t="shared" si="43"/>
        <v>6.0582985894996463E-3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2.7276971202379808E-2</v>
      </c>
      <c r="G372" s="27">
        <f t="shared" si="44"/>
        <v>1.1681430265339781E-2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4.0757345819043445E-2</v>
      </c>
      <c r="G373" s="27">
        <f t="shared" si="45"/>
        <v>1.8258512087293493E-2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0.33074711676551499</v>
      </c>
      <c r="G376" s="30">
        <f t="shared" si="47"/>
        <v>0.36022003274466435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0.4942034992318915</v>
      </c>
      <c r="G377" s="30">
        <f t="shared" si="48"/>
        <v>0.56303737406785803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6.4772878704090857</v>
      </c>
      <c r="G378" s="30">
        <f t="shared" si="49"/>
        <v>4.6269294371852068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2.7494272111188263</v>
      </c>
      <c r="G382" s="32">
        <f t="shared" si="51"/>
        <v>2.5528805678249054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1.3843960438237126</v>
      </c>
      <c r="G383" s="32">
        <f t="shared" si="52"/>
        <v>1.3030628807892748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0.4121956120510204</v>
      </c>
      <c r="G384" s="32">
        <f t="shared" si="53"/>
        <v>0.1782057982917101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0.96878970996573988</v>
      </c>
      <c r="G385" s="32">
        <f t="shared" si="54"/>
        <v>7.5985101101800942E-2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4611384</v>
      </c>
      <c r="G418" s="17">
        <f>G130-G417</f>
        <v>2325650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472</v>
      </c>
      <c r="B1" s="39" t="s">
        <v>473</v>
      </c>
      <c r="C1" s="39" t="s">
        <v>474</v>
      </c>
      <c r="D1" s="39"/>
    </row>
    <row r="2" spans="1:4">
      <c r="A2" t="s">
        <v>488</v>
      </c>
      <c r="B2" s="41" t="s">
        <v>475</v>
      </c>
      <c r="C2" s="39" t="s">
        <v>476</v>
      </c>
      <c r="D2" s="39"/>
    </row>
    <row r="3" spans="1:4">
      <c r="A3" t="s">
        <v>492</v>
      </c>
      <c r="B3" s="41" t="s">
        <v>490</v>
      </c>
      <c r="C3" s="39" t="s">
        <v>476</v>
      </c>
    </row>
    <row r="4" spans="1:4">
      <c r="A4" t="s">
        <v>491</v>
      </c>
      <c r="B4" s="41" t="s">
        <v>477</v>
      </c>
      <c r="C4" s="39" t="s">
        <v>476</v>
      </c>
    </row>
    <row r="5" spans="1:4">
      <c r="A5" t="s">
        <v>494</v>
      </c>
      <c r="B5" s="42" t="s">
        <v>478</v>
      </c>
      <c r="C5" s="39" t="s">
        <v>476</v>
      </c>
    </row>
    <row r="6" spans="1:4">
      <c r="A6" t="s">
        <v>496</v>
      </c>
      <c r="B6" s="42" t="s">
        <v>495</v>
      </c>
      <c r="C6" s="39" t="s">
        <v>476</v>
      </c>
    </row>
    <row r="7" spans="1:4">
      <c r="A7" t="s">
        <v>442</v>
      </c>
      <c r="B7" s="41" t="s">
        <v>479</v>
      </c>
      <c r="C7" s="39" t="s">
        <v>476</v>
      </c>
    </row>
    <row r="8" spans="1:4">
      <c r="A8" t="s">
        <v>498</v>
      </c>
      <c r="B8" s="42" t="s">
        <v>497</v>
      </c>
      <c r="C8" s="39" t="s">
        <v>476</v>
      </c>
    </row>
    <row r="9" spans="1:4">
      <c r="A9" t="s">
        <v>480</v>
      </c>
      <c r="B9" s="42" t="s">
        <v>481</v>
      </c>
      <c r="C9" s="39" t="s">
        <v>476</v>
      </c>
    </row>
    <row r="10" spans="1:4">
      <c r="A10" t="s">
        <v>499</v>
      </c>
      <c r="B10" s="41" t="s">
        <v>481</v>
      </c>
      <c r="C10" s="39" t="s">
        <v>476</v>
      </c>
    </row>
    <row r="11" spans="1:4">
      <c r="A11" t="s">
        <v>500</v>
      </c>
      <c r="B11" s="41" t="s">
        <v>482</v>
      </c>
      <c r="C11" s="39" t="s">
        <v>476</v>
      </c>
    </row>
    <row r="12" spans="1:4">
      <c r="A12" t="s">
        <v>502</v>
      </c>
      <c r="B12" s="41" t="s">
        <v>501</v>
      </c>
      <c r="C12" s="39" t="s">
        <v>476</v>
      </c>
    </row>
    <row r="13" spans="1:4">
      <c r="A13" s="42" t="s">
        <v>503</v>
      </c>
      <c r="B13" s="42" t="s">
        <v>504</v>
      </c>
      <c r="C13" s="39" t="s">
        <v>476</v>
      </c>
    </row>
    <row r="14" spans="1:4">
      <c r="A14" t="s">
        <v>384</v>
      </c>
      <c r="B14" s="42" t="s">
        <v>113</v>
      </c>
      <c r="C14" s="39" t="s">
        <v>476</v>
      </c>
    </row>
    <row r="15" spans="1:4">
      <c r="A15" s="42" t="s">
        <v>505</v>
      </c>
      <c r="B15" s="42" t="s">
        <v>483</v>
      </c>
      <c r="C15" s="39" t="s">
        <v>476</v>
      </c>
    </row>
    <row r="16" spans="1:4">
      <c r="A16" s="43" t="s">
        <v>506</v>
      </c>
      <c r="B16" s="42" t="s">
        <v>483</v>
      </c>
      <c r="C16" s="39" t="s">
        <v>476</v>
      </c>
    </row>
    <row r="17" spans="1:3">
      <c r="A17" t="s">
        <v>388</v>
      </c>
      <c r="B17" s="42" t="s">
        <v>93</v>
      </c>
      <c r="C17" s="39" t="s">
        <v>476</v>
      </c>
    </row>
    <row r="18" spans="1:3">
      <c r="A18" s="42" t="s">
        <v>509</v>
      </c>
      <c r="B18" s="44" t="s">
        <v>508</v>
      </c>
      <c r="C18" s="39" t="s">
        <v>476</v>
      </c>
    </row>
    <row r="19" spans="1:3">
      <c r="A19" s="42" t="s">
        <v>511</v>
      </c>
      <c r="B19" s="42" t="s">
        <v>510</v>
      </c>
      <c r="C19" s="39" t="s">
        <v>476</v>
      </c>
    </row>
    <row r="20" spans="1:3">
      <c r="A20" s="42" t="s">
        <v>512</v>
      </c>
      <c r="B20" s="44" t="s">
        <v>161</v>
      </c>
      <c r="C20" s="39" t="s">
        <v>476</v>
      </c>
    </row>
    <row r="21" spans="1:3">
      <c r="A21" s="42" t="s">
        <v>515</v>
      </c>
      <c r="B21" s="45" t="s">
        <v>514</v>
      </c>
      <c r="C21" s="39" t="s">
        <v>476</v>
      </c>
    </row>
    <row r="22" spans="1:3">
      <c r="A22" s="42" t="s">
        <v>516</v>
      </c>
      <c r="B22" s="46" t="s">
        <v>484</v>
      </c>
      <c r="C22" s="39" t="s">
        <v>476</v>
      </c>
    </row>
    <row r="23" spans="1:3">
      <c r="A23" s="42" t="s">
        <v>517</v>
      </c>
      <c r="B23" s="44" t="s">
        <v>484</v>
      </c>
      <c r="C23" s="39" t="s">
        <v>476</v>
      </c>
    </row>
    <row r="24" spans="1:3">
      <c r="A24" t="s">
        <v>519</v>
      </c>
      <c r="B24" s="44" t="s">
        <v>485</v>
      </c>
      <c r="C24" s="39" t="s">
        <v>476</v>
      </c>
    </row>
    <row r="25" spans="1:3">
      <c r="A25" s="42" t="s">
        <v>486</v>
      </c>
      <c r="B25" s="44" t="s">
        <v>485</v>
      </c>
      <c r="C25" s="39" t="s">
        <v>476</v>
      </c>
    </row>
    <row r="26" spans="1:3">
      <c r="A26" t="s">
        <v>415</v>
      </c>
      <c r="B26" s="44" t="s">
        <v>520</v>
      </c>
      <c r="C26" s="39" t="s">
        <v>476</v>
      </c>
    </row>
    <row r="27" spans="1:3">
      <c r="A27" s="42"/>
      <c r="B27" s="44"/>
      <c r="C27" s="39"/>
    </row>
    <row r="28" spans="1:3">
      <c r="A28" s="47"/>
      <c r="B28" s="44"/>
      <c r="C28" s="39"/>
    </row>
    <row r="29" spans="1:3">
      <c r="A29" s="47"/>
      <c r="B29" s="44"/>
      <c r="C29" s="39"/>
    </row>
    <row r="30" spans="1:3">
      <c r="A30" s="47"/>
      <c r="B30" s="44"/>
      <c r="C30" s="39"/>
    </row>
    <row r="31" spans="1:3">
      <c r="A31" s="47"/>
      <c r="B31" s="44"/>
      <c r="C31" s="39"/>
    </row>
    <row r="32" spans="1:3">
      <c r="A32" s="43"/>
      <c r="B32" s="44"/>
      <c r="C32" s="39"/>
    </row>
    <row r="33" spans="1:3">
      <c r="A33" s="44"/>
      <c r="B33" s="44"/>
      <c r="C33" s="39"/>
    </row>
    <row r="34" spans="1:3">
      <c r="A34" s="48"/>
      <c r="B34" s="44"/>
      <c r="C34" s="39"/>
    </row>
    <row r="35" spans="1:3">
      <c r="A35" s="48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6"/>
      <c r="B38" s="44"/>
      <c r="C38" s="39"/>
    </row>
    <row r="39" spans="1:3">
      <c r="A39" s="46"/>
      <c r="B39" s="44"/>
      <c r="C39" s="39"/>
    </row>
    <row r="40" spans="1:3">
      <c r="A40"/>
      <c r="B40" s="44"/>
      <c r="C40" s="39"/>
    </row>
    <row r="41" spans="1:3">
      <c r="A41" s="46"/>
      <c r="B41" s="44"/>
      <c r="C41" s="39"/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10" workbookViewId="0">
      <selection activeCell="A30" sqref="A30"/>
    </sheetView>
  </sheetViews>
  <sheetFormatPr defaultRowHeight="12.75"/>
  <cols>
    <col min="1" max="4" width="25.7109375" customWidth="1"/>
  </cols>
  <sheetData>
    <row r="1" spans="1:6">
      <c r="E1">
        <v>2018</v>
      </c>
      <c r="F1">
        <v>2017</v>
      </c>
    </row>
    <row r="2" spans="1:6">
      <c r="A2" t="s">
        <v>374</v>
      </c>
    </row>
    <row r="3" spans="1:6">
      <c r="A3" t="s">
        <v>375</v>
      </c>
      <c r="B3" t="s">
        <v>116</v>
      </c>
      <c r="C3" t="s">
        <v>116</v>
      </c>
      <c r="D3" t="s">
        <v>116</v>
      </c>
    </row>
    <row r="4" spans="1:6">
      <c r="A4" t="s">
        <v>376</v>
      </c>
      <c r="B4" t="s">
        <v>117</v>
      </c>
      <c r="C4" t="s">
        <v>117</v>
      </c>
      <c r="D4" t="s">
        <v>116</v>
      </c>
      <c r="E4">
        <v>4611384</v>
      </c>
      <c r="F4">
        <v>2325650</v>
      </c>
    </row>
    <row r="5" spans="1:6">
      <c r="A5" t="s">
        <v>377</v>
      </c>
      <c r="B5" t="s">
        <v>352</v>
      </c>
      <c r="C5" t="s">
        <v>137</v>
      </c>
      <c r="D5" t="s">
        <v>116</v>
      </c>
      <c r="E5">
        <v>9914297</v>
      </c>
      <c r="F5">
        <v>13441802</v>
      </c>
    </row>
    <row r="6" spans="1:6">
      <c r="A6" t="s">
        <v>378</v>
      </c>
      <c r="B6" t="s">
        <v>126</v>
      </c>
      <c r="C6" t="s">
        <v>126</v>
      </c>
      <c r="D6" t="s">
        <v>116</v>
      </c>
      <c r="E6">
        <v>15271106</v>
      </c>
      <c r="F6">
        <v>16310572</v>
      </c>
    </row>
    <row r="7" spans="1:6">
      <c r="A7" t="s">
        <v>379</v>
      </c>
      <c r="D7" t="s">
        <v>116</v>
      </c>
      <c r="F7">
        <v>171350</v>
      </c>
    </row>
    <row r="8" spans="1:6">
      <c r="A8" t="s">
        <v>380</v>
      </c>
      <c r="B8" t="s">
        <v>134</v>
      </c>
      <c r="C8" t="s">
        <v>134</v>
      </c>
      <c r="D8" t="s">
        <v>116</v>
      </c>
      <c r="E8">
        <v>578861</v>
      </c>
      <c r="F8">
        <v>593825</v>
      </c>
    </row>
    <row r="9" spans="1:6">
      <c r="A9" t="s">
        <v>381</v>
      </c>
      <c r="B9" t="s">
        <v>100</v>
      </c>
      <c r="C9" t="s">
        <v>100</v>
      </c>
      <c r="D9" t="s">
        <v>80</v>
      </c>
      <c r="E9">
        <v>383206</v>
      </c>
      <c r="F9">
        <v>472814</v>
      </c>
    </row>
    <row r="10" spans="1:6">
      <c r="A10" t="s">
        <v>382</v>
      </c>
      <c r="B10" t="s">
        <v>12</v>
      </c>
      <c r="C10" t="s">
        <v>12</v>
      </c>
      <c r="D10" t="s">
        <v>116</v>
      </c>
      <c r="E10">
        <v>30758854</v>
      </c>
      <c r="F10">
        <v>33316013</v>
      </c>
    </row>
    <row r="11" spans="1:6">
      <c r="A11" t="s">
        <v>383</v>
      </c>
      <c r="D11" t="s">
        <v>116</v>
      </c>
      <c r="E11">
        <v>2350208</v>
      </c>
      <c r="F11">
        <v>2439338</v>
      </c>
    </row>
    <row r="12" spans="1:6">
      <c r="A12" t="s">
        <v>384</v>
      </c>
      <c r="D12" t="s">
        <v>116</v>
      </c>
      <c r="E12">
        <v>576125</v>
      </c>
      <c r="F12">
        <v>367750</v>
      </c>
    </row>
    <row r="13" spans="1:6">
      <c r="A13" t="s">
        <v>385</v>
      </c>
      <c r="D13" t="s">
        <v>116</v>
      </c>
      <c r="E13">
        <v>1488000</v>
      </c>
      <c r="F13">
        <v>820000</v>
      </c>
    </row>
    <row r="14" spans="1:6">
      <c r="A14" t="s">
        <v>386</v>
      </c>
      <c r="B14" t="s">
        <v>387</v>
      </c>
      <c r="C14" t="s">
        <v>92</v>
      </c>
      <c r="D14" t="s">
        <v>80</v>
      </c>
      <c r="E14">
        <v>331124</v>
      </c>
      <c r="F14">
        <v>331124</v>
      </c>
    </row>
    <row r="15" spans="1:6">
      <c r="A15" t="s">
        <v>388</v>
      </c>
      <c r="B15" t="s">
        <v>387</v>
      </c>
      <c r="C15" t="s">
        <v>92</v>
      </c>
      <c r="D15" t="s">
        <v>80</v>
      </c>
      <c r="E15">
        <v>89100</v>
      </c>
    </row>
    <row r="16" spans="1:6">
      <c r="A16" t="s">
        <v>389</v>
      </c>
      <c r="B16" t="s">
        <v>389</v>
      </c>
      <c r="C16" t="s">
        <v>91</v>
      </c>
      <c r="D16" t="s">
        <v>80</v>
      </c>
      <c r="E16">
        <v>2157661</v>
      </c>
      <c r="F16">
        <v>1794265</v>
      </c>
    </row>
    <row r="17" spans="1:6">
      <c r="A17" t="s">
        <v>390</v>
      </c>
      <c r="B17" t="s">
        <v>103</v>
      </c>
      <c r="C17" t="s">
        <v>103</v>
      </c>
      <c r="D17" t="s">
        <v>80</v>
      </c>
      <c r="E17">
        <v>89776</v>
      </c>
      <c r="F17">
        <v>94643</v>
      </c>
    </row>
    <row r="18" spans="1:6">
      <c r="A18" t="s">
        <v>391</v>
      </c>
      <c r="B18" t="s">
        <v>101</v>
      </c>
      <c r="C18" t="s">
        <v>101</v>
      </c>
      <c r="D18" t="s">
        <v>80</v>
      </c>
      <c r="E18">
        <v>440325</v>
      </c>
      <c r="F18">
        <v>339748</v>
      </c>
    </row>
    <row r="19" spans="1:6">
      <c r="A19" t="s">
        <v>392</v>
      </c>
      <c r="B19" t="s">
        <v>103</v>
      </c>
      <c r="C19" t="s">
        <v>103</v>
      </c>
      <c r="D19" t="s">
        <v>80</v>
      </c>
      <c r="E19">
        <v>552904</v>
      </c>
      <c r="F19">
        <v>497529</v>
      </c>
    </row>
    <row r="20" spans="1:6">
      <c r="A20" t="s">
        <v>393</v>
      </c>
      <c r="D20" t="s">
        <v>80</v>
      </c>
      <c r="E20">
        <v>38834077</v>
      </c>
      <c r="F20">
        <v>40000410</v>
      </c>
    </row>
    <row r="21" spans="1:6">
      <c r="A21" t="s">
        <v>394</v>
      </c>
      <c r="D21" t="s">
        <v>80</v>
      </c>
    </row>
    <row r="22" spans="1:6">
      <c r="A22" t="s">
        <v>395</v>
      </c>
      <c r="B22" t="s">
        <v>141</v>
      </c>
      <c r="C22" t="s">
        <v>141</v>
      </c>
      <c r="D22" t="s">
        <v>141</v>
      </c>
    </row>
    <row r="23" spans="1:6">
      <c r="A23" t="s">
        <v>396</v>
      </c>
      <c r="B23" t="s">
        <v>397</v>
      </c>
      <c r="C23" t="s">
        <v>161</v>
      </c>
      <c r="D23" t="s">
        <v>141</v>
      </c>
      <c r="E23">
        <v>4833548</v>
      </c>
      <c r="F23">
        <v>4430626</v>
      </c>
    </row>
    <row r="24" spans="1:6">
      <c r="A24" t="s">
        <v>398</v>
      </c>
      <c r="B24" t="s">
        <v>399</v>
      </c>
      <c r="C24" t="s">
        <v>147</v>
      </c>
      <c r="D24" t="s">
        <v>141</v>
      </c>
      <c r="E24">
        <v>6260014</v>
      </c>
      <c r="F24">
        <v>8407527</v>
      </c>
    </row>
    <row r="25" spans="1:6">
      <c r="A25" t="s">
        <v>400</v>
      </c>
      <c r="D25" t="s">
        <v>141</v>
      </c>
      <c r="E25">
        <v>22046</v>
      </c>
      <c r="F25">
        <v>210862</v>
      </c>
    </row>
    <row r="26" spans="1:6">
      <c r="A26" t="s">
        <v>401</v>
      </c>
      <c r="B26" t="s">
        <v>150</v>
      </c>
      <c r="C26" t="s">
        <v>150</v>
      </c>
      <c r="D26" t="s">
        <v>141</v>
      </c>
      <c r="E26">
        <v>70255</v>
      </c>
    </row>
    <row r="27" spans="1:6">
      <c r="A27" t="s">
        <v>402</v>
      </c>
      <c r="B27" t="s">
        <v>159</v>
      </c>
      <c r="C27" t="s">
        <v>159</v>
      </c>
      <c r="D27" t="s">
        <v>141</v>
      </c>
      <c r="E27">
        <v>1505</v>
      </c>
      <c r="F27">
        <v>1346</v>
      </c>
    </row>
    <row r="28" spans="1:6">
      <c r="A28" t="s">
        <v>403</v>
      </c>
      <c r="B28" t="s">
        <v>13</v>
      </c>
      <c r="C28" t="s">
        <v>13</v>
      </c>
      <c r="D28" t="s">
        <v>141</v>
      </c>
      <c r="E28">
        <v>11187368</v>
      </c>
      <c r="F28">
        <v>13050361</v>
      </c>
    </row>
    <row r="29" spans="1:6">
      <c r="A29" t="s">
        <v>404</v>
      </c>
      <c r="B29" t="s">
        <v>178</v>
      </c>
      <c r="C29" t="s">
        <v>178</v>
      </c>
      <c r="D29" t="s">
        <v>165</v>
      </c>
      <c r="E29">
        <v>882022</v>
      </c>
      <c r="F29">
        <v>629680</v>
      </c>
    </row>
    <row r="30" spans="1:6">
      <c r="A30" t="s">
        <v>405</v>
      </c>
      <c r="B30" t="s">
        <v>397</v>
      </c>
      <c r="C30" t="s">
        <v>161</v>
      </c>
      <c r="D30" t="s">
        <v>141</v>
      </c>
      <c r="E30">
        <v>242143</v>
      </c>
      <c r="F30">
        <v>240379</v>
      </c>
    </row>
    <row r="31" spans="1:6">
      <c r="A31" t="s">
        <v>406</v>
      </c>
      <c r="D31" t="s">
        <v>141</v>
      </c>
      <c r="E31">
        <v>532726</v>
      </c>
      <c r="F31">
        <v>488529</v>
      </c>
    </row>
    <row r="32" spans="1:6">
      <c r="A32" t="s">
        <v>407</v>
      </c>
      <c r="B32" t="s">
        <v>164</v>
      </c>
      <c r="C32" t="s">
        <v>164</v>
      </c>
      <c r="D32" t="s">
        <v>141</v>
      </c>
      <c r="E32">
        <v>12844259</v>
      </c>
      <c r="F32">
        <v>14408949</v>
      </c>
    </row>
    <row r="33" spans="1:6">
      <c r="A33" t="s">
        <v>408</v>
      </c>
      <c r="B33" t="s">
        <v>180</v>
      </c>
      <c r="C33" t="s">
        <v>180</v>
      </c>
      <c r="D33" t="s">
        <v>165</v>
      </c>
    </row>
    <row r="34" spans="1:6">
      <c r="A34" t="s">
        <v>409</v>
      </c>
      <c r="B34" t="s">
        <v>181</v>
      </c>
      <c r="C34" t="s">
        <v>181</v>
      </c>
      <c r="D34" t="s">
        <v>141</v>
      </c>
    </row>
    <row r="35" spans="1:6">
      <c r="A35" t="s">
        <v>410</v>
      </c>
      <c r="D35" t="s">
        <v>141</v>
      </c>
    </row>
    <row r="36" spans="1:6">
      <c r="A36" t="s">
        <v>411</v>
      </c>
      <c r="D36" t="s">
        <v>141</v>
      </c>
    </row>
    <row r="37" spans="1:6">
      <c r="A37" t="s">
        <v>412</v>
      </c>
      <c r="B37" t="s">
        <v>182</v>
      </c>
      <c r="C37" t="s">
        <v>182</v>
      </c>
      <c r="D37" t="s">
        <v>181</v>
      </c>
      <c r="E37">
        <v>6494</v>
      </c>
      <c r="F37">
        <v>6494</v>
      </c>
    </row>
    <row r="38" spans="1:6">
      <c r="A38" t="s">
        <v>413</v>
      </c>
      <c r="B38" t="s">
        <v>182</v>
      </c>
      <c r="C38" t="s">
        <v>182</v>
      </c>
      <c r="D38" t="s">
        <v>181</v>
      </c>
      <c r="E38">
        <v>16104075</v>
      </c>
      <c r="F38">
        <v>16104075</v>
      </c>
    </row>
    <row r="39" spans="1:6">
      <c r="A39" t="s">
        <v>414</v>
      </c>
      <c r="B39" t="s">
        <v>187</v>
      </c>
      <c r="C39" t="s">
        <v>187</v>
      </c>
      <c r="D39" t="s">
        <v>181</v>
      </c>
      <c r="E39">
        <v>13404767</v>
      </c>
      <c r="F39">
        <v>12345490</v>
      </c>
    </row>
    <row r="40" spans="1:6">
      <c r="A40" t="s">
        <v>415</v>
      </c>
      <c r="D40" t="s">
        <v>181</v>
      </c>
      <c r="E40">
        <v>-4633560</v>
      </c>
      <c r="F40">
        <v>-3504510</v>
      </c>
    </row>
    <row r="41" spans="1:6">
      <c r="A41" t="s">
        <v>416</v>
      </c>
      <c r="D41" t="s">
        <v>181</v>
      </c>
      <c r="E41">
        <v>24881776</v>
      </c>
      <c r="F41">
        <v>24951549</v>
      </c>
    </row>
    <row r="42" spans="1:6">
      <c r="A42" t="s">
        <v>417</v>
      </c>
      <c r="B42" t="s">
        <v>67</v>
      </c>
      <c r="C42" t="s">
        <v>67</v>
      </c>
      <c r="D42" t="s">
        <v>181</v>
      </c>
      <c r="E42">
        <v>1108042</v>
      </c>
      <c r="F42">
        <v>639912</v>
      </c>
    </row>
    <row r="43" spans="1:6">
      <c r="A43" t="s">
        <v>418</v>
      </c>
      <c r="B43" t="s">
        <v>195</v>
      </c>
      <c r="C43" t="s">
        <v>195</v>
      </c>
      <c r="D43" t="s">
        <v>181</v>
      </c>
      <c r="E43">
        <v>25989818</v>
      </c>
      <c r="F43">
        <v>25591461</v>
      </c>
    </row>
    <row r="44" spans="1:6">
      <c r="A44" t="s">
        <v>419</v>
      </c>
      <c r="D44" t="s">
        <v>181</v>
      </c>
      <c r="E44">
        <v>38834077</v>
      </c>
      <c r="F44">
        <v>40000410</v>
      </c>
    </row>
    <row r="45" spans="1:6">
      <c r="A45" t="s">
        <v>420</v>
      </c>
      <c r="D45" t="s">
        <v>181</v>
      </c>
    </row>
    <row r="46" spans="1:6">
      <c r="A46" t="s">
        <v>421</v>
      </c>
      <c r="D46" t="s">
        <v>181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workbookViewId="0"/>
  </sheetViews>
  <sheetFormatPr defaultRowHeight="12.75"/>
  <cols>
    <col min="1" max="4" width="25.7109375" customWidth="1"/>
  </cols>
  <sheetData>
    <row r="3" spans="1:6">
      <c r="E3">
        <v>2018</v>
      </c>
      <c r="F3">
        <v>2017</v>
      </c>
    </row>
    <row r="4" spans="1:6">
      <c r="A4" t="s">
        <v>422</v>
      </c>
      <c r="B4" t="s">
        <v>423</v>
      </c>
      <c r="C4" t="s">
        <v>26</v>
      </c>
      <c r="D4" t="s">
        <v>424</v>
      </c>
      <c r="E4">
        <v>90655294</v>
      </c>
      <c r="F4">
        <v>77127595</v>
      </c>
    </row>
    <row r="5" spans="1:6">
      <c r="A5" t="s">
        <v>425</v>
      </c>
      <c r="B5" t="s">
        <v>27</v>
      </c>
      <c r="C5" t="s">
        <v>27</v>
      </c>
      <c r="D5" t="s">
        <v>424</v>
      </c>
      <c r="E5">
        <v>75040802</v>
      </c>
      <c r="F5">
        <v>64977632</v>
      </c>
    </row>
    <row r="6" spans="1:6">
      <c r="A6" t="s">
        <v>426</v>
      </c>
      <c r="B6" t="s">
        <v>427</v>
      </c>
      <c r="C6" t="s">
        <v>32</v>
      </c>
      <c r="D6" t="s">
        <v>424</v>
      </c>
      <c r="E6">
        <v>15614492</v>
      </c>
      <c r="F6">
        <v>12149963</v>
      </c>
    </row>
    <row r="7" spans="1:6">
      <c r="A7" t="s">
        <v>428</v>
      </c>
      <c r="B7" t="s">
        <v>58</v>
      </c>
      <c r="C7" t="s">
        <v>58</v>
      </c>
      <c r="D7" t="s">
        <v>424</v>
      </c>
    </row>
    <row r="8" spans="1:6">
      <c r="A8" t="s">
        <v>429</v>
      </c>
      <c r="D8" t="s">
        <v>424</v>
      </c>
      <c r="E8">
        <v>12532329</v>
      </c>
      <c r="F8">
        <v>10228506</v>
      </c>
    </row>
    <row r="9" spans="1:6">
      <c r="A9" t="s">
        <v>430</v>
      </c>
      <c r="D9" t="s">
        <v>424</v>
      </c>
      <c r="E9">
        <v>681000</v>
      </c>
      <c r="F9">
        <v>698740</v>
      </c>
    </row>
    <row r="10" spans="1:6">
      <c r="A10" t="s">
        <v>431</v>
      </c>
      <c r="D10" t="s">
        <v>424</v>
      </c>
      <c r="E10">
        <v>13213329</v>
      </c>
      <c r="F10">
        <v>10927246</v>
      </c>
    </row>
    <row r="11" spans="1:6">
      <c r="A11" t="s">
        <v>432</v>
      </c>
      <c r="B11" t="s">
        <v>424</v>
      </c>
      <c r="C11" t="s">
        <v>26</v>
      </c>
      <c r="D11" t="s">
        <v>424</v>
      </c>
      <c r="E11">
        <v>2401163</v>
      </c>
      <c r="F11">
        <v>1222717</v>
      </c>
    </row>
    <row r="12" spans="1:6">
      <c r="A12" t="s">
        <v>433</v>
      </c>
      <c r="B12" t="s">
        <v>56</v>
      </c>
      <c r="C12" t="s">
        <v>56</v>
      </c>
      <c r="D12" t="s">
        <v>424</v>
      </c>
    </row>
    <row r="13" spans="1:6">
      <c r="A13" t="s">
        <v>434</v>
      </c>
      <c r="B13" t="s">
        <v>54</v>
      </c>
      <c r="C13" t="s">
        <v>54</v>
      </c>
      <c r="D13" t="s">
        <v>424</v>
      </c>
      <c r="E13">
        <v>13347</v>
      </c>
      <c r="F13">
        <v>19436</v>
      </c>
    </row>
    <row r="14" spans="1:6">
      <c r="A14" t="s">
        <v>435</v>
      </c>
      <c r="D14" t="s">
        <v>424</v>
      </c>
      <c r="E14">
        <v>-4867</v>
      </c>
      <c r="F14">
        <v>-956</v>
      </c>
    </row>
    <row r="15" spans="1:6">
      <c r="A15" t="s">
        <v>436</v>
      </c>
      <c r="B15" t="s">
        <v>51</v>
      </c>
      <c r="C15" t="s">
        <v>51</v>
      </c>
      <c r="D15" t="s">
        <v>424</v>
      </c>
      <c r="E15">
        <v>-370705</v>
      </c>
      <c r="F15">
        <v>-264261</v>
      </c>
    </row>
    <row r="16" spans="1:6">
      <c r="A16" t="s">
        <v>431</v>
      </c>
      <c r="D16" t="s">
        <v>424</v>
      </c>
      <c r="E16">
        <v>-362225</v>
      </c>
      <c r="F16">
        <v>-245781</v>
      </c>
    </row>
    <row r="17" spans="1:6">
      <c r="A17" t="s">
        <v>437</v>
      </c>
      <c r="B17" t="s">
        <v>438</v>
      </c>
      <c r="C17" t="s">
        <v>61</v>
      </c>
      <c r="D17" t="s">
        <v>424</v>
      </c>
    </row>
    <row r="18" spans="1:6">
      <c r="A18" t="s">
        <v>439</v>
      </c>
      <c r="D18" t="s">
        <v>424</v>
      </c>
      <c r="E18">
        <v>2038938</v>
      </c>
      <c r="F18">
        <v>976936</v>
      </c>
    </row>
    <row r="19" spans="1:6">
      <c r="A19" t="s">
        <v>440</v>
      </c>
      <c r="B19" t="s">
        <v>62</v>
      </c>
      <c r="C19" t="s">
        <v>62</v>
      </c>
      <c r="D19" t="s">
        <v>424</v>
      </c>
      <c r="E19">
        <v>511532</v>
      </c>
      <c r="F19">
        <v>244096</v>
      </c>
    </row>
    <row r="20" spans="1:6">
      <c r="A20" t="s">
        <v>441</v>
      </c>
      <c r="D20" t="s">
        <v>424</v>
      </c>
      <c r="E20">
        <v>1527406</v>
      </c>
      <c r="F20">
        <v>732840</v>
      </c>
    </row>
    <row r="21" spans="1:6">
      <c r="A21" t="s">
        <v>442</v>
      </c>
      <c r="B21" t="s">
        <v>67</v>
      </c>
      <c r="C21" t="s">
        <v>67</v>
      </c>
      <c r="D21" t="s">
        <v>424</v>
      </c>
      <c r="E21">
        <v>-468130</v>
      </c>
      <c r="F21">
        <v>-265578</v>
      </c>
    </row>
    <row r="22" spans="1:6">
      <c r="A22" t="s">
        <v>443</v>
      </c>
      <c r="B22" t="s">
        <v>67</v>
      </c>
      <c r="C22" t="s">
        <v>67</v>
      </c>
      <c r="D22" t="s">
        <v>424</v>
      </c>
      <c r="E22">
        <v>1059276</v>
      </c>
      <c r="F22">
        <v>467262</v>
      </c>
    </row>
    <row r="23" spans="1:6">
      <c r="A23" t="s">
        <v>444</v>
      </c>
      <c r="D23" t="s">
        <v>424</v>
      </c>
      <c r="E23">
        <v>19</v>
      </c>
      <c r="F23">
        <v>8</v>
      </c>
    </row>
    <row r="24" spans="1:6">
      <c r="A24" t="s">
        <v>445</v>
      </c>
      <c r="D24" t="s">
        <v>424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2.75"/>
  <cols>
    <col min="1" max="4" width="25.7109375" customWidth="1"/>
  </cols>
  <sheetData>
    <row r="1" spans="1:6">
      <c r="E1">
        <v>2018</v>
      </c>
      <c r="F1">
        <v>2017</v>
      </c>
    </row>
    <row r="2" spans="1:6">
      <c r="A2" t="s">
        <v>446</v>
      </c>
      <c r="B2" t="s">
        <v>231</v>
      </c>
      <c r="C2" t="s">
        <v>231</v>
      </c>
      <c r="D2" t="s">
        <v>447</v>
      </c>
    </row>
    <row r="3" spans="1:6">
      <c r="A3" t="s">
        <v>448</v>
      </c>
      <c r="B3" t="s">
        <v>232</v>
      </c>
      <c r="C3" t="s">
        <v>232</v>
      </c>
      <c r="D3" t="s">
        <v>447</v>
      </c>
      <c r="E3">
        <v>1527406</v>
      </c>
      <c r="F3">
        <v>732840</v>
      </c>
    </row>
    <row r="4" spans="1:6">
      <c r="A4" t="s">
        <v>449</v>
      </c>
    </row>
    <row r="5" spans="1:6">
      <c r="A5" t="s">
        <v>450</v>
      </c>
      <c r="B5" t="s">
        <v>236</v>
      </c>
      <c r="C5" t="s">
        <v>236</v>
      </c>
      <c r="D5" t="s">
        <v>447</v>
      </c>
      <c r="E5">
        <v>740454</v>
      </c>
      <c r="F5">
        <v>762043</v>
      </c>
    </row>
    <row r="6" spans="1:6">
      <c r="A6" t="s">
        <v>451</v>
      </c>
      <c r="E6">
        <v>-188816</v>
      </c>
      <c r="F6">
        <v>345584</v>
      </c>
    </row>
    <row r="7" spans="1:6">
      <c r="A7" t="s">
        <v>452</v>
      </c>
      <c r="E7">
        <v>4867</v>
      </c>
      <c r="F7">
        <v>955</v>
      </c>
    </row>
    <row r="8" spans="1:6">
      <c r="A8" t="s">
        <v>453</v>
      </c>
      <c r="E8">
        <v>1764</v>
      </c>
      <c r="F8">
        <v>9163</v>
      </c>
    </row>
    <row r="9" spans="1:6">
      <c r="A9" t="s">
        <v>454</v>
      </c>
      <c r="B9" t="s">
        <v>269</v>
      </c>
      <c r="C9" t="s">
        <v>269</v>
      </c>
      <c r="E9">
        <v>151765</v>
      </c>
      <c r="F9">
        <v>-183975</v>
      </c>
    </row>
    <row r="10" spans="1:6">
      <c r="A10" t="s">
        <v>455</v>
      </c>
      <c r="B10" t="s">
        <v>251</v>
      </c>
      <c r="C10" t="s">
        <v>251</v>
      </c>
      <c r="D10" t="s">
        <v>447</v>
      </c>
    </row>
    <row r="11" spans="1:6">
      <c r="A11" t="s">
        <v>456</v>
      </c>
      <c r="B11" t="s">
        <v>265</v>
      </c>
      <c r="C11" t="s">
        <v>265</v>
      </c>
      <c r="D11" t="s">
        <v>447</v>
      </c>
      <c r="E11">
        <v>3613947</v>
      </c>
      <c r="F11">
        <v>661008</v>
      </c>
    </row>
    <row r="12" spans="1:6">
      <c r="A12" t="s">
        <v>378</v>
      </c>
      <c r="B12" t="s">
        <v>261</v>
      </c>
      <c r="C12" t="s">
        <v>261</v>
      </c>
      <c r="D12" t="s">
        <v>447</v>
      </c>
      <c r="E12">
        <v>2155487</v>
      </c>
      <c r="F12">
        <v>-917376</v>
      </c>
    </row>
    <row r="13" spans="1:6">
      <c r="A13" t="s">
        <v>380</v>
      </c>
      <c r="B13" t="s">
        <v>264</v>
      </c>
      <c r="C13" t="s">
        <v>264</v>
      </c>
      <c r="D13" t="s">
        <v>447</v>
      </c>
      <c r="E13">
        <v>43877</v>
      </c>
      <c r="F13">
        <v>-25688</v>
      </c>
    </row>
    <row r="14" spans="1:6">
      <c r="A14" t="s">
        <v>379</v>
      </c>
      <c r="D14" t="s">
        <v>447</v>
      </c>
      <c r="E14">
        <v>171350</v>
      </c>
      <c r="F14">
        <v>264227</v>
      </c>
    </row>
    <row r="15" spans="1:6">
      <c r="A15" t="s">
        <v>381</v>
      </c>
      <c r="B15" t="s">
        <v>457</v>
      </c>
      <c r="C15" t="s">
        <v>247</v>
      </c>
      <c r="D15" t="s">
        <v>447</v>
      </c>
      <c r="E15">
        <v>89608</v>
      </c>
      <c r="F15">
        <v>9163</v>
      </c>
    </row>
    <row r="16" spans="1:6">
      <c r="A16" t="s">
        <v>396</v>
      </c>
      <c r="B16" t="s">
        <v>273</v>
      </c>
      <c r="C16" t="s">
        <v>273</v>
      </c>
      <c r="D16" t="s">
        <v>447</v>
      </c>
      <c r="E16">
        <v>392713</v>
      </c>
      <c r="F16">
        <v>-258827</v>
      </c>
    </row>
    <row r="17" spans="1:6">
      <c r="A17" t="s">
        <v>392</v>
      </c>
      <c r="B17" t="s">
        <v>266</v>
      </c>
      <c r="C17" t="s">
        <v>266</v>
      </c>
      <c r="D17" t="s">
        <v>447</v>
      </c>
      <c r="E17">
        <v>-11178</v>
      </c>
      <c r="F17">
        <v>77220</v>
      </c>
    </row>
    <row r="18" spans="1:6">
      <c r="A18" t="s">
        <v>402</v>
      </c>
      <c r="B18" t="s">
        <v>457</v>
      </c>
      <c r="C18" t="s">
        <v>247</v>
      </c>
      <c r="D18" t="s">
        <v>447</v>
      </c>
      <c r="E18">
        <v>159</v>
      </c>
      <c r="F18">
        <v>296</v>
      </c>
    </row>
    <row r="19" spans="1:6">
      <c r="A19" t="s">
        <v>458</v>
      </c>
      <c r="B19" t="s">
        <v>285</v>
      </c>
      <c r="C19" t="s">
        <v>285</v>
      </c>
      <c r="D19" t="s">
        <v>447</v>
      </c>
      <c r="E19">
        <v>8693403</v>
      </c>
      <c r="F19">
        <v>1476633</v>
      </c>
    </row>
    <row r="20" spans="1:6">
      <c r="A20" t="s">
        <v>459</v>
      </c>
      <c r="B20" t="s">
        <v>286</v>
      </c>
      <c r="C20" t="s">
        <v>286</v>
      </c>
      <c r="D20" t="s">
        <v>460</v>
      </c>
    </row>
    <row r="21" spans="1:6">
      <c r="A21" t="s">
        <v>461</v>
      </c>
      <c r="B21" t="s">
        <v>290</v>
      </c>
      <c r="C21" t="s">
        <v>290</v>
      </c>
      <c r="D21" t="s">
        <v>460</v>
      </c>
      <c r="E21">
        <v>-2677335</v>
      </c>
      <c r="F21">
        <v>-2893275</v>
      </c>
    </row>
    <row r="22" spans="1:6">
      <c r="A22" t="s">
        <v>462</v>
      </c>
      <c r="B22" t="s">
        <v>287</v>
      </c>
      <c r="C22" t="s">
        <v>287</v>
      </c>
      <c r="D22" t="s">
        <v>460</v>
      </c>
      <c r="E22">
        <v>-383516</v>
      </c>
      <c r="F22">
        <v>-679921</v>
      </c>
    </row>
    <row r="23" spans="1:6">
      <c r="A23" t="s">
        <v>463</v>
      </c>
      <c r="B23" t="s">
        <v>296</v>
      </c>
      <c r="C23" t="s">
        <v>296</v>
      </c>
      <c r="D23" t="s">
        <v>460</v>
      </c>
      <c r="E23">
        <v>-3060851</v>
      </c>
      <c r="F23">
        <v>-3573196</v>
      </c>
    </row>
    <row r="24" spans="1:6">
      <c r="A24" t="s">
        <v>464</v>
      </c>
      <c r="B24" t="s">
        <v>297</v>
      </c>
      <c r="C24" t="s">
        <v>297</v>
      </c>
      <c r="D24" t="s">
        <v>465</v>
      </c>
    </row>
    <row r="25" spans="1:6">
      <c r="A25" t="s">
        <v>466</v>
      </c>
      <c r="D25" t="s">
        <v>460</v>
      </c>
      <c r="E25">
        <v>3810400</v>
      </c>
      <c r="F25">
        <v>6314152</v>
      </c>
    </row>
    <row r="26" spans="1:6">
      <c r="A26" t="s">
        <v>467</v>
      </c>
      <c r="B26" t="s">
        <v>298</v>
      </c>
      <c r="C26" t="s">
        <v>298</v>
      </c>
      <c r="D26" t="s">
        <v>460</v>
      </c>
      <c r="E26">
        <v>-1129050</v>
      </c>
      <c r="F26">
        <v>-254920</v>
      </c>
    </row>
    <row r="27" spans="1:6">
      <c r="A27" t="s">
        <v>468</v>
      </c>
      <c r="B27" t="s">
        <v>302</v>
      </c>
      <c r="C27" t="s">
        <v>302</v>
      </c>
      <c r="D27" t="s">
        <v>465</v>
      </c>
      <c r="E27">
        <v>-6028168</v>
      </c>
      <c r="F27">
        <v>-4865000</v>
      </c>
    </row>
    <row r="28" spans="1:6">
      <c r="A28" t="s">
        <v>469</v>
      </c>
      <c r="B28" t="s">
        <v>311</v>
      </c>
      <c r="C28" t="s">
        <v>311</v>
      </c>
      <c r="D28" t="s">
        <v>465</v>
      </c>
      <c r="E28">
        <v>-3346818</v>
      </c>
      <c r="F28">
        <v>1194232</v>
      </c>
    </row>
    <row r="29" spans="1:6">
      <c r="A29" t="s">
        <v>470</v>
      </c>
      <c r="B29" t="s">
        <v>261</v>
      </c>
      <c r="C29" t="s">
        <v>261</v>
      </c>
      <c r="D29" t="s">
        <v>447</v>
      </c>
      <c r="E29">
        <v>2285734</v>
      </c>
      <c r="F29">
        <v>-902331</v>
      </c>
    </row>
    <row r="30" spans="1:6">
      <c r="A30" t="s">
        <v>471</v>
      </c>
      <c r="D30" t="s">
        <v>465</v>
      </c>
      <c r="E30">
        <v>2325650</v>
      </c>
      <c r="F30">
        <v>3227981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80780C-4141-4298-A677-265F9D75F4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0CA125-4DD8-469B-A986-B783464A74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939424-2629-47DD-8FF9-BC5F3348BD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2021-10-25T06:04:17Z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