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89" i="1"/>
  <c r="F89" i="1"/>
  <c r="G36" i="1"/>
  <c r="F36" i="1"/>
  <c r="G25" i="1"/>
  <c r="F25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L371" i="1"/>
  <c r="N370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G326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75" i="1" s="1"/>
  <c r="F128" i="1" l="1"/>
  <c r="F7" i="1" s="1"/>
  <c r="F12" i="1" s="1"/>
  <c r="F376" i="1" s="1"/>
  <c r="H373" i="1"/>
  <c r="F383" i="1"/>
  <c r="F382" i="1"/>
  <c r="G353" i="1"/>
  <c r="G355" i="1" s="1"/>
  <c r="G357" i="1" s="1"/>
  <c r="G385" i="1"/>
  <c r="G12" i="1"/>
  <c r="G376" i="1" s="1"/>
  <c r="F384" i="1"/>
  <c r="F13" i="1"/>
  <c r="F377" i="1"/>
  <c r="F353" i="1"/>
  <c r="F355" i="1" s="1"/>
  <c r="F357" i="1" s="1"/>
  <c r="F385" i="1"/>
  <c r="G383" i="1"/>
  <c r="G38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72" i="1"/>
  <c r="H365" i="1"/>
  <c r="L368" i="1"/>
  <c r="H370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81" i="1"/>
  <c r="H384" i="1"/>
  <c r="F363" i="1"/>
  <c r="F368" i="1"/>
  <c r="N368" i="1"/>
  <c r="N372" i="1"/>
  <c r="H376" i="1"/>
  <c r="N377" i="1"/>
  <c r="L378" i="1"/>
  <c r="H382" i="1"/>
  <c r="J383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366" i="1" l="1"/>
  <c r="G14" i="1"/>
  <c r="F378" i="1"/>
  <c r="F59" i="1"/>
  <c r="F67" i="1" s="1"/>
  <c r="F71" i="1" s="1"/>
  <c r="F370" i="1"/>
  <c r="G378" i="1"/>
  <c r="G370" i="1"/>
  <c r="G59" i="1"/>
  <c r="G67" i="1" s="1"/>
  <c r="G71" i="1" s="1"/>
  <c r="F14" i="1"/>
  <c r="F366" i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<sst xmlns="http://schemas.openxmlformats.org/spreadsheetml/2006/main" count="905" uniqueCount="546">
  <si>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</si>
  <si>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</si>
  <si>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</si>
  <si>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</si>
  <si>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</si>
  <si>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</si>
  <si>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</si>
  <si>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</si>
  <si>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</si>
  <si>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</si>
  <si>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</si>
  <si>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</si>
  <si>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</si>
  <si>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</si>
  <si>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</si>
  <si>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</si>
  <si>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</si>
  <si>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</si>
  <si>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</si>
  <si>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</si>
  <si>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</si>
  <si>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</si>
  <si>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</si>
  <si>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</si>
  <si>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</si>
  <si>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</si>
  <si>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</si>
  <si>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</si>
  <si>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</si>
  <si>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</si>
  <si>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</si>
  <si>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</si>
  <si>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</si>
  <si>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</si>
  <si>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</si>
  <si>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</si>
  <si>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</si>
  <si>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</si>
  <si>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</si>
  <si>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</si>
  <si>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</si>
  <si>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</si>
  <si>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</si>
  <si>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</si>
  <si>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</si>
  <si>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</si>
  <si>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</si>
  <si>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</si>
  <si>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</si>
  <si>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</si>
  <si>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</si>
  <si>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</si>
  <si>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</si>
  <si>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</si>
  <si>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</si>
  <si>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</si>
  <si>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</si>
  <si>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</si>
  <si>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</si>
  <si>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</si>
  <si>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</si>
  <si>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</si>
  <si>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</si>
  <si>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</si>
  <si>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</si>
  <si>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</si>
  <si>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</si>
  <si>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</si>
  <si>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</si>
  <si>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</si>
  <si>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</si>
  <si>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</si>
  <si>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</si>
  <si>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</si>
  <si>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</si>
  <si>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</si>
  <si>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</si>
  <si>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</si>
  <si>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</si>
  <si>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</si>
  <si>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</si>
  <si>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</si>
  <si>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</si>
  <si>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</si>
  <si>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</si>
  <si>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</si>
  <si>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</si>
  <si>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</si>
  <si>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</si>
  <si>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</si>
  <si>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</si>
  <si>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</si>
  <si>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</si>
  <si>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</si>
  <si>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</si>
  <si>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</si>
  <si>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</si>
  <si>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</si>
  <si>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</si>
  <si>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</si>
  <si>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</si>
  <si>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</si>
  <si>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</si>
  <si>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</si>
  <si>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</si>
  <si>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</si>
  <si>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</si>
  <si>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</si>
  <si>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</si>
  <si>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</si>
  <si>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</si>
  <si>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</si>
  <si>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</si>
  <si>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</si>
  <si>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</si>
  <si>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</si>
  <si>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</si>
  <si>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</si>
  <si>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</si>
  <si>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</si>
  <si>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</si>
  <si>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</si>
  <si>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</si>
  <si>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</si>
  <si>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</si>
  <si>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</si>
  <si>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</si>
  <si>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</si>
  <si>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</si>
  <si>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</si>
  <si>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</si>
  <si>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</si>
  <si>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</si>
  <si>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</si>
  <si>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</si>
  <si>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</si>
  <si>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</si>
  <si>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</si>
  <si>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</si>
  <si>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</si>
  <si>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</si>
  <si>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</si>
  <si>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</si>
  <si>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</si>
  <si>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</si>
  <si>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</si>
  <si>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</si>
  <si>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</si>
  <si>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</si>
  <si>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</si>
  <si>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</si>
  <si>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</si>
  <si>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</si>
  <si>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</si>
  <si>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</si>
  <si>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</si>
  <si>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</si>
  <si>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</si>
  <si>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</si>
  <si>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</si>
  <si>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</si>
  <si>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</si>
  <si>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</si>
  <si>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</si>
  <si>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</si>
  <si>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</si>
  <si>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</si>
  <si>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</si>
  <si>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</si>
  <si>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</si>
  <si>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</si>
  <si>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</si>
  <si>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</si>
  <si>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</si>
  <si>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</si>
  <si>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</si>
  <si>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</si>
  <si>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</si>
  <si>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</si>
  <si>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</si>
  <si>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</si>
  <si>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</si>
  <si>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</si>
  <si>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</si>
  <si>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</si>
  <si>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</si>
  <si>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</si>
  <si>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</si>
  <si>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</si>
  <si>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</si>
  <si>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</si>
  <si>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</si>
  <si>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</si>
  <si>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</si>
  <si>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</si>
  <si>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</si>
  <si>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</si>
  <si>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</si>
  <si>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</si>
  <si>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</si>
  <si>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</si>
  <si>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</si>
  <si>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</si>
  <si>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</si>
  <si>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</si>
  <si>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</si>
  <si>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</si>
  <si>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</si>
  <si>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</si>
  <si>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</si>
  <si>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</si>
  <si>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</si>
  <si>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</si>
  <si>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</si>
  <si>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</si>
  <si>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</si>
  <si>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</si>
  <si>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</si>
  <si>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</si>
  <si>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</si>
  <si>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</si>
  <si>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</si>
  <si>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</si>
  <si>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</si>
  <si>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</si>
  <si>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</si>
  <si>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</si>
  <si>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</si>
  <si>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</si>
  <si>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</si>
  <si>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</si>
  <si>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</si>
  <si>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</si>
  <si>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</si>
  <si>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</si>
  <si>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</si>
  <si>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</si>
  <si>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</si>
  <si>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</si>
  <si>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</si>
  <si>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</si>
  <si>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</si>
  <si>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</si>
  <si>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</si>
  <si>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</si>
  <si>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</si>
  <si>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</si>
  <si>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</si>
  <si>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</si>
  <si>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</si>
  <si>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</si>
  <si>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</si>
  <si>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</si>
  <si>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</si>
  <si>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</si>
  <si>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</si>
  <si>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</si>
  <si>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</si>
  <si>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</si>
  <si>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</si>
  <si>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</si>
  <si>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</si>
  <si>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</si>
  <si>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</si>
  <si>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</si>
  <si>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</si>
  <si>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</si>
  <si>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</si>
  <si>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</si>
  <si>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</si>
  <si>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</si>
  <si>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</si>
  <si>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</si>
  <si>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</si>
  <si>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</si>
  <si>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</si>
  <si>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</si>
  <si>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</si>
  <si>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</si>
  <si>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</si>
  <si>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</si>
  <si>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</si>
  <si>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</si>
  <si>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</si>
  <si>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</si>
  <si>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</si>
  <si>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</si>
  <si>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</si>
  <si>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</si>
  <si>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</si>
  <si>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</si>
  <si>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</si>
  <si>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</si>
  <si>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</si>
  <si>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</si>
  <si>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</si>
  <si>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</si>
  <si>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</si>
  <si>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</si>
  <si>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</si>
  <si>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</si>
  <si>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</si>
  <si>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</si>
  <si>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</si>
  <si>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</si>
  <si>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</si>
  <si>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</si>
  <si>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</si>
  <si>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</si>
  <si>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</si>
  <si>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</si>
  <si>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</si>
  <si>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</si>
  <si>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</si>
  <si>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</si>
  <si>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</si>
  <si>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</si>
  <si>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</si>
  <si>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</si>
  <si>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</si>
  <si>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</si>
  <si>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</si>
  <si>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</si>
  <si>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</si>
  <si>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</si>
  <si>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</si>
  <si>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</si>
  <si>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</si>
  <si>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</si>
  <si>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</si>
  <si>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</si>
  <si>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</si>
  <si>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</si>
  <si>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</si>
  <si>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</si>
  <si>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</si>
  <si>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</si>
  <si>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</si>
  <si>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</si>
  <si>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</si>
  <si>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</si>
  <si>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</si>
  <si>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</si>
  <si>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</si>
  <si>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</si>
  <si>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</si>
  <si>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</si>
  <si>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</si>
  <si>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</si>
  <si>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</si>
  <si>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</si>
  <si>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</si>
  <si>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</si>
  <si>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</si>
  <si>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</si>
  <si>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</si>
  <si>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</si>
  <si>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</si>
  <si>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</si>
  <si>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</si>
  <si>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</si>
  <si>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</si>
  <si>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</si>
  <si>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</si>
  <si>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</si>
  <si>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</si>
  <si>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</si>
  <si>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</si>
  <si>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</si>
  <si>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</si>
  <si>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</si>
  <si>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</si>
  <si>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</si>
  <si>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</si>
  <si>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</si>
  <si>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</si>
  <si>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</si>
  <si>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Inventories</t>
  </si>
  <si>
    <t>Income taxes receivable</t>
  </si>
  <si>
    <t>Other current assets</t>
  </si>
  <si>
    <t>Total current assets</t>
  </si>
  <si>
    <t>Property and equipment (net of $578,178 and $474,330 accumulated depreciation as of February 3, 2019 and February 4, 2018, respectively)</t>
  </si>
  <si>
    <t>Property and Equipment</t>
  </si>
  <si>
    <t>Deferred tax assets</t>
  </si>
  <si>
    <t>Tradenames</t>
  </si>
  <si>
    <t>Goodwill</t>
  </si>
  <si>
    <t>Other assets and deferred charges</t>
  </si>
  <si>
    <t>Total assets</t>
  </si>
  <si>
    <t>LIABILITIES AND STOCKHOLDERS EQUITY</t>
  </si>
  <si>
    <t>Current liabilities:</t>
  </si>
  <si>
    <t>Current installments of long-term debt</t>
  </si>
  <si>
    <t>Accounts payable</t>
  </si>
  <si>
    <t>Accrued liabilities</t>
  </si>
  <si>
    <t>Income taxes payable</t>
  </si>
  <si>
    <t>Total current liabilities</t>
  </si>
  <si>
    <t>Deferred income taxes</t>
  </si>
  <si>
    <t>Deferred occupancy costs</t>
  </si>
  <si>
    <t>Other liabilities</t>
  </si>
  <si>
    <t>Long-term debt, net</t>
  </si>
  <si>
    <t>Commitments and contingencies</t>
  </si>
  <si>
    <t>Stockholders equity:</t>
  </si>
  <si>
    <t>Common stock, par value $0.01; authorized: 400,000,000 shares; issued:</t>
  </si>
  <si>
    <t>43,177,476 shares at February 3, 2019 and 42,660,806 shares at February 4,</t>
  </si>
  <si>
    <t>2018; outstanding: 37,522,085 shares at February 3, 2019 and 40,102,085 shares at February 4, 2018</t>
  </si>
  <si>
    <t>Preferred stock, 50,000,000 authorized; none issued</t>
  </si>
  <si>
    <t>Paid-in capital</t>
  </si>
  <si>
    <t>Treasury stock, 5,655,391 and 2,558,721 shares as of February 3, 2019 and</t>
  </si>
  <si>
    <t>February 4, 2018, respectively</t>
  </si>
  <si>
    <t>Accumulated other comprehensive loss</t>
  </si>
  <si>
    <t>Retained earnings</t>
  </si>
  <si>
    <t>Total stockholders equity</t>
  </si>
  <si>
    <t>Food and beverage revenues</t>
  </si>
  <si>
    <t>Amusement and other revenues</t>
  </si>
  <si>
    <t>Total revenues</t>
  </si>
  <si>
    <t>Cost of food and beverage</t>
  </si>
  <si>
    <t>Cost of amusement and other</t>
  </si>
  <si>
    <t>Total cost of products</t>
  </si>
  <si>
    <t>Operating payroll and benefits</t>
  </si>
  <si>
    <t>Other store operating expenses</t>
  </si>
  <si>
    <t>Revenue</t>
  </si>
  <si>
    <t>General and administrative expenses</t>
  </si>
  <si>
    <t>Depreciation and amortization expense</t>
  </si>
  <si>
    <t>Pre-opening costs</t>
  </si>
  <si>
    <t>Total operating costs</t>
  </si>
  <si>
    <t>Operating income</t>
  </si>
  <si>
    <t>Interest expense, net</t>
  </si>
  <si>
    <t>Loss on debt retirement</t>
  </si>
  <si>
    <t>Income before provision for income taxes</t>
  </si>
  <si>
    <t>Provision for income taxes</t>
  </si>
  <si>
    <t>Net income</t>
  </si>
  <si>
    <t>Unrealized foreign currency translation gain (loss)</t>
  </si>
  <si>
    <t>Total comprehensive income</t>
  </si>
  <si>
    <t>Total Other Comprehensive Income</t>
  </si>
  <si>
    <t>Net Income per share:</t>
  </si>
  <si>
    <t>Basic</t>
  </si>
  <si>
    <t>Diluted</t>
  </si>
  <si>
    <t>Weighted average shares used in per share calculations:</t>
  </si>
  <si>
    <t>Balance January 31, 2016</t>
  </si>
  <si>
    <t>Operating Activities</t>
  </si>
  <si>
    <t>Unrealized foreign currency translation gain</t>
  </si>
  <si>
    <t>Share-based compensation</t>
  </si>
  <si>
    <t>Issuance of common stock</t>
  </si>
  <si>
    <t>Excess income tax benefit</t>
  </si>
  <si>
    <t>related to share-based compensation plans</t>
  </si>
  <si>
    <t>Repurchase of common stock</t>
  </si>
  <si>
    <t>Financing Activities</t>
  </si>
  <si>
    <t>Issuance of treasury stock</t>
  </si>
  <si>
    <t>Balance January 29, 2017</t>
  </si>
  <si>
    <t>Cumulative effect of a</t>
  </si>
  <si>
    <t>change in accounting principle</t>
  </si>
  <si>
    <t>Balance February 4, 2018</t>
  </si>
  <si>
    <t>Unrealized foreign currency translation loss</t>
  </si>
  <si>
    <t>Dividends ($0.30 per share)</t>
  </si>
  <si>
    <t>(in thousands)</t>
  </si>
  <si>
    <t>Cash flows from operating activities:</t>
  </si>
  <si>
    <t>Adjustments to reconcile net income to net cash provided by operating activities:</t>
  </si>
  <si>
    <t>Deferred taxes</t>
  </si>
  <si>
    <t>Excess income tax benefit related to share-based compensation plans</t>
  </si>
  <si>
    <t>Loss on debt refinancing</t>
  </si>
  <si>
    <t>Loss on disposal of fixed assets</t>
  </si>
  <si>
    <t>Other, net</t>
  </si>
  <si>
    <t>Changes in assets and liabilities:</t>
  </si>
  <si>
    <t>Income tax receivable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</si>
  <si>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</si>
  <si>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</si>
  <si>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</si>
  <si>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</si>
  <si>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Capital expenditures</t>
  </si>
  <si>
    <t>Proceeds from sale-leaseback transactions</t>
  </si>
  <si>
    <t>Proceeds from insurance</t>
  </si>
  <si>
    <t>Proceeds from sales of property and equipment</t>
  </si>
  <si>
    <t>Collections on notes receivable</t>
  </si>
  <si>
    <t>Net cash used in investing activities</t>
  </si>
  <si>
    <t>Cash flows from financing activities:</t>
  </si>
  <si>
    <t>Proceeds from debt</t>
  </si>
  <si>
    <t>Payments of debt</t>
  </si>
  <si>
    <t>Debt issuance costs</t>
  </si>
  <si>
    <t>Finance Costs</t>
  </si>
  <si>
    <t>Repurchases of common stock to satisfy employee withholding tax obligations</t>
  </si>
  <si>
    <t>Dividends paid</t>
  </si>
  <si>
    <t xml:space="preserve">Dividend paid to shareholders to parent on minority interests </t>
  </si>
  <si>
    <t>Proceeds from the exercise of stock options</t>
  </si>
  <si>
    <t>Proceeds from issuance of treasury stock</t>
  </si>
  <si>
    <t>Net cash used in financing activities</t>
  </si>
  <si>
    <t>Increase (decrease) in cash and cash equivalents</t>
  </si>
  <si>
    <t>Beginning cash and cash equivalents</t>
  </si>
  <si>
    <t>Cash and cash equivalents at beginning of period</t>
  </si>
  <si>
    <t>Ending cash and cash equivalents</t>
  </si>
  <si>
    <t>Supplemental disclosures of cash flow information:</t>
  </si>
  <si>
    <t>Increase (decrease) in fixed asset accounts payable</t>
  </si>
  <si>
    <t>Cash paid for income taxes, net</t>
  </si>
  <si>
    <t>Cash paid for interest, net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</si>
  <si>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</si>
  <si>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</si>
  <si>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</si>
  <si>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</si>
  <si>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should be for the year 2019 &amp; 2018</t>
  </si>
  <si>
    <t>changed value</t>
  </si>
  <si>
    <t>turnover</t>
  </si>
  <si>
    <t>food and beverage revenues</t>
  </si>
  <si>
    <t>amusement and other revenues</t>
  </si>
  <si>
    <t>cost of goods sold</t>
  </si>
  <si>
    <t>cost of food and beverage</t>
  </si>
  <si>
    <t>cost of amusement and other</t>
  </si>
  <si>
    <t>other operating expenses</t>
  </si>
  <si>
    <t>other store operating expenses</t>
  </si>
  <si>
    <t>pre-opening costs</t>
  </si>
  <si>
    <t>added value</t>
  </si>
  <si>
    <t>salaries and wages</t>
  </si>
  <si>
    <t>operating payroll and benefits</t>
  </si>
  <si>
    <t>exceptional gains (losses)</t>
  </si>
  <si>
    <t>loss on debt retirement</t>
  </si>
  <si>
    <t>changed sign</t>
  </si>
  <si>
    <t>interest expense, net</t>
  </si>
  <si>
    <t>added value and changed sign</t>
  </si>
  <si>
    <t>land</t>
  </si>
  <si>
    <t>buildings and building improvements</t>
  </si>
  <si>
    <t>leasehold improvements</t>
  </si>
  <si>
    <t>furniture, fixtures and equipment</t>
  </si>
  <si>
    <t>games</t>
  </si>
  <si>
    <t>construction in progress</t>
  </si>
  <si>
    <t>accumulated depreciation</t>
  </si>
  <si>
    <t>accumulated depreciation and amortisation</t>
  </si>
  <si>
    <t>land and buildings</t>
  </si>
  <si>
    <t>leased assets</t>
  </si>
  <si>
    <t>property, plant and equipment</t>
  </si>
  <si>
    <t>other fixed assets</t>
  </si>
  <si>
    <t>intangibles - other</t>
  </si>
  <si>
    <t>tradenames</t>
  </si>
  <si>
    <t>deferred tax asset</t>
  </si>
  <si>
    <t>deferred tax assets</t>
  </si>
  <si>
    <t>taken from row 127</t>
  </si>
  <si>
    <t>shifted to row 125</t>
  </si>
  <si>
    <t>other non-current assets</t>
  </si>
  <si>
    <t>other assets and deferred charges</t>
  </si>
  <si>
    <t>deleted this value</t>
  </si>
  <si>
    <t>other liabilities</t>
  </si>
  <si>
    <t>deferred income taxes</t>
  </si>
  <si>
    <t>deferred tax liability</t>
  </si>
  <si>
    <t>deferred income and gains</t>
  </si>
  <si>
    <t>deferred occupancy costs</t>
  </si>
  <si>
    <t>ordinary shares</t>
  </si>
  <si>
    <t>common stock, par value $0.01</t>
  </si>
  <si>
    <t>paid-in capital</t>
  </si>
  <si>
    <t>treasury stock (-)</t>
  </si>
  <si>
    <t>Treasury stock, 5,655,391 and 2,558,721 shares as of February 3, 2019 and February 4, 2018,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</si>
</sst>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0" borderId="0" xfId="0" applyNumberFormat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2F-42E5-A0EC-19002875CC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CE-48C6-BD75-54B933773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B9-4547-BC1B-4CF438E221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56-4E66-9B70-95F38923DF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98-4AD8-9412-FB18791568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FB-40A8-9DE5-0716DAB4C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19-416D-9505-9700E1EC60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10-4B64-8490-9C0BA1252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ED-4346-A5C5-9E16007290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E5-4267-B669-13D819B59D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42-4D6F-A855-3C103155C8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3C-4E47-AD94-C3745566FB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E8-4AFA-869C-08060B57C1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2E-45F9-812C-A88C3CA04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7E-4213-AB89-C4B654A5C6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9" t="s">
        <v>496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116787</v>
      </c>
      <c r="G6" s="7">
        <f t="shared" ref="G6:O6" si="1">IF(G4=$BF$1,"",G71)</f>
        <v>121423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1182094</v>
      </c>
      <c r="G7" s="7">
        <f t="shared" ref="G7:O7" si="2">IF(G4=$BF$1,"",G128)</f>
        <v>1102123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91093</v>
      </c>
      <c r="G8" s="7">
        <f t="shared" ref="G8:O8" si="3">IF(G4=$BF$1,"",G161)</f>
        <v>94907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244390</v>
      </c>
      <c r="G9" s="7">
        <f t="shared" ref="G9:O9" si="4">IF(G4=$BF$1,"",G189)</f>
        <v>207825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640960</v>
      </c>
      <c r="G10" s="7">
        <f t="shared" ref="G10:O10" si="5">IF(G4=$BF$1,"",G210)</f>
        <v>567559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387837</v>
      </c>
      <c r="G11" s="7">
        <f t="shared" ref="G11:O11" si="6">IF(G4=$BF$1,"",G227)</f>
        <v>421646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1273187</v>
      </c>
      <c r="G12" s="35">
        <f t="shared" ref="G12:O12" si="7">IF(G4=$BF$1,"",SUM(G7:G8))</f>
        <v>1197030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1273187</v>
      </c>
      <c r="G13" s="35">
        <f t="shared" ref="G13:O13" si="8">IF(G4=$BF$1,"",SUM(G9:G11))</f>
        <v>1197030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536469+728832</f>
        <v>1265301</v>
      </c>
      <c r="G24">
        <f>494816+644975</f>
        <v>1139791</v>
      </c>
      <c r="P24" s="49" t="s">
        <v>497</v>
      </c>
    </row>
    <row r="25" spans="5:16">
      <c r="E25" s="1" t="s">
        <v>27</v>
      </c>
      <c r="F25" s="38">
        <f>139199+81064</f>
        <v>220263</v>
      </c>
      <c r="G25" s="38">
        <f>127600+69072</f>
        <v>196672</v>
      </c>
      <c r="P25" s="49" t="s">
        <v>497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1045038</v>
      </c>
      <c r="G30" s="7">
        <f>IF(G4=$BF$1,"",G24-G25+ABS(G26)-G27-G28-G29)</f>
        <v>943119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 s="38">
        <v>296924</v>
      </c>
      <c r="G32" s="38">
        <v>256724</v>
      </c>
      <c r="P32" s="49" t="s">
        <v>507</v>
      </c>
    </row>
    <row r="33" spans="5:16">
      <c r="E33" s="1" t="s">
        <v>35</v>
      </c>
    </row>
    <row r="34" spans="5:16">
      <c r="E34" s="1" t="s">
        <v>36</v>
      </c>
      <c r="F34">
        <v>61521</v>
      </c>
      <c r="G34">
        <v>59565</v>
      </c>
      <c r="H34">
        <v>54474</v>
      </c>
    </row>
    <row r="35" spans="5:16">
      <c r="E35" s="1" t="s">
        <v>37</v>
      </c>
    </row>
    <row r="36" spans="5:16">
      <c r="E36" s="1" t="s">
        <v>38</v>
      </c>
      <c r="F36">
        <f>384155+23163</f>
        <v>407318</v>
      </c>
      <c r="G36">
        <f>334546+23746</f>
        <v>358292</v>
      </c>
      <c r="P36" s="49" t="s">
        <v>497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118275</v>
      </c>
      <c r="G40">
        <v>102766</v>
      </c>
      <c r="H40">
        <v>88305</v>
      </c>
    </row>
    <row r="41" spans="5:16">
      <c r="E41" s="1" t="s">
        <v>43</v>
      </c>
      <c r="F41" s="50"/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884038</v>
      </c>
      <c r="G43" s="7">
        <f>G32+G33+G34+G35+G36+G37+G38+G39+G40+G41+G42</f>
        <v>777347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161000</v>
      </c>
      <c r="G44" s="7">
        <f>IF(G4=$BF$1,"",G30+G31-G43)</f>
        <v>165772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G47" s="38">
        <v>-718</v>
      </c>
      <c r="P47" s="49" t="s">
        <v>514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-13113</v>
      </c>
      <c r="G52">
        <v>-8665</v>
      </c>
      <c r="H52">
        <v>6985</v>
      </c>
      <c r="P52" s="49" t="s">
        <v>512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>
        <v>-434</v>
      </c>
      <c r="G57">
        <v>474</v>
      </c>
      <c r="H57">
        <v>247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147453</v>
      </c>
      <c r="G59" s="7">
        <f>IF(G4=$BF$1,"",G44+G45+G46+G47+G48-G49-G50-G51+G52-G53+G54+G55-G56+G57+G58)</f>
        <v>156863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  <c r="F60">
        <v>30666</v>
      </c>
      <c r="G60">
        <v>35440</v>
      </c>
      <c r="H60">
        <v>52736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116787</v>
      </c>
      <c r="G67" s="7">
        <f>IF(G4=$BF$1,"",SUM(G59,-G60,-ABS(G61),-G62,-G66))</f>
        <v>121423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116787</v>
      </c>
      <c r="G71" s="7">
        <f t="shared" ref="G71:O71" si="14">IF(G4=$BF$1,"",SUM(G67:G70))</f>
        <v>121423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116787</v>
      </c>
      <c r="G83" s="7">
        <f t="shared" ref="G83:O83" si="15">IF(G4=$BF$1,"",SUM(G71:G82))</f>
        <v>121423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2444+17153</f>
        <v>19597</v>
      </c>
      <c r="G89" s="38">
        <f>3608+25222</f>
        <v>28830</v>
      </c>
      <c r="P89" s="49" t="s">
        <v>507</v>
      </c>
    </row>
    <row r="90" spans="5:16">
      <c r="E90" s="1" t="s">
        <v>82</v>
      </c>
      <c r="F90" s="38">
        <v>75166</v>
      </c>
      <c r="G90" s="38">
        <v>82295</v>
      </c>
      <c r="P90" s="49" t="s">
        <v>507</v>
      </c>
    </row>
    <row r="91" spans="5:16">
      <c r="E91" s="1" t="s">
        <v>83</v>
      </c>
    </row>
    <row r="92" spans="5:16">
      <c r="E92" s="12" t="s">
        <v>84</v>
      </c>
      <c r="F92">
        <v>338605</v>
      </c>
      <c r="G92">
        <v>287418</v>
      </c>
      <c r="P92" s="49" t="s">
        <v>507</v>
      </c>
    </row>
    <row r="93" spans="5:16">
      <c r="E93" s="1" t="s">
        <v>85</v>
      </c>
    </row>
    <row r="94" spans="5:16">
      <c r="E94" s="1" t="s">
        <v>86</v>
      </c>
      <c r="F94" s="38">
        <v>698328</v>
      </c>
      <c r="G94" s="38">
        <v>597649</v>
      </c>
      <c r="P94" s="49" t="s">
        <v>507</v>
      </c>
    </row>
    <row r="95" spans="5:16">
      <c r="E95" s="1" t="s">
        <v>87</v>
      </c>
      <c r="F95" s="38">
        <v>251819</v>
      </c>
      <c r="G95" s="38">
        <v>204593</v>
      </c>
      <c r="P95" s="49" t="s">
        <v>507</v>
      </c>
    </row>
    <row r="96" spans="5:16">
      <c r="E96" s="12"/>
    </row>
    <row r="98" spans="5:16">
      <c r="E98" s="6" t="s">
        <v>88</v>
      </c>
      <c r="F98" s="7">
        <f>F89+F90+F91+F92+F93+F94+F95+F96</f>
        <v>1383515</v>
      </c>
      <c r="G98" s="7">
        <f>IF(G4=$BF$1,"",G89+G90+G91+G92+G93+G94+G95+G96)</f>
        <v>1200785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-578178</v>
      </c>
      <c r="G99" s="38">
        <v>-474330</v>
      </c>
      <c r="P99" s="49" t="s">
        <v>507</v>
      </c>
    </row>
    <row r="100" spans="5:16">
      <c r="E100" s="6" t="s">
        <v>90</v>
      </c>
      <c r="F100" s="7">
        <f>F98+F99</f>
        <v>805337</v>
      </c>
      <c r="G100" s="7">
        <f t="shared" ref="G100:O100" si="17">IF(G4=$BF$1,"",G98+G99)</f>
        <v>726455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272625</v>
      </c>
      <c r="G101">
        <v>272566</v>
      </c>
    </row>
    <row r="102" spans="5:16">
      <c r="E102" s="1" t="s">
        <v>92</v>
      </c>
      <c r="F102" s="38">
        <v>79000</v>
      </c>
      <c r="G102" s="38">
        <v>79000</v>
      </c>
      <c r="P102" s="49" t="s">
        <v>507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351625</v>
      </c>
      <c r="G104" s="7">
        <f t="shared" ref="G104:O104" si="18">IF(G4=$BF$1,"",G101+G102+G103)</f>
        <v>351566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6736</v>
      </c>
      <c r="G111">
        <v>7789</v>
      </c>
      <c r="P111" s="49" t="s">
        <v>497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18396</v>
      </c>
      <c r="G125" s="38">
        <v>16313</v>
      </c>
      <c r="P125" s="49" t="s">
        <v>531</v>
      </c>
    </row>
    <row r="126" spans="5:16">
      <c r="E126" s="1" t="s">
        <v>113</v>
      </c>
    </row>
    <row r="127" spans="5:16">
      <c r="E127" s="12" t="s">
        <v>114</v>
      </c>
      <c r="F127"/>
      <c r="G127"/>
      <c r="P127" s="49" t="s">
        <v>532</v>
      </c>
    </row>
    <row r="128" spans="5:16">
      <c r="E128" s="6" t="s">
        <v>115</v>
      </c>
      <c r="F128" s="7">
        <f>F100+SUM(F104:F127)</f>
        <v>1182094</v>
      </c>
      <c r="G128" s="7">
        <f t="shared" ref="G128:O128" si="19">IF(G4=$BF$1,"",G100+SUM(G104:G126))</f>
        <v>1102123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21585</v>
      </c>
      <c r="G130">
        <v>18795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21585</v>
      </c>
      <c r="G140" s="7">
        <f t="shared" ref="G140:O140" si="20">IF(G4=$BF$1,"",G130+G131+G132+G133+G134+G135+G136+G139)</f>
        <v>18795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27315</v>
      </c>
      <c r="G144">
        <v>27560</v>
      </c>
    </row>
    <row r="145" spans="5:15">
      <c r="E145" s="6" t="s">
        <v>127</v>
      </c>
      <c r="F145" s="7">
        <f>F141+F142+F143+F144</f>
        <v>27315</v>
      </c>
      <c r="G145" s="7">
        <f t="shared" ref="G145:O145" si="21">IF(G4=$BF$1,"",G141+G142+G143+G144)</f>
        <v>27560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  <c r="F151">
        <v>1880</v>
      </c>
      <c r="G151">
        <v>4867</v>
      </c>
    </row>
    <row r="154" spans="5:15">
      <c r="E154" s="12" t="s">
        <v>134</v>
      </c>
      <c r="F154">
        <v>20713</v>
      </c>
      <c r="G154">
        <v>19052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  <c r="F158">
        <v>19600</v>
      </c>
      <c r="G158">
        <v>24633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42193</v>
      </c>
      <c r="G160" s="7">
        <f>IF(G4=$BF$1,"",G146+G147+G148+G149+G150+G151+G152+G153+G154+G155+G156+G157+G158+G159)</f>
        <v>48552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91093</v>
      </c>
      <c r="G161" s="7">
        <f t="shared" ref="G161:O161" si="22">IF(G4=$BF$1,"",G140+G145+G160)</f>
        <v>94907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15000</v>
      </c>
      <c r="G167">
        <v>15000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157164</v>
      </c>
      <c r="G172">
        <v>135161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11799</v>
      </c>
      <c r="G181">
        <v>3037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>
        <v>60427</v>
      </c>
      <c r="G187">
        <v>54627</v>
      </c>
    </row>
    <row r="188" spans="5:16">
      <c r="E188" s="1" t="s">
        <v>164</v>
      </c>
      <c r="F188"/>
      <c r="G188"/>
      <c r="P188" s="49" t="s">
        <v>535</v>
      </c>
    </row>
    <row r="189" spans="5:16">
      <c r="E189" s="6" t="s">
        <v>13</v>
      </c>
      <c r="F189" s="7">
        <f>SUM(F163:F188)</f>
        <v>244390</v>
      </c>
      <c r="G189" s="7">
        <f t="shared" ref="G189:O189" si="23">IF(G4=$BF$1,"",SUM(G163:G188))</f>
        <v>207825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378469</v>
      </c>
      <c r="G193">
        <v>351249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14634</v>
      </c>
      <c r="G203" s="38">
        <v>10213</v>
      </c>
      <c r="P203" s="49" t="s">
        <v>507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223678</v>
      </c>
      <c r="G206" s="38">
        <v>184994</v>
      </c>
      <c r="P206" s="49" t="s">
        <v>507</v>
      </c>
    </row>
    <row r="209" spans="5:16">
      <c r="E209" s="1" t="s">
        <v>180</v>
      </c>
      <c r="F209">
        <v>24179</v>
      </c>
      <c r="G209">
        <v>21103</v>
      </c>
      <c r="P209" s="49" t="s">
        <v>507</v>
      </c>
    </row>
    <row r="210" spans="5:16">
      <c r="E210" s="6" t="s">
        <v>14</v>
      </c>
      <c r="F210" s="7">
        <f>SUM(F191:F209)</f>
        <v>640960</v>
      </c>
      <c r="G210" s="7">
        <f t="shared" ref="G210:O210" si="24">IF(G4=$BF$1,"",SUM(G191:G209))</f>
        <v>567559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432+331255</f>
        <v>331687</v>
      </c>
      <c r="G212">
        <f>427+320488</f>
        <v>320915</v>
      </c>
      <c r="P212" s="49" t="s">
        <v>507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353962</v>
      </c>
      <c r="G217">
        <v>248311</v>
      </c>
    </row>
    <row r="218" spans="5:16">
      <c r="E218" s="1" t="s">
        <v>188</v>
      </c>
    </row>
    <row r="219" spans="5:16">
      <c r="E219" s="1" t="s">
        <v>189</v>
      </c>
      <c r="F219">
        <v>-683</v>
      </c>
      <c r="G219">
        <v>-249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-297129</v>
      </c>
      <c r="G223" s="38">
        <v>-147331</v>
      </c>
      <c r="P223" s="49" t="s">
        <v>507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387837</v>
      </c>
      <c r="G227" s="7">
        <f t="shared" ref="G227:O227" si="25">IF(G4=$BF$1,"",SUM(G212:G226))</f>
        <v>421646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117221</v>
      </c>
      <c r="G267">
        <v>120949</v>
      </c>
      <c r="H267">
        <v>90795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118275</v>
      </c>
      <c r="G271">
        <v>102766</v>
      </c>
      <c r="H271">
        <v>88305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  <c r="F277">
        <v>1121</v>
      </c>
      <c r="G277">
        <v>1863</v>
      </c>
      <c r="H277">
        <v>1533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22226</v>
      </c>
      <c r="G284">
        <v>43417</v>
      </c>
      <c r="H284">
        <v>47512</v>
      </c>
    </row>
    <row r="285" spans="5:8">
      <c r="E285" s="1" t="s">
        <v>248</v>
      </c>
      <c r="F285">
        <v>7422</v>
      </c>
      <c r="G285">
        <v>8916</v>
      </c>
      <c r="H285">
        <v>47298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19304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149044</v>
      </c>
      <c r="G296" s="7">
        <f>IF(G4=$BF$1,"",G271+G272+G273+G274+G275+G276+G277+G278+G279+G280+G281+G282+G283+G284+G285+G286+G287+G288+G289+G290+G291+G292+G293+G294+G295)</f>
        <v>156962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266265</v>
      </c>
      <c r="G297" s="7">
        <f t="shared" ref="G297:O297" si="27">IF(G4=$BF$1,"",MIN(F267,F268,F269)+F296)</f>
        <v>266265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245</v>
      </c>
      <c r="G299">
        <v>-5700</v>
      </c>
      <c r="H299">
        <v>-2331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  <c r="F305">
        <v>-2523</v>
      </c>
      <c r="G305">
        <v>-224</v>
      </c>
      <c r="H305">
        <v>487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  <c r="F312">
        <v>-5321</v>
      </c>
      <c r="G312">
        <v>3420</v>
      </c>
      <c r="H312">
        <v>11610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11122</v>
      </c>
      <c r="G315">
        <v>-4071</v>
      </c>
      <c r="H315">
        <v>832</v>
      </c>
    </row>
    <row r="316" spans="5:15">
      <c r="E316" s="1" t="s">
        <v>276</v>
      </c>
      <c r="F316">
        <v>4705</v>
      </c>
      <c r="G316">
        <v>-13361</v>
      </c>
      <c r="H316">
        <v>6032</v>
      </c>
    </row>
    <row r="317" spans="5:15">
      <c r="E317" s="1" t="s">
        <v>277</v>
      </c>
      <c r="F317">
        <v>24459</v>
      </c>
      <c r="G317">
        <v>24923</v>
      </c>
      <c r="H317">
        <v>15898</v>
      </c>
    </row>
    <row r="318" spans="5:15">
      <c r="E318" s="6" t="s">
        <v>278</v>
      </c>
      <c r="F318" s="7">
        <f>F299+F300+F301+F302+F303+F304+F305+F306+F307+F308+F309+F310+F311+F312+F313+F314+F315+F316+F317</f>
        <v>32687</v>
      </c>
      <c r="G318" s="7">
        <f>IF(G4=$BF$1,"",G299+G300+G301+G302+G303+G304+G305+G306+G307+G308+G309+G310+G311+G312+G313+G314+G315+G316+G317)</f>
        <v>4987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298952</v>
      </c>
      <c r="G319" s="7">
        <f t="shared" ref="G319:O319" si="28">IF(G4=$BF$1,"",G297+G318)</f>
        <v>271252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298952</v>
      </c>
      <c r="G326" s="7">
        <f t="shared" ref="G326:O326" si="30">IF(G4=$BF$1,"",G325+G319)</f>
        <v>271252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-216286</v>
      </c>
      <c r="G328">
        <v>-219901</v>
      </c>
      <c r="H328">
        <v>-180577</v>
      </c>
    </row>
    <row r="329" spans="5:15">
      <c r="E329" s="1" t="s">
        <v>288</v>
      </c>
      <c r="F329">
        <v>366</v>
      </c>
      <c r="G329">
        <v>78</v>
      </c>
      <c r="H329">
        <v>30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-215920</v>
      </c>
      <c r="G337" s="7">
        <f>IF(G4=$BF$1,"",SUM(G328:G336))</f>
        <v>-219823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-145775</v>
      </c>
      <c r="G339">
        <v>-148927</v>
      </c>
      <c r="H339">
        <v>-23060</v>
      </c>
    </row>
    <row r="340" spans="5:15">
      <c r="E340" s="1" t="s">
        <v>299</v>
      </c>
      <c r="F340">
        <v>265000</v>
      </c>
      <c r="G340">
        <v>509000</v>
      </c>
      <c r="H340">
        <v>97000</v>
      </c>
    </row>
    <row r="341" spans="5:15">
      <c r="E341" s="12" t="s">
        <v>300</v>
      </c>
      <c r="F341">
        <v>-238000</v>
      </c>
      <c r="G341">
        <v>-406500</v>
      </c>
      <c r="H341">
        <v>-170500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-11570</v>
      </c>
      <c r="G348">
        <v>0</v>
      </c>
      <c r="H348">
        <v>0</v>
      </c>
    </row>
    <row r="349" spans="5:15">
      <c r="E349" s="12" t="s">
        <v>308</v>
      </c>
      <c r="F349">
        <v>0</v>
      </c>
      <c r="G349">
        <v>-2910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-130345</v>
      </c>
      <c r="G352" s="7">
        <f>IF(G4=$BF$1,"",SUM(G339:G351))</f>
        <v>-49337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-47313</v>
      </c>
      <c r="G353" s="7">
        <f t="shared" ref="G353:O353" si="33">IF(G4=$BF$1,"",G326+G337+G352)</f>
        <v>2092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-47313</v>
      </c>
      <c r="G355" s="7">
        <f t="shared" ref="G355:O355" si="34">IF(G4=$BF$1,"",G353+G354)</f>
        <v>2092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18795</v>
      </c>
      <c r="G356">
        <v>20083</v>
      </c>
      <c r="H356">
        <v>25495</v>
      </c>
    </row>
    <row r="357" spans="5:15">
      <c r="E357" s="6" t="s">
        <v>316</v>
      </c>
      <c r="F357" s="7">
        <f>F355+F356</f>
        <v>-28518</v>
      </c>
      <c r="G357" s="7">
        <f t="shared" ref="G357:O357" si="35">IF(G4=$BF$1,"",G355+G356)</f>
        <v>22175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0.11011667928593927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-3.8180575344045196E-2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6.3621630201415175E-2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0.82592047267804258</v>
      </c>
      <c r="G369" s="27">
        <f t="shared" si="41"/>
        <v>0.82744906741674573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0.12724245061056619</v>
      </c>
      <c r="G370" s="27">
        <f t="shared" si="42"/>
        <v>0.14544069921590888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9.2299776891032248E-2</v>
      </c>
      <c r="G371" s="28">
        <f t="shared" si="43"/>
        <v>0.10653093418003827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9.1728080792530864E-2</v>
      </c>
      <c r="G372" s="27">
        <f t="shared" si="44"/>
        <v>0.10143688963518041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0.30112392577294067</v>
      </c>
      <c r="G373" s="27">
        <f t="shared" si="45"/>
        <v>0.28797379792527383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0.69538096131990035</v>
      </c>
      <c r="G376" s="30">
        <f t="shared" si="47"/>
        <v>0.64775653074693196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2.2827889035857849</v>
      </c>
      <c r="G377" s="30">
        <f t="shared" si="48"/>
        <v>1.8389454661018958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0.37273620033552929</v>
      </c>
      <c r="G382" s="32">
        <f t="shared" si="51"/>
        <v>0.45666786960182848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0.26096812471868736</v>
      </c>
      <c r="G383" s="32">
        <f t="shared" si="52"/>
        <v>0.32405629736557201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8.8321944433078281E-2</v>
      </c>
      <c r="G384" s="32">
        <f t="shared" si="53"/>
        <v>9.0436665463731511E-2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1.2232579074430214</v>
      </c>
      <c r="G385" s="32">
        <f t="shared" si="54"/>
        <v>1.3051942740286298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21585</v>
      </c>
      <c r="G418" s="17">
        <f>G130-G417</f>
        <v>18795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157164</v>
      </c>
      <c r="G433" s="17">
        <f>G172-G432</f>
        <v>135161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492</v>
      </c>
      <c r="B1" s="39" t="s">
        <v>493</v>
      </c>
      <c r="C1" s="39" t="s">
        <v>494</v>
      </c>
      <c r="D1" s="39"/>
    </row>
    <row r="2" spans="1:4">
      <c r="A2" t="s">
        <v>499</v>
      </c>
      <c r="B2" s="41" t="s">
        <v>498</v>
      </c>
      <c r="C2" s="39" t="s">
        <v>495</v>
      </c>
      <c r="D2" s="39"/>
    </row>
    <row r="3" spans="1:4">
      <c r="A3" t="s">
        <v>500</v>
      </c>
      <c r="B3" s="41" t="s">
        <v>498</v>
      </c>
      <c r="C3" s="39" t="s">
        <v>495</v>
      </c>
    </row>
    <row r="4" spans="1:4">
      <c r="A4" t="s">
        <v>502</v>
      </c>
      <c r="B4" s="41" t="s">
        <v>501</v>
      </c>
      <c r="C4" s="39" t="s">
        <v>495</v>
      </c>
    </row>
    <row r="5" spans="1:4">
      <c r="A5" t="s">
        <v>503</v>
      </c>
      <c r="B5" s="42" t="s">
        <v>501</v>
      </c>
      <c r="C5" s="39" t="s">
        <v>495</v>
      </c>
    </row>
    <row r="6" spans="1:4">
      <c r="A6" t="s">
        <v>505</v>
      </c>
      <c r="B6" s="42" t="s">
        <v>504</v>
      </c>
      <c r="C6" s="39" t="s">
        <v>495</v>
      </c>
    </row>
    <row r="7" spans="1:4">
      <c r="A7" t="s">
        <v>506</v>
      </c>
      <c r="B7" s="41" t="s">
        <v>504</v>
      </c>
      <c r="C7" s="39" t="s">
        <v>495</v>
      </c>
    </row>
    <row r="8" spans="1:4">
      <c r="A8" t="s">
        <v>509</v>
      </c>
      <c r="B8" s="42" t="s">
        <v>508</v>
      </c>
      <c r="C8" s="39" t="s">
        <v>495</v>
      </c>
    </row>
    <row r="9" spans="1:4">
      <c r="A9" t="s">
        <v>511</v>
      </c>
      <c r="B9" s="42" t="s">
        <v>510</v>
      </c>
      <c r="C9" s="39" t="s">
        <v>495</v>
      </c>
    </row>
    <row r="10" spans="1:4">
      <c r="A10" t="s">
        <v>513</v>
      </c>
      <c r="B10" s="41" t="s">
        <v>54</v>
      </c>
      <c r="C10" s="39" t="s">
        <v>495</v>
      </c>
    </row>
    <row r="11" spans="1:4">
      <c r="A11" t="s">
        <v>515</v>
      </c>
      <c r="B11" s="41" t="s">
        <v>523</v>
      </c>
      <c r="C11" s="39" t="s">
        <v>495</v>
      </c>
    </row>
    <row r="12" spans="1:4">
      <c r="A12" t="s">
        <v>516</v>
      </c>
      <c r="B12" s="41" t="s">
        <v>523</v>
      </c>
      <c r="C12" s="39" t="s">
        <v>495</v>
      </c>
    </row>
    <row r="13" spans="1:4">
      <c r="A13" s="42" t="s">
        <v>517</v>
      </c>
      <c r="B13" s="42" t="s">
        <v>524</v>
      </c>
      <c r="C13" s="39" t="s">
        <v>495</v>
      </c>
    </row>
    <row r="14" spans="1:4">
      <c r="A14" t="s">
        <v>518</v>
      </c>
      <c r="B14" s="42" t="s">
        <v>525</v>
      </c>
      <c r="C14" s="39" t="s">
        <v>495</v>
      </c>
    </row>
    <row r="15" spans="1:4">
      <c r="A15" t="s">
        <v>519</v>
      </c>
      <c r="B15" s="42" t="s">
        <v>526</v>
      </c>
      <c r="C15" s="39" t="s">
        <v>495</v>
      </c>
    </row>
    <row r="16" spans="1:4">
      <c r="A16" s="43" t="s">
        <v>520</v>
      </c>
      <c r="B16" s="43" t="s">
        <v>520</v>
      </c>
      <c r="C16" s="39" t="s">
        <v>495</v>
      </c>
    </row>
    <row r="17" spans="1:3">
      <c r="A17" t="s">
        <v>521</v>
      </c>
      <c r="B17" t="s">
        <v>522</v>
      </c>
      <c r="C17" s="39" t="s">
        <v>495</v>
      </c>
    </row>
    <row r="18" spans="1:3">
      <c r="A18" s="42" t="s">
        <v>528</v>
      </c>
      <c r="B18" s="44" t="s">
        <v>527</v>
      </c>
      <c r="C18" s="39" t="s">
        <v>495</v>
      </c>
    </row>
    <row r="19" spans="1:3">
      <c r="A19" t="s">
        <v>530</v>
      </c>
      <c r="B19" s="42" t="s">
        <v>529</v>
      </c>
      <c r="C19" s="39" t="s">
        <v>495</v>
      </c>
    </row>
    <row r="20" spans="1:3">
      <c r="A20" s="42" t="s">
        <v>534</v>
      </c>
      <c r="B20" s="44" t="s">
        <v>533</v>
      </c>
      <c r="C20" s="39" t="s">
        <v>495</v>
      </c>
    </row>
    <row r="21" spans="1:3">
      <c r="A21" s="42" t="s">
        <v>537</v>
      </c>
      <c r="B21" s="45" t="s">
        <v>538</v>
      </c>
      <c r="C21" s="39" t="s">
        <v>495</v>
      </c>
    </row>
    <row r="22" spans="1:3">
      <c r="A22" s="42" t="s">
        <v>536</v>
      </c>
      <c r="B22" s="46" t="s">
        <v>180</v>
      </c>
      <c r="C22" s="39" t="s">
        <v>495</v>
      </c>
    </row>
    <row r="23" spans="1:3">
      <c r="A23" s="42" t="s">
        <v>540</v>
      </c>
      <c r="B23" s="44" t="s">
        <v>539</v>
      </c>
      <c r="C23" s="39" t="s">
        <v>495</v>
      </c>
    </row>
    <row r="24" spans="1:3">
      <c r="A24" s="42" t="s">
        <v>542</v>
      </c>
      <c r="B24" s="44" t="s">
        <v>541</v>
      </c>
      <c r="C24" s="39" t="s">
        <v>495</v>
      </c>
    </row>
    <row r="25" spans="1:3">
      <c r="A25" s="42" t="s">
        <v>543</v>
      </c>
      <c r="B25" s="44" t="s">
        <v>541</v>
      </c>
      <c r="C25" s="39" t="s">
        <v>495</v>
      </c>
    </row>
    <row r="26" spans="1:3">
      <c r="A26" t="s">
        <v>545</v>
      </c>
      <c r="B26" s="44" t="s">
        <v>544</v>
      </c>
      <c r="C26" s="39" t="s">
        <v>495</v>
      </c>
    </row>
    <row r="27" spans="1:3">
      <c r="A27" s="42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8"/>
      <c r="B34" s="44"/>
      <c r="C34" s="39"/>
    </row>
    <row r="35" spans="1:3">
      <c r="A35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3" workbookViewId="0">
      <selection activeCell="A25" sqref="A25"/>
    </sheetView>
  </sheetViews>
  <sheetFormatPr defaultRowHeight="12.75"/>
  <cols>
    <col min="1" max="4" width="25.7109375" customWidth="1"/>
  </cols>
  <sheetData>
    <row r="1" spans="1:6">
      <c r="E1">
        <v>3</v>
      </c>
      <c r="F1">
        <v>4</v>
      </c>
    </row>
    <row r="2" spans="1:6">
      <c r="E2">
        <v>2019</v>
      </c>
      <c r="F2">
        <v>2018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21585</v>
      </c>
      <c r="F5">
        <v>18795</v>
      </c>
    </row>
    <row r="6" spans="1:6">
      <c r="A6" t="s">
        <v>377</v>
      </c>
      <c r="B6" t="s">
        <v>126</v>
      </c>
      <c r="C6" t="s">
        <v>126</v>
      </c>
      <c r="D6" t="s">
        <v>116</v>
      </c>
      <c r="E6">
        <v>27315</v>
      </c>
      <c r="F6">
        <v>27560</v>
      </c>
    </row>
    <row r="7" spans="1:6">
      <c r="A7" t="s">
        <v>348</v>
      </c>
      <c r="B7" t="s">
        <v>134</v>
      </c>
      <c r="C7" t="s">
        <v>134</v>
      </c>
      <c r="D7" t="s">
        <v>116</v>
      </c>
      <c r="E7">
        <v>20713</v>
      </c>
      <c r="F7">
        <v>19052</v>
      </c>
    </row>
    <row r="8" spans="1:6">
      <c r="A8" t="s">
        <v>378</v>
      </c>
      <c r="B8" t="s">
        <v>133</v>
      </c>
      <c r="C8" t="s">
        <v>133</v>
      </c>
      <c r="D8" t="s">
        <v>116</v>
      </c>
      <c r="E8">
        <v>1880</v>
      </c>
      <c r="F8">
        <v>4867</v>
      </c>
    </row>
    <row r="9" spans="1:6">
      <c r="A9" t="s">
        <v>379</v>
      </c>
      <c r="B9" t="s">
        <v>138</v>
      </c>
      <c r="C9" t="s">
        <v>138</v>
      </c>
      <c r="D9" t="s">
        <v>116</v>
      </c>
      <c r="E9">
        <v>19600</v>
      </c>
      <c r="F9">
        <v>24633</v>
      </c>
    </row>
    <row r="10" spans="1:6">
      <c r="A10" t="s">
        <v>380</v>
      </c>
      <c r="B10" t="s">
        <v>12</v>
      </c>
      <c r="C10" t="s">
        <v>12</v>
      </c>
      <c r="D10" t="s">
        <v>116</v>
      </c>
      <c r="E10">
        <v>91093</v>
      </c>
      <c r="F10">
        <v>94907</v>
      </c>
    </row>
    <row r="11" spans="1:6">
      <c r="A11" t="s">
        <v>381</v>
      </c>
      <c r="B11" t="s">
        <v>382</v>
      </c>
      <c r="C11" t="s">
        <v>84</v>
      </c>
      <c r="D11" t="s">
        <v>80</v>
      </c>
      <c r="E11">
        <v>805337</v>
      </c>
      <c r="F11">
        <v>726455</v>
      </c>
    </row>
    <row r="12" spans="1:6">
      <c r="A12" t="s">
        <v>383</v>
      </c>
      <c r="B12" t="s">
        <v>101</v>
      </c>
      <c r="C12" t="s">
        <v>101</v>
      </c>
      <c r="D12" t="s">
        <v>80</v>
      </c>
      <c r="E12">
        <v>6736</v>
      </c>
      <c r="F12">
        <v>7789</v>
      </c>
    </row>
    <row r="13" spans="1:6">
      <c r="A13" t="s">
        <v>384</v>
      </c>
      <c r="D13" t="s">
        <v>80</v>
      </c>
      <c r="E13">
        <v>79000</v>
      </c>
      <c r="F13">
        <v>79000</v>
      </c>
    </row>
    <row r="14" spans="1:6">
      <c r="A14" t="s">
        <v>385</v>
      </c>
      <c r="B14" t="s">
        <v>385</v>
      </c>
      <c r="C14" t="s">
        <v>91</v>
      </c>
      <c r="D14" t="s">
        <v>80</v>
      </c>
      <c r="E14">
        <v>272625</v>
      </c>
      <c r="F14">
        <v>272566</v>
      </c>
    </row>
    <row r="15" spans="1:6">
      <c r="A15" t="s">
        <v>386</v>
      </c>
      <c r="B15" t="s">
        <v>114</v>
      </c>
      <c r="C15" t="s">
        <v>114</v>
      </c>
      <c r="D15" t="s">
        <v>80</v>
      </c>
      <c r="E15">
        <v>18396</v>
      </c>
      <c r="F15">
        <v>16313</v>
      </c>
    </row>
    <row r="16" spans="1:6">
      <c r="A16" t="s">
        <v>387</v>
      </c>
      <c r="D16" t="s">
        <v>80</v>
      </c>
      <c r="E16">
        <v>1273187</v>
      </c>
      <c r="F16">
        <v>1197030</v>
      </c>
    </row>
    <row r="17" spans="1:6">
      <c r="A17" t="s">
        <v>388</v>
      </c>
      <c r="D17" t="s">
        <v>80</v>
      </c>
    </row>
    <row r="18" spans="1:6">
      <c r="A18" t="s">
        <v>389</v>
      </c>
      <c r="B18" t="s">
        <v>141</v>
      </c>
      <c r="C18" t="s">
        <v>141</v>
      </c>
      <c r="D18" t="s">
        <v>141</v>
      </c>
    </row>
    <row r="19" spans="1:6">
      <c r="A19" t="s">
        <v>390</v>
      </c>
      <c r="B19" t="s">
        <v>146</v>
      </c>
      <c r="C19" t="s">
        <v>146</v>
      </c>
      <c r="D19" t="s">
        <v>141</v>
      </c>
      <c r="E19">
        <v>15000</v>
      </c>
      <c r="F19">
        <v>15000</v>
      </c>
    </row>
    <row r="20" spans="1:6">
      <c r="A20" t="s">
        <v>391</v>
      </c>
      <c r="B20" t="s">
        <v>391</v>
      </c>
      <c r="C20" t="s">
        <v>163</v>
      </c>
      <c r="D20" t="s">
        <v>141</v>
      </c>
      <c r="E20">
        <v>60427</v>
      </c>
      <c r="F20">
        <v>54627</v>
      </c>
    </row>
    <row r="21" spans="1:6">
      <c r="A21" t="s">
        <v>392</v>
      </c>
      <c r="B21" t="s">
        <v>151</v>
      </c>
      <c r="C21" t="s">
        <v>151</v>
      </c>
      <c r="D21" t="s">
        <v>141</v>
      </c>
      <c r="E21">
        <v>157164</v>
      </c>
      <c r="F21">
        <v>135161</v>
      </c>
    </row>
    <row r="22" spans="1:6">
      <c r="A22" t="s">
        <v>393</v>
      </c>
      <c r="B22" t="s">
        <v>159</v>
      </c>
      <c r="C22" t="s">
        <v>159</v>
      </c>
      <c r="D22" t="s">
        <v>141</v>
      </c>
      <c r="E22">
        <v>11799</v>
      </c>
      <c r="F22">
        <v>3037</v>
      </c>
    </row>
    <row r="23" spans="1:6">
      <c r="A23" t="s">
        <v>394</v>
      </c>
      <c r="B23" t="s">
        <v>13</v>
      </c>
      <c r="C23" t="s">
        <v>13</v>
      </c>
      <c r="D23" t="s">
        <v>141</v>
      </c>
      <c r="E23">
        <v>244390</v>
      </c>
      <c r="F23">
        <v>207825</v>
      </c>
    </row>
    <row r="24" spans="1:6">
      <c r="A24" t="s">
        <v>395</v>
      </c>
      <c r="B24" t="s">
        <v>101</v>
      </c>
      <c r="C24" t="s">
        <v>101</v>
      </c>
      <c r="D24" t="s">
        <v>80</v>
      </c>
      <c r="E24">
        <v>14634</v>
      </c>
      <c r="F24">
        <v>10213</v>
      </c>
    </row>
    <row r="25" spans="1:6">
      <c r="A25" t="s">
        <v>396</v>
      </c>
      <c r="D25" t="s">
        <v>141</v>
      </c>
      <c r="E25">
        <v>223678</v>
      </c>
      <c r="F25">
        <v>184994</v>
      </c>
    </row>
    <row r="26" spans="1:6">
      <c r="A26" t="s">
        <v>397</v>
      </c>
      <c r="B26" t="s">
        <v>164</v>
      </c>
      <c r="C26" t="s">
        <v>164</v>
      </c>
      <c r="D26" t="s">
        <v>141</v>
      </c>
      <c r="E26">
        <v>24179</v>
      </c>
      <c r="F26">
        <v>21103</v>
      </c>
    </row>
    <row r="27" spans="1:6">
      <c r="A27" t="s">
        <v>398</v>
      </c>
      <c r="B27" t="s">
        <v>169</v>
      </c>
      <c r="C27" t="s">
        <v>168</v>
      </c>
      <c r="D27" t="s">
        <v>165</v>
      </c>
      <c r="E27">
        <v>378469</v>
      </c>
      <c r="F27">
        <v>351249</v>
      </c>
    </row>
    <row r="28" spans="1:6">
      <c r="A28" t="s">
        <v>399</v>
      </c>
      <c r="B28" t="s">
        <v>180</v>
      </c>
      <c r="C28" t="s">
        <v>180</v>
      </c>
      <c r="D28" t="s">
        <v>165</v>
      </c>
    </row>
    <row r="29" spans="1:6">
      <c r="A29" t="s">
        <v>400</v>
      </c>
      <c r="B29" t="s">
        <v>181</v>
      </c>
      <c r="C29" t="s">
        <v>181</v>
      </c>
      <c r="D29" t="s">
        <v>165</v>
      </c>
    </row>
    <row r="30" spans="1:6">
      <c r="A30" t="s">
        <v>401</v>
      </c>
      <c r="B30" t="s">
        <v>182</v>
      </c>
      <c r="C30" t="s">
        <v>182</v>
      </c>
      <c r="D30" t="s">
        <v>181</v>
      </c>
    </row>
    <row r="31" spans="1:6">
      <c r="A31" t="s">
        <v>402</v>
      </c>
      <c r="D31" t="s">
        <v>181</v>
      </c>
    </row>
    <row r="32" spans="1:6">
      <c r="A32" t="s">
        <v>403</v>
      </c>
      <c r="D32" t="s">
        <v>181</v>
      </c>
      <c r="E32">
        <v>432</v>
      </c>
      <c r="F32">
        <v>427</v>
      </c>
    </row>
    <row r="33" spans="1:6">
      <c r="A33" t="s">
        <v>404</v>
      </c>
      <c r="D33" t="s">
        <v>181</v>
      </c>
    </row>
    <row r="34" spans="1:6">
      <c r="A34" t="s">
        <v>405</v>
      </c>
      <c r="D34" t="s">
        <v>181</v>
      </c>
      <c r="E34">
        <v>331255</v>
      </c>
      <c r="F34">
        <v>320488</v>
      </c>
    </row>
    <row r="35" spans="1:6">
      <c r="A35" t="s">
        <v>406</v>
      </c>
      <c r="D35" t="s">
        <v>181</v>
      </c>
    </row>
    <row r="36" spans="1:6">
      <c r="A36" t="s">
        <v>407</v>
      </c>
      <c r="D36" t="s">
        <v>181</v>
      </c>
      <c r="E36">
        <v>-297129</v>
      </c>
      <c r="F36">
        <v>-147331</v>
      </c>
    </row>
    <row r="37" spans="1:6">
      <c r="A37" t="s">
        <v>408</v>
      </c>
      <c r="B37" t="s">
        <v>189</v>
      </c>
      <c r="C37" t="s">
        <v>189</v>
      </c>
      <c r="D37" t="s">
        <v>181</v>
      </c>
      <c r="E37">
        <v>-683</v>
      </c>
      <c r="F37">
        <v>-249</v>
      </c>
    </row>
    <row r="38" spans="1:6">
      <c r="A38" t="s">
        <v>409</v>
      </c>
      <c r="B38" t="s">
        <v>187</v>
      </c>
      <c r="C38" t="s">
        <v>187</v>
      </c>
      <c r="D38" t="s">
        <v>181</v>
      </c>
      <c r="E38">
        <v>353962</v>
      </c>
      <c r="F38">
        <v>248311</v>
      </c>
    </row>
    <row r="39" spans="1:6">
      <c r="A39" t="s">
        <v>410</v>
      </c>
      <c r="B39" t="s">
        <v>195</v>
      </c>
      <c r="C39" t="s">
        <v>195</v>
      </c>
      <c r="D39" t="s">
        <v>181</v>
      </c>
      <c r="E39">
        <v>387837</v>
      </c>
      <c r="F39">
        <v>421646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C17" sqref="C17"/>
    </sheetView>
  </sheetViews>
  <sheetFormatPr defaultRowHeight="12.75"/>
  <cols>
    <col min="1" max="4" width="25.7109375" customWidth="1"/>
  </cols>
  <sheetData>
    <row r="3" spans="1:7">
      <c r="E3">
        <v>3</v>
      </c>
      <c r="F3">
        <v>4</v>
      </c>
      <c r="G3">
        <v>29</v>
      </c>
    </row>
    <row r="4" spans="1:7">
      <c r="E4">
        <v>2019</v>
      </c>
      <c r="F4">
        <v>2018</v>
      </c>
      <c r="G4">
        <v>2017</v>
      </c>
    </row>
    <row r="5" spans="1:7">
      <c r="A5" t="s">
        <v>411</v>
      </c>
      <c r="E5">
        <v>536469</v>
      </c>
      <c r="F5">
        <v>494816</v>
      </c>
      <c r="G5">
        <v>452140</v>
      </c>
    </row>
    <row r="6" spans="1:7">
      <c r="A6" t="s">
        <v>412</v>
      </c>
      <c r="E6">
        <v>728832</v>
      </c>
      <c r="F6">
        <v>644975</v>
      </c>
      <c r="G6">
        <v>553018</v>
      </c>
    </row>
    <row r="7" spans="1:7">
      <c r="A7" t="s">
        <v>413</v>
      </c>
      <c r="E7">
        <v>1265301</v>
      </c>
      <c r="F7">
        <v>1139791</v>
      </c>
      <c r="G7">
        <v>1005158</v>
      </c>
    </row>
    <row r="8" spans="1:7">
      <c r="A8" t="s">
        <v>414</v>
      </c>
      <c r="E8">
        <v>139199</v>
      </c>
      <c r="F8">
        <v>127600</v>
      </c>
      <c r="G8">
        <v>114946</v>
      </c>
    </row>
    <row r="9" spans="1:7">
      <c r="A9" t="s">
        <v>415</v>
      </c>
      <c r="E9">
        <v>81064</v>
      </c>
      <c r="F9">
        <v>69072</v>
      </c>
      <c r="G9">
        <v>65354</v>
      </c>
    </row>
    <row r="10" spans="1:7">
      <c r="A10" t="s">
        <v>416</v>
      </c>
      <c r="B10" t="s">
        <v>27</v>
      </c>
      <c r="C10" t="s">
        <v>27</v>
      </c>
      <c r="E10">
        <v>-220263</v>
      </c>
      <c r="F10">
        <v>-196672</v>
      </c>
      <c r="G10">
        <v>180300</v>
      </c>
    </row>
    <row r="11" spans="1:7">
      <c r="A11" t="s">
        <v>417</v>
      </c>
      <c r="E11">
        <v>296924</v>
      </c>
      <c r="F11">
        <v>256724</v>
      </c>
      <c r="G11">
        <v>228827</v>
      </c>
    </row>
    <row r="12" spans="1:7">
      <c r="A12" t="s">
        <v>418</v>
      </c>
      <c r="B12" t="s">
        <v>38</v>
      </c>
      <c r="C12" t="s">
        <v>38</v>
      </c>
      <c r="D12" t="s">
        <v>419</v>
      </c>
      <c r="E12">
        <v>384155</v>
      </c>
      <c r="F12">
        <v>334546</v>
      </c>
      <c r="G12">
        <v>287322</v>
      </c>
    </row>
    <row r="13" spans="1:7">
      <c r="A13" t="s">
        <v>420</v>
      </c>
      <c r="B13" t="s">
        <v>36</v>
      </c>
      <c r="C13" t="s">
        <v>36</v>
      </c>
      <c r="D13" t="s">
        <v>419</v>
      </c>
      <c r="E13">
        <v>61521</v>
      </c>
      <c r="F13">
        <v>59565</v>
      </c>
      <c r="G13">
        <v>54474</v>
      </c>
    </row>
    <row r="14" spans="1:7">
      <c r="A14" t="s">
        <v>421</v>
      </c>
      <c r="B14" t="s">
        <v>42</v>
      </c>
      <c r="C14" t="s">
        <v>42</v>
      </c>
      <c r="D14" t="s">
        <v>419</v>
      </c>
      <c r="E14">
        <v>118275</v>
      </c>
      <c r="F14">
        <v>102766</v>
      </c>
      <c r="G14">
        <v>88305</v>
      </c>
    </row>
    <row r="15" spans="1:7">
      <c r="A15" t="s">
        <v>422</v>
      </c>
      <c r="D15" t="s">
        <v>419</v>
      </c>
      <c r="E15">
        <v>23163</v>
      </c>
      <c r="F15">
        <v>23746</v>
      </c>
      <c r="G15">
        <v>15414</v>
      </c>
    </row>
    <row r="16" spans="1:7">
      <c r="A16" t="s">
        <v>423</v>
      </c>
      <c r="B16" t="s">
        <v>45</v>
      </c>
      <c r="C16" t="s">
        <v>45</v>
      </c>
      <c r="D16" t="s">
        <v>419</v>
      </c>
      <c r="E16">
        <v>-1104301</v>
      </c>
      <c r="F16">
        <v>-974019</v>
      </c>
      <c r="G16">
        <v>854642</v>
      </c>
    </row>
    <row r="17" spans="1:7">
      <c r="A17" t="s">
        <v>424</v>
      </c>
      <c r="B17" t="s">
        <v>419</v>
      </c>
      <c r="C17" t="s">
        <v>26</v>
      </c>
      <c r="D17" t="s">
        <v>419</v>
      </c>
      <c r="E17">
        <v>161000</v>
      </c>
      <c r="F17">
        <v>165772</v>
      </c>
      <c r="G17">
        <v>150516</v>
      </c>
    </row>
    <row r="18" spans="1:7">
      <c r="A18" t="s">
        <v>425</v>
      </c>
      <c r="B18" t="s">
        <v>54</v>
      </c>
      <c r="C18" t="s">
        <v>54</v>
      </c>
      <c r="D18" t="s">
        <v>419</v>
      </c>
      <c r="E18">
        <v>13113</v>
      </c>
      <c r="F18">
        <v>8665</v>
      </c>
      <c r="G18">
        <v>6985</v>
      </c>
    </row>
    <row r="19" spans="1:7">
      <c r="A19" t="s">
        <v>426</v>
      </c>
      <c r="D19" t="s">
        <v>419</v>
      </c>
      <c r="F19">
        <v>718</v>
      </c>
    </row>
    <row r="20" spans="1:7">
      <c r="A20" t="s">
        <v>427</v>
      </c>
      <c r="B20" t="s">
        <v>61</v>
      </c>
      <c r="C20" t="s">
        <v>61</v>
      </c>
      <c r="D20" t="s">
        <v>419</v>
      </c>
      <c r="E20">
        <v>147887</v>
      </c>
      <c r="F20">
        <v>156389</v>
      </c>
      <c r="G20">
        <v>143531</v>
      </c>
    </row>
    <row r="21" spans="1:7">
      <c r="A21" t="s">
        <v>428</v>
      </c>
      <c r="B21" t="s">
        <v>62</v>
      </c>
      <c r="C21" t="s">
        <v>62</v>
      </c>
      <c r="D21" t="s">
        <v>419</v>
      </c>
      <c r="E21">
        <v>30666</v>
      </c>
      <c r="F21">
        <v>35440</v>
      </c>
      <c r="G21">
        <v>52736</v>
      </c>
    </row>
    <row r="22" spans="1:7">
      <c r="A22" t="s">
        <v>429</v>
      </c>
      <c r="B22" t="s">
        <v>70</v>
      </c>
      <c r="C22" t="s">
        <v>70</v>
      </c>
      <c r="D22" t="s">
        <v>419</v>
      </c>
      <c r="E22">
        <v>117221</v>
      </c>
      <c r="F22">
        <v>120949</v>
      </c>
      <c r="G22">
        <v>90795</v>
      </c>
    </row>
    <row r="23" spans="1:7">
      <c r="A23" t="s">
        <v>430</v>
      </c>
      <c r="B23" t="s">
        <v>59</v>
      </c>
      <c r="C23" t="s">
        <v>59</v>
      </c>
      <c r="D23" t="s">
        <v>419</v>
      </c>
      <c r="E23">
        <v>-434</v>
      </c>
      <c r="F23">
        <v>474</v>
      </c>
      <c r="G23">
        <v>247</v>
      </c>
    </row>
    <row r="24" spans="1:7">
      <c r="A24" t="s">
        <v>431</v>
      </c>
      <c r="B24" t="s">
        <v>432</v>
      </c>
      <c r="C24" t="s">
        <v>432</v>
      </c>
      <c r="D24" t="s">
        <v>419</v>
      </c>
      <c r="E24">
        <v>116787</v>
      </c>
      <c r="F24">
        <v>121423</v>
      </c>
      <c r="G24">
        <v>91042</v>
      </c>
    </row>
    <row r="25" spans="1:7">
      <c r="A25" t="s">
        <v>433</v>
      </c>
      <c r="D25" t="s">
        <v>419</v>
      </c>
    </row>
    <row r="26" spans="1:7">
      <c r="A26" t="s">
        <v>434</v>
      </c>
      <c r="D26" t="s">
        <v>419</v>
      </c>
      <c r="E26">
        <v>300</v>
      </c>
      <c r="F26">
        <v>293</v>
      </c>
      <c r="G26">
        <v>216</v>
      </c>
    </row>
    <row r="27" spans="1:7">
      <c r="A27" t="s">
        <v>435</v>
      </c>
      <c r="D27" t="s">
        <v>419</v>
      </c>
      <c r="E27">
        <v>293</v>
      </c>
      <c r="F27">
        <v>284</v>
      </c>
      <c r="G27">
        <v>210</v>
      </c>
    </row>
    <row r="28" spans="1:7">
      <c r="A28" t="s">
        <v>436</v>
      </c>
      <c r="D28" t="s">
        <v>419</v>
      </c>
    </row>
    <row r="29" spans="1:7">
      <c r="A29" t="s">
        <v>434</v>
      </c>
      <c r="D29" t="s">
        <v>419</v>
      </c>
      <c r="E29">
        <v>39047106</v>
      </c>
      <c r="F29">
        <v>41276314</v>
      </c>
      <c r="G29">
        <v>41951770</v>
      </c>
    </row>
    <row r="30" spans="1:7">
      <c r="A30" t="s">
        <v>435</v>
      </c>
      <c r="D30" t="s">
        <v>419</v>
      </c>
      <c r="E30">
        <v>39975122</v>
      </c>
      <c r="F30">
        <v>42583009</v>
      </c>
      <c r="G30">
        <v>43288592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84"/>
  <sheetViews>
    <sheetView workbookViewId="0"/>
  </sheetViews>
  <sheetFormatPr defaultRowHeight="12.75"/>
  <cols>
    <col min="1" max="4" width="25.7109375" customWidth="1"/>
  </cols>
  <sheetData>
    <row r="7" spans="1:7">
      <c r="A7" t="s">
        <v>437</v>
      </c>
      <c r="F7">
        <v>4.1618933416280832E+16</v>
      </c>
    </row>
    <row r="8" spans="1:7">
      <c r="A8" t="s">
        <v>429</v>
      </c>
      <c r="B8" t="s">
        <v>232</v>
      </c>
      <c r="C8" t="s">
        <v>232</v>
      </c>
      <c r="D8" t="s">
        <v>438</v>
      </c>
    </row>
    <row r="9" spans="1:7">
      <c r="A9" t="s">
        <v>439</v>
      </c>
    </row>
    <row r="10" spans="1:7">
      <c r="A10" t="s">
        <v>440</v>
      </c>
      <c r="B10" t="s">
        <v>248</v>
      </c>
      <c r="C10" t="s">
        <v>248</v>
      </c>
      <c r="D10" t="s">
        <v>438</v>
      </c>
      <c r="G10">
        <v>5828</v>
      </c>
    </row>
    <row r="11" spans="1:7">
      <c r="A11" t="s">
        <v>441</v>
      </c>
      <c r="E11">
        <v>850637</v>
      </c>
      <c r="F11">
        <v>9</v>
      </c>
      <c r="G11">
        <v>4351</v>
      </c>
    </row>
    <row r="12" spans="1:7">
      <c r="A12" t="s">
        <v>442</v>
      </c>
      <c r="B12" t="s">
        <v>251</v>
      </c>
      <c r="C12" t="s">
        <v>251</v>
      </c>
    </row>
    <row r="13" spans="1:7">
      <c r="A13" t="s">
        <v>443</v>
      </c>
      <c r="B13" t="s">
        <v>248</v>
      </c>
      <c r="C13" t="s">
        <v>248</v>
      </c>
      <c r="D13" t="s">
        <v>438</v>
      </c>
      <c r="G13">
        <v>19304</v>
      </c>
    </row>
    <row r="14" spans="1:7">
      <c r="A14" t="s">
        <v>444</v>
      </c>
      <c r="B14" t="s">
        <v>298</v>
      </c>
      <c r="C14" t="s">
        <v>298</v>
      </c>
      <c r="D14" t="s">
        <v>445</v>
      </c>
    </row>
    <row r="15" spans="1:7">
      <c r="A15" t="s">
        <v>446</v>
      </c>
      <c r="G15">
        <v>-81</v>
      </c>
    </row>
    <row r="16" spans="1:7">
      <c r="A16" t="s">
        <v>447</v>
      </c>
      <c r="E16">
        <v>42469570</v>
      </c>
      <c r="F16">
        <v>425</v>
      </c>
      <c r="G16">
        <v>310230</v>
      </c>
    </row>
    <row r="17" spans="1:7">
      <c r="A17" t="s">
        <v>429</v>
      </c>
      <c r="B17" t="s">
        <v>232</v>
      </c>
      <c r="C17" t="s">
        <v>232</v>
      </c>
      <c r="D17" t="s">
        <v>438</v>
      </c>
    </row>
    <row r="18" spans="1:7">
      <c r="A18" t="s">
        <v>439</v>
      </c>
    </row>
    <row r="19" spans="1:7">
      <c r="A19" t="s">
        <v>440</v>
      </c>
      <c r="B19" t="s">
        <v>248</v>
      </c>
      <c r="C19" t="s">
        <v>248</v>
      </c>
      <c r="D19" t="s">
        <v>438</v>
      </c>
      <c r="G19">
        <v>8916</v>
      </c>
    </row>
    <row r="20" spans="1:7">
      <c r="A20" t="s">
        <v>448</v>
      </c>
    </row>
    <row r="21" spans="1:7">
      <c r="A21" t="s">
        <v>449</v>
      </c>
    </row>
    <row r="22" spans="1:7">
      <c r="A22" t="s">
        <v>441</v>
      </c>
      <c r="E22">
        <v>191236</v>
      </c>
      <c r="F22">
        <v>2</v>
      </c>
      <c r="G22">
        <v>1342</v>
      </c>
    </row>
    <row r="23" spans="1:7">
      <c r="A23" t="s">
        <v>444</v>
      </c>
      <c r="B23" t="s">
        <v>298</v>
      </c>
      <c r="C23" t="s">
        <v>298</v>
      </c>
      <c r="D23" t="s">
        <v>445</v>
      </c>
    </row>
    <row r="24" spans="1:7">
      <c r="A24" t="s">
        <v>446</v>
      </c>
    </row>
    <row r="25" spans="1:7">
      <c r="A25" t="s">
        <v>450</v>
      </c>
      <c r="E25">
        <v>42660806</v>
      </c>
      <c r="F25">
        <v>427</v>
      </c>
      <c r="G25">
        <v>320488</v>
      </c>
    </row>
    <row r="26" spans="1:7">
      <c r="A26" t="s">
        <v>429</v>
      </c>
      <c r="B26" t="s">
        <v>232</v>
      </c>
      <c r="C26" t="s">
        <v>232</v>
      </c>
      <c r="D26" t="s">
        <v>438</v>
      </c>
    </row>
    <row r="27" spans="1:7">
      <c r="A27" t="s">
        <v>451</v>
      </c>
    </row>
    <row r="28" spans="1:7">
      <c r="A28" t="s">
        <v>452</v>
      </c>
    </row>
    <row r="29" spans="1:7">
      <c r="A29" t="s">
        <v>440</v>
      </c>
      <c r="B29" t="s">
        <v>248</v>
      </c>
      <c r="C29" t="s">
        <v>248</v>
      </c>
      <c r="D29" t="s">
        <v>438</v>
      </c>
      <c r="G29">
        <v>7422</v>
      </c>
    </row>
    <row r="30" spans="1:7">
      <c r="A30" t="s">
        <v>441</v>
      </c>
      <c r="E30">
        <v>516670</v>
      </c>
      <c r="F30">
        <v>5</v>
      </c>
      <c r="G30">
        <v>3345</v>
      </c>
    </row>
    <row r="31" spans="1:7">
      <c r="A31" t="s">
        <v>444</v>
      </c>
      <c r="B31" t="s">
        <v>298</v>
      </c>
      <c r="C31" t="s">
        <v>298</v>
      </c>
      <c r="D31" t="s">
        <v>445</v>
      </c>
    </row>
    <row r="33" spans="1:7">
      <c r="A33" t="s">
        <v>453</v>
      </c>
    </row>
    <row r="36" spans="1:7">
      <c r="E36">
        <v>3</v>
      </c>
      <c r="F36">
        <v>4</v>
      </c>
      <c r="G36">
        <v>29</v>
      </c>
    </row>
    <row r="37" spans="1:7">
      <c r="E37">
        <v>2019</v>
      </c>
      <c r="F37">
        <v>2018</v>
      </c>
      <c r="G37">
        <v>2017</v>
      </c>
    </row>
    <row r="38" spans="1:7">
      <c r="A38" t="s">
        <v>454</v>
      </c>
      <c r="B38" t="s">
        <v>231</v>
      </c>
      <c r="C38" t="s">
        <v>231</v>
      </c>
      <c r="D38" t="s">
        <v>438</v>
      </c>
    </row>
    <row r="39" spans="1:7">
      <c r="A39" t="s">
        <v>429</v>
      </c>
      <c r="B39" t="s">
        <v>232</v>
      </c>
      <c r="C39" t="s">
        <v>232</v>
      </c>
      <c r="D39" t="s">
        <v>438</v>
      </c>
      <c r="E39">
        <v>117221</v>
      </c>
      <c r="F39">
        <v>120949</v>
      </c>
      <c r="G39">
        <v>90795</v>
      </c>
    </row>
    <row r="40" spans="1:7">
      <c r="A40" t="s">
        <v>455</v>
      </c>
    </row>
    <row r="41" spans="1:7">
      <c r="A41" t="s">
        <v>421</v>
      </c>
      <c r="B41" t="s">
        <v>236</v>
      </c>
      <c r="C41" t="s">
        <v>236</v>
      </c>
      <c r="D41" t="s">
        <v>438</v>
      </c>
      <c r="E41">
        <v>118275</v>
      </c>
      <c r="F41">
        <v>102766</v>
      </c>
      <c r="G41">
        <v>88305</v>
      </c>
    </row>
    <row r="42" spans="1:7">
      <c r="A42" t="s">
        <v>456</v>
      </c>
      <c r="E42">
        <v>5474</v>
      </c>
      <c r="F42">
        <v>-8845</v>
      </c>
      <c r="G42">
        <v>6961</v>
      </c>
    </row>
    <row r="43" spans="1:7">
      <c r="A43" t="s">
        <v>457</v>
      </c>
      <c r="G43">
        <v>-19304</v>
      </c>
    </row>
    <row r="44" spans="1:7">
      <c r="A44" t="s">
        <v>458</v>
      </c>
      <c r="F44">
        <v>718</v>
      </c>
    </row>
    <row r="45" spans="1:7">
      <c r="A45" t="s">
        <v>459</v>
      </c>
      <c r="B45" t="s">
        <v>242</v>
      </c>
      <c r="C45" t="s">
        <v>242</v>
      </c>
      <c r="D45" t="s">
        <v>438</v>
      </c>
      <c r="E45">
        <v>1121</v>
      </c>
      <c r="F45">
        <v>1863</v>
      </c>
      <c r="G45">
        <v>1533</v>
      </c>
    </row>
    <row r="46" spans="1:7">
      <c r="A46" t="s">
        <v>440</v>
      </c>
      <c r="B46" t="s">
        <v>248</v>
      </c>
      <c r="C46" t="s">
        <v>248</v>
      </c>
      <c r="D46" t="s">
        <v>438</v>
      </c>
      <c r="E46">
        <v>7422</v>
      </c>
      <c r="F46">
        <v>8916</v>
      </c>
      <c r="G46">
        <v>5828</v>
      </c>
    </row>
    <row r="47" spans="1:7">
      <c r="A47" t="s">
        <v>460</v>
      </c>
      <c r="B47" t="s">
        <v>276</v>
      </c>
      <c r="C47" t="s">
        <v>276</v>
      </c>
      <c r="E47">
        <v>1049</v>
      </c>
      <c r="F47">
        <v>881</v>
      </c>
      <c r="G47">
        <v>1467</v>
      </c>
    </row>
    <row r="48" spans="1:7">
      <c r="A48" t="s">
        <v>461</v>
      </c>
    </row>
    <row r="49" spans="1:7">
      <c r="A49" t="s">
        <v>377</v>
      </c>
      <c r="B49" t="s">
        <v>261</v>
      </c>
      <c r="C49" t="s">
        <v>261</v>
      </c>
      <c r="D49" t="s">
        <v>438</v>
      </c>
      <c r="E49">
        <v>245</v>
      </c>
      <c r="F49">
        <v>-5700</v>
      </c>
      <c r="G49">
        <v>-2331</v>
      </c>
    </row>
    <row r="50" spans="1:7">
      <c r="A50" t="s">
        <v>348</v>
      </c>
      <c r="E50">
        <v>-1661</v>
      </c>
      <c r="F50">
        <v>-3224</v>
      </c>
      <c r="G50">
        <v>-2874</v>
      </c>
    </row>
    <row r="51" spans="1:7">
      <c r="A51" t="s">
        <v>462</v>
      </c>
      <c r="B51" t="s">
        <v>292</v>
      </c>
      <c r="C51" t="s">
        <v>292</v>
      </c>
      <c r="E51">
        <v>2987</v>
      </c>
      <c r="F51">
        <v>1034</v>
      </c>
      <c r="G51">
        <v>-1755</v>
      </c>
    </row>
    <row r="52" spans="1:7">
      <c r="A52" t="s">
        <v>379</v>
      </c>
      <c r="B52" t="s">
        <v>276</v>
      </c>
      <c r="C52" t="s">
        <v>276</v>
      </c>
      <c r="D52" t="s">
        <v>438</v>
      </c>
      <c r="E52">
        <v>4705</v>
      </c>
      <c r="F52">
        <v>-13361</v>
      </c>
      <c r="G52">
        <v>6032</v>
      </c>
    </row>
    <row r="53" spans="1:7">
      <c r="A53" t="s">
        <v>386</v>
      </c>
      <c r="B53" t="s">
        <v>266</v>
      </c>
      <c r="C53" t="s">
        <v>266</v>
      </c>
      <c r="D53" t="s">
        <v>438</v>
      </c>
      <c r="E53">
        <v>-2523</v>
      </c>
      <c r="F53">
        <v>-224</v>
      </c>
      <c r="G53">
        <v>487</v>
      </c>
    </row>
    <row r="54" spans="1:7">
      <c r="A54" t="s">
        <v>391</v>
      </c>
      <c r="B54" t="s">
        <v>275</v>
      </c>
      <c r="C54" t="s">
        <v>275</v>
      </c>
      <c r="D54" t="s">
        <v>438</v>
      </c>
      <c r="E54">
        <v>11122</v>
      </c>
      <c r="F54">
        <v>-4071</v>
      </c>
      <c r="G54">
        <v>832</v>
      </c>
    </row>
    <row r="55" spans="1:7">
      <c r="A55" t="s">
        <v>392</v>
      </c>
      <c r="B55" t="s">
        <v>277</v>
      </c>
      <c r="C55" t="s">
        <v>277</v>
      </c>
      <c r="D55" t="s">
        <v>438</v>
      </c>
      <c r="E55">
        <v>21329</v>
      </c>
      <c r="F55">
        <v>22394</v>
      </c>
      <c r="G55">
        <v>14431</v>
      </c>
    </row>
    <row r="56" spans="1:7">
      <c r="A56" t="s">
        <v>393</v>
      </c>
      <c r="B56" t="s">
        <v>463</v>
      </c>
      <c r="C56" t="s">
        <v>247</v>
      </c>
      <c r="D56" t="s">
        <v>438</v>
      </c>
      <c r="E56">
        <v>8762</v>
      </c>
      <c r="F56">
        <v>345</v>
      </c>
      <c r="G56">
        <v>19299</v>
      </c>
    </row>
    <row r="57" spans="1:7">
      <c r="A57" t="s">
        <v>396</v>
      </c>
      <c r="D57" t="s">
        <v>438</v>
      </c>
      <c r="E57">
        <v>38958</v>
      </c>
      <c r="F57">
        <v>37702</v>
      </c>
      <c r="G57">
        <v>20156</v>
      </c>
    </row>
    <row r="58" spans="1:7">
      <c r="A58" t="s">
        <v>397</v>
      </c>
      <c r="B58" t="s">
        <v>277</v>
      </c>
      <c r="C58" t="s">
        <v>277</v>
      </c>
      <c r="D58" t="s">
        <v>438</v>
      </c>
      <c r="E58">
        <v>3130</v>
      </c>
      <c r="F58">
        <v>2529</v>
      </c>
      <c r="G58">
        <v>1467</v>
      </c>
    </row>
    <row r="59" spans="1:7">
      <c r="A59" t="s">
        <v>464</v>
      </c>
      <c r="B59" t="s">
        <v>285</v>
      </c>
      <c r="C59" t="s">
        <v>285</v>
      </c>
      <c r="D59" t="s">
        <v>438</v>
      </c>
      <c r="E59">
        <v>337616</v>
      </c>
      <c r="F59">
        <v>264672</v>
      </c>
      <c r="G59">
        <v>231329</v>
      </c>
    </row>
    <row r="60" spans="1:7">
      <c r="A60" t="s">
        <v>465</v>
      </c>
      <c r="B60" t="s">
        <v>286</v>
      </c>
      <c r="C60" t="s">
        <v>286</v>
      </c>
      <c r="D60" t="s">
        <v>466</v>
      </c>
    </row>
    <row r="61" spans="1:7">
      <c r="A61" t="s">
        <v>467</v>
      </c>
      <c r="B61" t="s">
        <v>287</v>
      </c>
      <c r="C61" t="s">
        <v>287</v>
      </c>
      <c r="D61" t="s">
        <v>466</v>
      </c>
      <c r="E61">
        <v>-216286</v>
      </c>
      <c r="F61">
        <v>-219901</v>
      </c>
      <c r="G61">
        <v>-180577</v>
      </c>
    </row>
    <row r="62" spans="1:7">
      <c r="A62" t="s">
        <v>468</v>
      </c>
      <c r="D62" t="s">
        <v>438</v>
      </c>
      <c r="E62">
        <v>11571</v>
      </c>
      <c r="G62">
        <v>20262</v>
      </c>
    </row>
    <row r="63" spans="1:7">
      <c r="A63" t="s">
        <v>469</v>
      </c>
      <c r="D63" t="s">
        <v>438</v>
      </c>
      <c r="E63">
        <v>541</v>
      </c>
    </row>
    <row r="64" spans="1:7">
      <c r="A64" t="s">
        <v>470</v>
      </c>
      <c r="B64" t="s">
        <v>288</v>
      </c>
      <c r="C64" t="s">
        <v>288</v>
      </c>
      <c r="D64" t="s">
        <v>466</v>
      </c>
      <c r="E64">
        <v>366</v>
      </c>
      <c r="F64">
        <v>78</v>
      </c>
      <c r="G64">
        <v>30</v>
      </c>
    </row>
    <row r="65" spans="1:7">
      <c r="A65" t="s">
        <v>471</v>
      </c>
      <c r="D65" t="s">
        <v>466</v>
      </c>
      <c r="F65">
        <v>3200</v>
      </c>
      <c r="G65">
        <v>800</v>
      </c>
    </row>
    <row r="66" spans="1:7">
      <c r="A66" t="s">
        <v>472</v>
      </c>
      <c r="B66" t="s">
        <v>296</v>
      </c>
      <c r="C66" t="s">
        <v>296</v>
      </c>
      <c r="D66" t="s">
        <v>466</v>
      </c>
      <c r="E66">
        <v>-203808</v>
      </c>
      <c r="F66">
        <v>-216623</v>
      </c>
      <c r="G66">
        <v>-159485</v>
      </c>
    </row>
    <row r="67" spans="1:7">
      <c r="A67" t="s">
        <v>473</v>
      </c>
      <c r="B67" t="s">
        <v>297</v>
      </c>
      <c r="C67" t="s">
        <v>297</v>
      </c>
      <c r="D67" t="s">
        <v>445</v>
      </c>
    </row>
    <row r="68" spans="1:7">
      <c r="A68" t="s">
        <v>474</v>
      </c>
      <c r="B68" t="s">
        <v>299</v>
      </c>
      <c r="C68" t="s">
        <v>299</v>
      </c>
      <c r="D68" t="s">
        <v>445</v>
      </c>
      <c r="E68">
        <v>265000</v>
      </c>
      <c r="F68">
        <v>509000</v>
      </c>
      <c r="G68">
        <v>97000</v>
      </c>
    </row>
    <row r="69" spans="1:7">
      <c r="A69" t="s">
        <v>475</v>
      </c>
      <c r="B69" t="s">
        <v>300</v>
      </c>
      <c r="C69" t="s">
        <v>300</v>
      </c>
      <c r="D69" t="s">
        <v>445</v>
      </c>
      <c r="E69">
        <v>-238000</v>
      </c>
      <c r="F69">
        <v>-406500</v>
      </c>
      <c r="G69">
        <v>-170500</v>
      </c>
    </row>
    <row r="70" spans="1:7">
      <c r="A70" t="s">
        <v>476</v>
      </c>
      <c r="B70" t="s">
        <v>477</v>
      </c>
      <c r="C70" t="s">
        <v>477</v>
      </c>
      <c r="D70" t="s">
        <v>445</v>
      </c>
      <c r="F70">
        <v>-2910</v>
      </c>
    </row>
    <row r="71" spans="1:7">
      <c r="A71" t="s">
        <v>444</v>
      </c>
      <c r="B71" t="s">
        <v>298</v>
      </c>
      <c r="C71" t="s">
        <v>298</v>
      </c>
      <c r="D71" t="s">
        <v>445</v>
      </c>
      <c r="E71">
        <v>-149125</v>
      </c>
      <c r="F71">
        <v>-151913</v>
      </c>
      <c r="G71">
        <v>-28825</v>
      </c>
    </row>
    <row r="72" spans="1:7">
      <c r="A72" t="s">
        <v>478</v>
      </c>
      <c r="D72" t="s">
        <v>445</v>
      </c>
      <c r="E72">
        <v>-673</v>
      </c>
    </row>
    <row r="73" spans="1:7">
      <c r="A73" t="s">
        <v>479</v>
      </c>
      <c r="B73" t="s">
        <v>480</v>
      </c>
      <c r="C73" t="s">
        <v>307</v>
      </c>
      <c r="D73" t="s">
        <v>445</v>
      </c>
      <c r="E73">
        <v>-11570</v>
      </c>
    </row>
    <row r="74" spans="1:7">
      <c r="A74" t="s">
        <v>481</v>
      </c>
      <c r="B74" t="s">
        <v>298</v>
      </c>
      <c r="C74" t="s">
        <v>298</v>
      </c>
      <c r="D74" t="s">
        <v>445</v>
      </c>
      <c r="E74">
        <v>3350</v>
      </c>
      <c r="F74">
        <v>1344</v>
      </c>
      <c r="G74">
        <v>4360</v>
      </c>
    </row>
    <row r="75" spans="1:7">
      <c r="A75" t="s">
        <v>482</v>
      </c>
      <c r="B75" t="s">
        <v>298</v>
      </c>
      <c r="C75" t="s">
        <v>298</v>
      </c>
      <c r="D75" t="s">
        <v>445</v>
      </c>
      <c r="F75">
        <v>1642</v>
      </c>
      <c r="G75">
        <v>1405</v>
      </c>
    </row>
    <row r="76" spans="1:7">
      <c r="A76" t="s">
        <v>457</v>
      </c>
      <c r="B76" t="s">
        <v>251</v>
      </c>
      <c r="C76" t="s">
        <v>251</v>
      </c>
      <c r="D76" t="s">
        <v>438</v>
      </c>
      <c r="G76">
        <v>19304</v>
      </c>
    </row>
    <row r="77" spans="1:7">
      <c r="A77" t="s">
        <v>483</v>
      </c>
      <c r="B77" t="s">
        <v>311</v>
      </c>
      <c r="C77" t="s">
        <v>311</v>
      </c>
      <c r="D77" t="s">
        <v>445</v>
      </c>
      <c r="E77">
        <v>-131018</v>
      </c>
      <c r="F77">
        <v>-49337</v>
      </c>
      <c r="G77">
        <v>-77256</v>
      </c>
    </row>
    <row r="78" spans="1:7">
      <c r="A78" t="s">
        <v>484</v>
      </c>
      <c r="B78" t="s">
        <v>314</v>
      </c>
      <c r="C78" t="s">
        <v>314</v>
      </c>
      <c r="D78" t="s">
        <v>445</v>
      </c>
      <c r="E78">
        <v>2790</v>
      </c>
      <c r="F78">
        <v>-1288</v>
      </c>
      <c r="G78">
        <v>-5412</v>
      </c>
    </row>
    <row r="79" spans="1:7">
      <c r="A79" t="s">
        <v>485</v>
      </c>
      <c r="B79" t="s">
        <v>486</v>
      </c>
      <c r="C79" t="s">
        <v>315</v>
      </c>
      <c r="D79" t="s">
        <v>445</v>
      </c>
      <c r="E79">
        <v>18795</v>
      </c>
      <c r="F79">
        <v>20083</v>
      </c>
      <c r="G79">
        <v>25495</v>
      </c>
    </row>
    <row r="80" spans="1:7">
      <c r="A80" t="s">
        <v>487</v>
      </c>
      <c r="B80" t="s">
        <v>314</v>
      </c>
      <c r="C80" t="s">
        <v>314</v>
      </c>
      <c r="D80" t="s">
        <v>445</v>
      </c>
      <c r="E80">
        <v>21585</v>
      </c>
      <c r="F80">
        <v>18795</v>
      </c>
      <c r="G80">
        <v>20083</v>
      </c>
    </row>
    <row r="81" spans="1:7">
      <c r="A81" t="s">
        <v>488</v>
      </c>
      <c r="D81" t="s">
        <v>445</v>
      </c>
    </row>
    <row r="82" spans="1:7">
      <c r="A82" t="s">
        <v>489</v>
      </c>
      <c r="B82" t="s">
        <v>272</v>
      </c>
      <c r="C82" t="s">
        <v>272</v>
      </c>
      <c r="D82" t="s">
        <v>438</v>
      </c>
      <c r="E82">
        <v>-5321</v>
      </c>
      <c r="F82">
        <v>3420</v>
      </c>
      <c r="G82">
        <v>11610</v>
      </c>
    </row>
    <row r="83" spans="1:7">
      <c r="A83" t="s">
        <v>490</v>
      </c>
      <c r="B83" t="s">
        <v>463</v>
      </c>
      <c r="C83" t="s">
        <v>247</v>
      </c>
      <c r="D83" t="s">
        <v>438</v>
      </c>
      <c r="E83">
        <v>13464</v>
      </c>
      <c r="F83">
        <v>43072</v>
      </c>
      <c r="G83">
        <v>28213</v>
      </c>
    </row>
    <row r="84" spans="1:7">
      <c r="A84" t="s">
        <v>491</v>
      </c>
      <c r="D84" t="s">
        <v>445</v>
      </c>
      <c r="E84">
        <v>12247</v>
      </c>
      <c r="F84">
        <v>7853</v>
      </c>
      <c r="G84">
        <v>6603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EF755D-3826-46B7-A041-0CF8270314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A4DC50-ED4A-4A4E-9900-E6A4A88AF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500E5-827A-44D0-B93F-CA17AD9162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2021-10-26T04:16:49Z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