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9720" windowHeight="5865" activeTab="1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G227" i="1" s="1"/>
  <c r="G11" i="1" s="1"/>
  <c r="F212" i="1"/>
  <c r="F227" i="1" s="1"/>
  <c r="F11" i="1" s="1"/>
  <c r="G184" i="1"/>
  <c r="G189" i="1" s="1"/>
  <c r="G9" i="1" s="1"/>
  <c r="F184" i="1"/>
  <c r="F189" i="1" s="1"/>
  <c r="F9" i="1" s="1"/>
  <c r="G157" i="1"/>
  <c r="G160" i="1" s="1"/>
  <c r="F157" i="1"/>
  <c r="F160" i="1" s="1"/>
  <c r="G92" i="1"/>
  <c r="F92" i="1"/>
  <c r="F98" i="1" s="1"/>
  <c r="F100" i="1" s="1"/>
  <c r="F128" i="1" s="1"/>
  <c r="F7" i="1" s="1"/>
  <c r="G89" i="1"/>
  <c r="G98" i="1" s="1"/>
  <c r="G100" i="1" s="1"/>
  <c r="G128" i="1" s="1"/>
  <c r="G7" i="1" s="1"/>
  <c r="F89" i="1"/>
  <c r="G25" i="1"/>
  <c r="G24" i="1"/>
  <c r="F25" i="1"/>
  <c r="F24" i="1"/>
  <c r="G433" i="1"/>
  <c r="G432" i="1"/>
  <c r="F432" i="1"/>
  <c r="F433" i="1" s="1"/>
  <c r="G417" i="1"/>
  <c r="G418" i="1" s="1"/>
  <c r="F417" i="1"/>
  <c r="F418" i="1" s="1"/>
  <c r="G410" i="1"/>
  <c r="G409" i="1"/>
  <c r="G397" i="1"/>
  <c r="F397" i="1"/>
  <c r="F409" i="1" s="1"/>
  <c r="F410" i="1" s="1"/>
  <c r="L382" i="1"/>
  <c r="K382" i="1"/>
  <c r="O381" i="1"/>
  <c r="N381" i="1"/>
  <c r="M381" i="1"/>
  <c r="L381" i="1"/>
  <c r="K381" i="1"/>
  <c r="J381" i="1"/>
  <c r="J377" i="1"/>
  <c r="I377" i="1"/>
  <c r="L376" i="1"/>
  <c r="K376" i="1"/>
  <c r="O375" i="1"/>
  <c r="N375" i="1"/>
  <c r="M375" i="1"/>
  <c r="L375" i="1"/>
  <c r="K375" i="1"/>
  <c r="J375" i="1"/>
  <c r="O373" i="1"/>
  <c r="L371" i="1"/>
  <c r="K371" i="1"/>
  <c r="N370" i="1"/>
  <c r="M370" i="1"/>
  <c r="O369" i="1"/>
  <c r="J368" i="1"/>
  <c r="I368" i="1"/>
  <c r="L366" i="1"/>
  <c r="K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I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O210" i="1"/>
  <c r="N210" i="1"/>
  <c r="M210" i="1"/>
  <c r="L210" i="1"/>
  <c r="K210" i="1"/>
  <c r="J210" i="1"/>
  <c r="I210" i="1"/>
  <c r="H210" i="1"/>
  <c r="G210" i="1"/>
  <c r="F210" i="1"/>
  <c r="O189" i="1"/>
  <c r="N189" i="1"/>
  <c r="M189" i="1"/>
  <c r="L189" i="1"/>
  <c r="K189" i="1"/>
  <c r="J189" i="1"/>
  <c r="I189" i="1"/>
  <c r="H189" i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O83" i="1"/>
  <c r="N83" i="1"/>
  <c r="M83" i="1"/>
  <c r="L83" i="1"/>
  <c r="K83" i="1"/>
  <c r="J83" i="1"/>
  <c r="I83" i="1"/>
  <c r="H83" i="1"/>
  <c r="O71" i="1"/>
  <c r="O372" i="1" s="1"/>
  <c r="N71" i="1"/>
  <c r="N373" i="1" s="1"/>
  <c r="M71" i="1"/>
  <c r="M373" i="1" s="1"/>
  <c r="L71" i="1"/>
  <c r="L373" i="1" s="1"/>
  <c r="K71" i="1"/>
  <c r="K373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0" i="1" s="1"/>
  <c r="N44" i="1"/>
  <c r="N378" i="1" s="1"/>
  <c r="M44" i="1"/>
  <c r="M378" i="1" s="1"/>
  <c r="L44" i="1"/>
  <c r="L370" i="1" s="1"/>
  <c r="K44" i="1"/>
  <c r="K370" i="1" s="1"/>
  <c r="J44" i="1"/>
  <c r="J370" i="1" s="1"/>
  <c r="I44" i="1"/>
  <c r="I370" i="1" s="1"/>
  <c r="H44" i="1"/>
  <c r="H378" i="1" s="1"/>
  <c r="O43" i="1"/>
  <c r="N43" i="1"/>
  <c r="M43" i="1"/>
  <c r="L43" i="1"/>
  <c r="K43" i="1"/>
  <c r="J43" i="1"/>
  <c r="I43" i="1"/>
  <c r="H43" i="1"/>
  <c r="G43" i="1"/>
  <c r="F43" i="1"/>
  <c r="O30" i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I369" i="1" s="1"/>
  <c r="H30" i="1"/>
  <c r="H369" i="1" s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M366" i="1" s="1"/>
  <c r="L12" i="1"/>
  <c r="K12" i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O10" i="1"/>
  <c r="N10" i="1"/>
  <c r="M10" i="1"/>
  <c r="L10" i="1"/>
  <c r="K10" i="1"/>
  <c r="J10" i="1"/>
  <c r="I10" i="1"/>
  <c r="H10" i="1"/>
  <c r="G10" i="1"/>
  <c r="F10" i="1"/>
  <c r="O9" i="1"/>
  <c r="O384" i="1" s="1"/>
  <c r="N9" i="1"/>
  <c r="N384" i="1" s="1"/>
  <c r="M9" i="1"/>
  <c r="M384" i="1" s="1"/>
  <c r="L9" i="1"/>
  <c r="L384" i="1" s="1"/>
  <c r="K9" i="1"/>
  <c r="K384" i="1" s="1"/>
  <c r="J9" i="1"/>
  <c r="J376" i="1" s="1"/>
  <c r="I9" i="1"/>
  <c r="I376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3" i="1" s="1"/>
  <c r="J8" i="1"/>
  <c r="J382" i="1" s="1"/>
  <c r="I8" i="1"/>
  <c r="I382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K6" i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81" i="1" s="1"/>
  <c r="H5" i="1"/>
  <c r="H368" i="1" s="1"/>
  <c r="G5" i="1"/>
  <c r="G368" i="1" s="1"/>
  <c r="F5" i="1"/>
  <c r="F368" i="1" s="1"/>
  <c r="G377" i="1" l="1"/>
  <c r="G161" i="1"/>
  <c r="G8" i="1" s="1"/>
  <c r="G12" i="1" s="1"/>
  <c r="G366" i="1" s="1"/>
  <c r="F161" i="1"/>
  <c r="F8" i="1" s="1"/>
  <c r="F12" i="1" s="1"/>
  <c r="F376" i="1" s="1"/>
  <c r="H373" i="1"/>
  <c r="G44" i="1"/>
  <c r="G378" i="1" s="1"/>
  <c r="F353" i="1"/>
  <c r="F355" i="1" s="1"/>
  <c r="F357" i="1" s="1"/>
  <c r="F385" i="1"/>
  <c r="G326" i="1"/>
  <c r="F384" i="1"/>
  <c r="F13" i="1"/>
  <c r="F377" i="1"/>
  <c r="G13" i="1"/>
  <c r="O378" i="1"/>
  <c r="K368" i="1"/>
  <c r="K372" i="1"/>
  <c r="I373" i="1"/>
  <c r="G375" i="1"/>
  <c r="M376" i="1"/>
  <c r="K377" i="1"/>
  <c r="I378" i="1"/>
  <c r="G381" i="1"/>
  <c r="M382" i="1"/>
  <c r="I384" i="1"/>
  <c r="I383" i="1"/>
  <c r="F375" i="1"/>
  <c r="H365" i="1"/>
  <c r="L368" i="1"/>
  <c r="H370" i="1"/>
  <c r="L372" i="1"/>
  <c r="J373" i="1"/>
  <c r="H375" i="1"/>
  <c r="N376" i="1"/>
  <c r="L377" i="1"/>
  <c r="J378" i="1"/>
  <c r="H381" i="1"/>
  <c r="N382" i="1"/>
  <c r="J384" i="1"/>
  <c r="F381" i="1"/>
  <c r="H384" i="1"/>
  <c r="I365" i="1"/>
  <c r="M368" i="1"/>
  <c r="M372" i="1"/>
  <c r="I375" i="1"/>
  <c r="O376" i="1"/>
  <c r="M377" i="1"/>
  <c r="K378" i="1"/>
  <c r="O382" i="1"/>
  <c r="J383" i="1"/>
  <c r="F363" i="1"/>
  <c r="N368" i="1"/>
  <c r="N372" i="1"/>
  <c r="H376" i="1"/>
  <c r="N377" i="1"/>
  <c r="L378" i="1"/>
  <c r="H382" i="1"/>
  <c r="G384" i="1"/>
  <c r="G363" i="1"/>
  <c r="O368" i="1"/>
  <c r="O377" i="1"/>
  <c r="F44" i="1"/>
  <c r="H363" i="1"/>
  <c r="G383" i="1" l="1"/>
  <c r="G382" i="1"/>
  <c r="G376" i="1"/>
  <c r="G14" i="1"/>
  <c r="F383" i="1"/>
  <c r="F382" i="1"/>
  <c r="G59" i="1"/>
  <c r="G67" i="1" s="1"/>
  <c r="G71" i="1" s="1"/>
  <c r="G372" i="1" s="1"/>
  <c r="G370" i="1"/>
  <c r="G353" i="1"/>
  <c r="G355" i="1" s="1"/>
  <c r="G357" i="1" s="1"/>
  <c r="G385" i="1"/>
  <c r="F378" i="1"/>
  <c r="F370" i="1"/>
  <c r="F59" i="1"/>
  <c r="F67" i="1" s="1"/>
  <c r="F71" i="1" s="1"/>
  <c r="F366" i="1"/>
  <c r="F14" i="1"/>
  <c r="G6" i="1" l="1"/>
  <c r="G371" i="1" s="1"/>
  <c r="G373" i="1"/>
  <c r="G83" i="1"/>
  <c r="F373" i="1"/>
  <c r="F83" i="1"/>
  <c r="F372" i="1"/>
  <c r="F6" i="1"/>
  <c r="G365" i="1" l="1"/>
  <c r="F365" i="1"/>
  <c r="F371" i="1"/>
</calcChain>
</file>

<file path=xl/sharedStrings.xml><?xml version="1.0" encoding="utf-8"?>
<sst xmlns="http://schemas.openxmlformats.org/spreadsheetml/2006/main" count="1033" uniqueCount="587">
  <si>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</si>
  <si>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</si>
  <si>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</si>
  <si>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</si>
  <si>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</si>
  <si>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</si>
  <si>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</si>
  <si>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</si>
  <si>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</si>
  <si>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</si>
  <si>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</si>
  <si>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</si>
  <si>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</si>
  <si>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</si>
  <si>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</si>
  <si>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</si>
  <si>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</si>
  <si>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</si>
  <si>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</si>
  <si>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</si>
  <si>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</si>
  <si>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</si>
  <si>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</si>
  <si>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</si>
  <si>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</si>
  <si>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</si>
  <si>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</si>
  <si>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</si>
  <si>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</si>
  <si>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</si>
  <si>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</si>
  <si>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</si>
  <si>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</si>
  <si>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</si>
  <si>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</si>
  <si>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</si>
  <si>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</si>
  <si>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</si>
  <si>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</si>
  <si>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</si>
  <si>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</si>
  <si>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</si>
  <si>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</si>
  <si>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</si>
  <si>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</si>
  <si>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</si>
  <si>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</si>
  <si>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</si>
  <si>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</si>
  <si>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</si>
  <si>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</si>
  <si>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</si>
  <si>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</si>
  <si>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</si>
  <si>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</si>
  <si>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</si>
  <si>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</si>
  <si>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</si>
  <si>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</si>
  <si>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</si>
  <si>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</si>
  <si>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</si>
  <si>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</si>
  <si>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</si>
  <si>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</si>
  <si>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</si>
  <si>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</si>
  <si>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</si>
  <si>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</si>
  <si>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</si>
  <si>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</si>
  <si>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</si>
  <si>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</si>
  <si>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</si>
  <si>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</si>
  <si>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</si>
  <si>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</si>
  <si>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</si>
  <si>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</si>
  <si>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</si>
  <si>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</si>
  <si>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</si>
  <si>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</si>
  <si>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</si>
  <si>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</si>
  <si>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</si>
  <si>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</si>
  <si>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</si>
  <si>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</si>
  <si>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</si>
  <si>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</si>
  <si>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</si>
  <si>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</si>
  <si>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</si>
  <si>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</si>
  <si>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</si>
  <si>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</si>
  <si>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</si>
  <si>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</si>
  <si>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</si>
  <si>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</si>
  <si>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</si>
  <si>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</si>
  <si>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</si>
  <si>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</si>
  <si>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</si>
  <si>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</si>
  <si>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</si>
  <si>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</si>
  <si>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</si>
  <si>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</si>
  <si>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</si>
  <si>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</si>
  <si>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</si>
  <si>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</si>
  <si>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</si>
  <si>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</si>
  <si>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</si>
  <si>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</si>
  <si>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</si>
  <si>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</si>
  <si>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</si>
  <si>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</si>
  <si>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</si>
  <si>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</si>
  <si>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</si>
  <si>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</si>
  <si>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</si>
  <si>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</si>
  <si>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</si>
  <si>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</si>
  <si>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</si>
  <si>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</si>
  <si>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</si>
  <si>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</si>
  <si>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</si>
  <si>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</si>
  <si>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</si>
  <si>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</si>
  <si>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</si>
  <si>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</si>
  <si>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</si>
  <si>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</si>
  <si>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</si>
  <si>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</si>
  <si>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</si>
  <si>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</si>
  <si>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</si>
  <si>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</si>
  <si>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</si>
  <si>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</si>
  <si>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</si>
  <si>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</si>
  <si>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</si>
  <si>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</si>
  <si>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</si>
  <si>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</si>
  <si>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</si>
  <si>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</si>
  <si>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</si>
  <si>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</si>
  <si>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</si>
  <si>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</si>
  <si>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</si>
  <si>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</si>
  <si>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</si>
  <si>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</si>
  <si>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</si>
  <si>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</si>
  <si>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</si>
  <si>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</si>
  <si>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</si>
  <si>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</si>
  <si>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</si>
  <si>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</si>
  <si>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</si>
  <si>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</si>
  <si>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</si>
  <si>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</si>
  <si>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</si>
  <si>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</si>
  <si>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</si>
  <si>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</si>
  <si>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</si>
  <si>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</si>
  <si>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</si>
  <si>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</si>
  <si>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</si>
  <si>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</si>
  <si>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</si>
  <si>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</si>
  <si>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</si>
  <si>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</si>
  <si>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</si>
  <si>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</si>
  <si>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</si>
  <si>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</si>
  <si>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</si>
  <si>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</si>
  <si>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</si>
  <si>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</si>
  <si>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</si>
  <si>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</si>
  <si>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</si>
  <si>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</si>
  <si>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</si>
  <si>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</si>
  <si>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</si>
  <si>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</si>
  <si>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</si>
  <si>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</si>
  <si>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</si>
  <si>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</si>
  <si>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</si>
  <si>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</si>
  <si>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</si>
  <si>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</si>
  <si>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</si>
  <si>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</si>
  <si>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</si>
  <si>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</si>
  <si>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</si>
  <si>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</si>
  <si>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</si>
  <si>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</si>
  <si>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</si>
  <si>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</si>
  <si>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</si>
  <si>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</si>
  <si>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</si>
  <si>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</si>
  <si>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</si>
  <si>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</si>
  <si>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</si>
  <si>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</si>
  <si>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</si>
  <si>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</si>
  <si>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</si>
  <si>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</si>
  <si>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</si>
  <si>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</si>
  <si>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</si>
  <si>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</si>
  <si>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</si>
  <si>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</si>
  <si>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</si>
  <si>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</si>
  <si>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</si>
  <si>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</si>
  <si>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</si>
  <si>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</si>
  <si>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</si>
  <si>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</si>
  <si>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</si>
  <si>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</si>
  <si>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</si>
  <si>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</si>
  <si>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</si>
  <si>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</si>
  <si>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</si>
  <si>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</si>
  <si>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</si>
  <si>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</si>
  <si>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</si>
  <si>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</si>
  <si>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</si>
  <si>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</si>
  <si>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</si>
  <si>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</si>
  <si>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</si>
  <si>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</si>
  <si>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</si>
  <si>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</si>
  <si>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</si>
  <si>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</si>
  <si>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</si>
  <si>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</si>
  <si>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</si>
  <si>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</si>
  <si>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</si>
  <si>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</si>
  <si>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</si>
  <si>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</si>
  <si>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</si>
  <si>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</si>
  <si>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</si>
  <si>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</si>
  <si>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</si>
  <si>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</si>
  <si>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</si>
  <si>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</si>
  <si>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</si>
  <si>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</si>
  <si>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</si>
  <si>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</si>
  <si>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</si>
  <si>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</si>
  <si>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</si>
  <si>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</si>
  <si>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</si>
  <si>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</si>
  <si>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</si>
  <si>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</si>
  <si>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</si>
  <si>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</si>
  <si>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</si>
  <si>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</si>
  <si>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</si>
  <si>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</si>
  <si>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</si>
  <si>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</si>
  <si>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</si>
  <si>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</si>
  <si>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</si>
  <si>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</si>
  <si>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</si>
  <si>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</si>
  <si>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</si>
  <si>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</si>
  <si>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</si>
  <si>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</si>
  <si>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</si>
  <si>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</si>
  <si>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</si>
  <si>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</si>
  <si>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</si>
  <si>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</si>
  <si>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</si>
  <si>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</si>
  <si>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</si>
  <si>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</si>
  <si>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</si>
  <si>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</si>
  <si>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</si>
  <si>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</si>
  <si>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</si>
  <si>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</si>
  <si>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</si>
  <si>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</si>
  <si>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</si>
  <si>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</si>
  <si>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</si>
  <si>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</si>
  <si>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</si>
  <si>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</si>
  <si>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</si>
  <si>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</si>
  <si>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</si>
  <si>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</si>
  <si>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</si>
  <si>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</si>
  <si>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</si>
  <si>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</si>
  <si>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</si>
  <si>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</si>
  <si>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</si>
  <si>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</si>
  <si>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</si>
  <si>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</si>
  <si>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</si>
  <si>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</si>
  <si>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</si>
  <si>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</si>
  <si>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</si>
  <si>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</si>
  <si>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</si>
  <si>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</si>
  <si>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</si>
  <si>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</si>
  <si>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</si>
  <si>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</si>
  <si>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</si>
  <si>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</si>
  <si>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</si>
  <si>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</si>
  <si>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Current assets:</t>
  </si>
  <si>
    <t>Cash and cash equivalents</t>
  </si>
  <si>
    <t>Marketable investment securities, at fair value</t>
  </si>
  <si>
    <t>Trade accounts receivable and contract assets, net (Note 3)</t>
  </si>
  <si>
    <t>Trade accounts receivable - DISH Network</t>
  </si>
  <si>
    <t>Inventory</t>
  </si>
  <si>
    <t>Prepaids and deposits</t>
  </si>
  <si>
    <t>Other current assets</t>
  </si>
  <si>
    <t>Total current assets</t>
  </si>
  <si>
    <t>Noncurrent assets:</t>
  </si>
  <si>
    <t>Property and equipment, net</t>
  </si>
  <si>
    <t>Property and Equipment</t>
  </si>
  <si>
    <t>Regulatory authorizations, net</t>
  </si>
  <si>
    <t>Goodwill</t>
  </si>
  <si>
    <t>Other intangible assets, net</t>
  </si>
  <si>
    <t>Other Intangibles</t>
  </si>
  <si>
    <t>Investments in unconsolidated entities</t>
  </si>
  <si>
    <t>Other receivables - DISH Network</t>
  </si>
  <si>
    <t>Other noncurrent assets, net</t>
  </si>
  <si>
    <t>Total noncurrent assets</t>
  </si>
  <si>
    <t>Total assets</t>
  </si>
  <si>
    <t>Liabilities and Stockholders Equity</t>
  </si>
  <si>
    <t>Current liabilities:</t>
  </si>
  <si>
    <t>Trade accounts payable</t>
  </si>
  <si>
    <t>Trade accounts payable - DISH Network</t>
  </si>
  <si>
    <t>Current portion of long-term debt and capital lease obligations</t>
  </si>
  <si>
    <t>Contract liabilities</t>
  </si>
  <si>
    <t>Accrued interest</t>
  </si>
  <si>
    <t>Accruals</t>
  </si>
  <si>
    <t>Accrued compensation</t>
  </si>
  <si>
    <t>Accrued taxes</t>
  </si>
  <si>
    <t>Accrued expenses and other</t>
  </si>
  <si>
    <t>Total current liabilities</t>
  </si>
  <si>
    <t>Noncurrent liabilities:</t>
  </si>
  <si>
    <t>Long-term debt and capital lease obligations, net</t>
  </si>
  <si>
    <t>Deferred tax liabilities, net</t>
  </si>
  <si>
    <t>Other noncurrent liabilities</t>
  </si>
  <si>
    <t>Total noncurrent liabilities</t>
  </si>
  <si>
    <t>Total liabilities</t>
  </si>
  <si>
    <t>Commitments and contingencies (Note 17)</t>
  </si>
  <si>
    <t>Stockholders equity:</t>
  </si>
  <si>
    <t>Preferred stock, $0.001 par value, 20,000,000 shares authorized, none issued and outstanding at each of</t>
  </si>
  <si>
    <t>December 31, 2018 and 2017</t>
  </si>
  <si>
    <t>Common stock, $0.001 par value, 4,000,000,000 shares authorized:</t>
  </si>
  <si>
    <t>Class A common stock, $0.001 par value, 1,600,000,000 shares authorized, 54,142,566 shares issued and</t>
  </si>
  <si>
    <t>47,657,645 shares outstanding at December 31, 2018 and 53,663,859 shares issued and 48,131,541 shares outstanding at December 31, 2017</t>
  </si>
  <si>
    <t>Class B convertible common stock, $0.001 par value, 800,000,000 shares authorized, 47,687,039 shares issued and outstanding at each of December 31, 2018 and 2017</t>
  </si>
  <si>
    <t>Class C convertible common stock, $0.001 par value, 800,000,000 shares authorized, none issued and</t>
  </si>
  <si>
    <t>outstanding at each of December 31, 2018 and 2017</t>
  </si>
  <si>
    <t>Class D common stock, $0.001 par value, 800,000,000 shares authorized, none issued and outstanding at</t>
  </si>
  <si>
    <t>each of December 31, 2018 and 2017</t>
  </si>
  <si>
    <t>Additional paid-in capital</t>
  </si>
  <si>
    <t>Accumulated other comprehensive loss</t>
  </si>
  <si>
    <t>Accumulated earnings</t>
  </si>
  <si>
    <t>Treasury stock, at cost</t>
  </si>
  <si>
    <t>Treasury Stock</t>
  </si>
  <si>
    <t>Total EchoStar Corporation stockholders equity</t>
  </si>
  <si>
    <t>Other noncontrolling interests</t>
  </si>
  <si>
    <t>Total stockholders equity</t>
  </si>
  <si>
    <t>Total liabilities and stockholders equity</t>
  </si>
  <si>
    <t>Statements of Operations Data (1)</t>
  </si>
  <si>
    <t>Revenue:</t>
  </si>
  <si>
    <t>Revenue</t>
  </si>
  <si>
    <t>Services and other revenue - DISH Network</t>
  </si>
  <si>
    <t>Services and other revenue - other</t>
  </si>
  <si>
    <t>Equipment revenue</t>
  </si>
  <si>
    <t>Total revenue</t>
  </si>
  <si>
    <t>Total Cost of Revenue</t>
  </si>
  <si>
    <t>Total Cost of Revenue TODO REMOVE</t>
  </si>
  <si>
    <t>Costs and expenses:</t>
  </si>
  <si>
    <t>Cost of sales - services and other</t>
  </si>
  <si>
    <t>% of total services and other revenue</t>
  </si>
  <si>
    <t>Cost of sales - equipment</t>
  </si>
  <si>
    <t>% of total equipment revenue</t>
  </si>
  <si>
    <t>Selling, general and administrative expenses</t>
  </si>
  <si>
    <t>% of total revenue</t>
  </si>
  <si>
    <t>Research and development expenses</t>
  </si>
  <si>
    <t>Depreciation and amortization</t>
  </si>
  <si>
    <t>Impairment of long-lived assets</t>
  </si>
  <si>
    <t>Total costs and expenses</t>
  </si>
  <si>
    <t>Operating income</t>
  </si>
  <si>
    <t>Other income (expense):</t>
  </si>
  <si>
    <t>Interest income</t>
  </si>
  <si>
    <t>Interest expense, net of amounts capitalized</t>
  </si>
  <si>
    <t>Gains (losses) on investments, net</t>
  </si>
  <si>
    <t>Equity in earnings (losses) of unconsolidated affiliates, net</t>
  </si>
  <si>
    <t>Other, net</t>
  </si>
  <si>
    <t>Other Income - net</t>
  </si>
  <si>
    <t>Total other income (expense), net</t>
  </si>
  <si>
    <t>Income (loss) from continuing operations before income taxes</t>
  </si>
  <si>
    <t>Profit before Zakat and Income tax</t>
  </si>
  <si>
    <t>Income tax benefit (provision), net</t>
  </si>
  <si>
    <t>Net income (loss) from continuing operations</t>
  </si>
  <si>
    <t>Net income from discontinued operations</t>
  </si>
  <si>
    <t>Net income (loss)</t>
  </si>
  <si>
    <t>Less: Net income attributable to noncontrolling interests</t>
  </si>
  <si>
    <t>Net income (loss) attributable to EchoStar</t>
  </si>
  <si>
    <t>Corporation</t>
  </si>
  <si>
    <t>Other data:</t>
  </si>
  <si>
    <t>EBITDA (2)</t>
  </si>
  <si>
    <t>Subscribers, end of period</t>
  </si>
  <si>
    <t>(Dollars in thousands)</t>
  </si>
  <si>
    <t>Cash flows from operating activities:</t>
  </si>
  <si>
    <t>Operating Activities</t>
  </si>
  <si>
    <t>Adjustments to reconcile net income (loss) to net cash flows from operating activities:</t>
  </si>
  <si>
    <t>Equity in earnings of unconsolidated affiliates, net</t>
  </si>
  <si>
    <t>Amortization of debt issuance costs</t>
  </si>
  <si>
    <t>Gains and losses on investments, net</t>
  </si>
  <si>
    <t>Stock-based compensation</t>
  </si>
  <si>
    <t>Deferred tax provision (benefit)</t>
  </si>
  <si>
    <t>Dividends received from unconsolidated entities</t>
  </si>
  <si>
    <t>Proceeds from sale of trading securities</t>
  </si>
  <si>
    <t>Changes in current assets and current liabilities, net:</t>
  </si>
  <si>
    <t>Trade accounts receivable, net</t>
  </si>
  <si>
    <t>Changes in noncurrent assets and noncurrent liabilities, net</t>
  </si>
  <si>
    <t>Net cash flows from operating activities</t>
  </si>
  <si>
    <t>Cash flows from investing activities:</t>
  </si>
  <si>
    <t>Investing Activities</t>
  </si>
  <si>
    <t>Purchases of marketable investment securities</t>
  </si>
  <si>
    <t>Sales and maturities of marketable investment securities</t>
  </si>
  <si>
    <t>Expenditures for property and equipment</t>
  </si>
  <si>
    <t>Refunds and other receipts related to property and equipment</t>
  </si>
  <si>
    <t>Sale of investment in unconsolidated entity</t>
  </si>
  <si>
    <t>Expenditures for externally marketed software</t>
  </si>
  <si>
    <t>Net cash flows from investing activities</t>
  </si>
  <si>
    <t>Cash flows from financing activities:</t>
  </si>
  <si>
    <t>Financing Activities</t>
  </si>
  <si>
    <t>Proceeds from issuance of long-term debt</t>
  </si>
  <si>
    <t>Payments of debt issuance costs</t>
  </si>
  <si>
    <t>Finance Costs</t>
  </si>
  <si>
    <t>Repurchase of the 2019 Senior Secured Notes (Note 12)</t>
  </si>
  <si>
    <t>Purchase of treasury shares (Note 14)</t>
  </si>
  <si>
    <t>Repayment of debt and capital lease obligations</t>
  </si>
  <si>
    <t>Net proceeds from Class A common stock options exercised</t>
  </si>
  <si>
    <t>Net proceeds from Class A common stock issued under the Employee Stock Purchase Plan</t>
  </si>
  <si>
    <t>Repayment of in-orbit incentive obligations</t>
  </si>
  <si>
    <t>Cash exchanged for Tracking Stock (Note 1)</t>
  </si>
  <si>
    <t>Net cash flows from financing activities</t>
  </si>
  <si>
    <t>Effect of exchange rates on cash and cash equivalents</t>
  </si>
  <si>
    <t>Net increase (decrease) in cash and cash equivalents</t>
  </si>
  <si>
    <t>Cash and cash equivalents, including restricted amounts, beginning of period</t>
  </si>
  <si>
    <t>Cash and cash equivalents, including restricted amounts, end of period</t>
  </si>
  <si>
    <t>Cash and cash equivalents at beginning of period</t>
  </si>
  <si>
    <t>Supplemental disclosure of cash flow information:</t>
  </si>
  <si>
    <t>Cash paid for interest, net of amounts capitalized</t>
  </si>
  <si>
    <t>Original Line Item in the pdf</t>
  </si>
  <si>
    <t>Line item in the accounts Template into which Original line item is mapped</t>
  </si>
  <si>
    <t xml:space="preserve">Person mapping </t>
  </si>
  <si>
    <t>Niyoshi Aithal</t>
  </si>
  <si>
    <t>turnover</t>
  </si>
  <si>
    <t>cost of goods sold</t>
  </si>
  <si>
    <t>impairment</t>
  </si>
  <si>
    <t>current taxation</t>
  </si>
  <si>
    <t>land</t>
  </si>
  <si>
    <t>land and buildings</t>
  </si>
  <si>
    <t>property, plant and equipment</t>
  </si>
  <si>
    <t>accumulated depreciation</t>
  </si>
  <si>
    <t>accumulated depreciation and amortisation</t>
  </si>
  <si>
    <t>finished goods</t>
  </si>
  <si>
    <t>stock - finished goods</t>
  </si>
  <si>
    <t>stock - work in progress</t>
  </si>
  <si>
    <t>raw materials</t>
  </si>
  <si>
    <t>stock - raw materials</t>
  </si>
  <si>
    <t>changed value</t>
  </si>
  <si>
    <t>equipment revenue</t>
  </si>
  <si>
    <t>Cost of sales - services and other (exclusive of depreciation and amortization)</t>
  </si>
  <si>
    <t>Cost of sales - equipment (exclusive of depreciation and amortization)</t>
  </si>
  <si>
    <t>deleted this value</t>
  </si>
  <si>
    <t>changed sign</t>
  </si>
  <si>
    <t>research and development</t>
  </si>
  <si>
    <t>research and development expenses</t>
  </si>
  <si>
    <t>impairment of long-lived assets</t>
  </si>
  <si>
    <t>added value</t>
  </si>
  <si>
    <t>interest income</t>
  </si>
  <si>
    <t>interest expense, net of amounts capitalized</t>
  </si>
  <si>
    <t>gains (losses) on investments, net</t>
  </si>
  <si>
    <t>other, net</t>
  </si>
  <si>
    <t>equity in earnings (losses) of unconsolidated affiliates, net</t>
  </si>
  <si>
    <t>deleted value</t>
  </si>
  <si>
    <t>reversed signs</t>
  </si>
  <si>
    <t>income tax benefit (provision), net</t>
  </si>
  <si>
    <t>buildings and improvements</t>
  </si>
  <si>
    <t>furniture, fixtures, equipment and other</t>
  </si>
  <si>
    <t>customer rental equipment</t>
  </si>
  <si>
    <t>satellites - owned</t>
  </si>
  <si>
    <t>satellites - acquired under capital leases</t>
  </si>
  <si>
    <t>work-in-process</t>
  </si>
  <si>
    <t>leased assets</t>
  </si>
  <si>
    <t>marketable investments</t>
  </si>
  <si>
    <t>marketable investment securities, at fair value</t>
  </si>
  <si>
    <t>trade accounts receivable and contract assets, net</t>
  </si>
  <si>
    <t>trade accounts receivable - DISH Network</t>
  </si>
  <si>
    <t>added from row 150</t>
  </si>
  <si>
    <t>moved down to row 154</t>
  </si>
  <si>
    <t>prepaid expenses</t>
  </si>
  <si>
    <t>prepaids and deposits</t>
  </si>
  <si>
    <t>regulatory authorizations, net</t>
  </si>
  <si>
    <t>other receivables - DISH Network</t>
  </si>
  <si>
    <t>trade accounts payable</t>
  </si>
  <si>
    <t>trade accounts payable - DISH Network</t>
  </si>
  <si>
    <t>accrued interest</t>
  </si>
  <si>
    <t>accrued compensation</t>
  </si>
  <si>
    <t>accrued expenses and other</t>
  </si>
  <si>
    <t>tax payable</t>
  </si>
  <si>
    <t>accrued taxes</t>
  </si>
  <si>
    <t>ordinary shares</t>
  </si>
  <si>
    <t>additional paid-in capital</t>
  </si>
  <si>
    <t>Class B convertible common stock, $0.001 par value</t>
  </si>
  <si>
    <t>Class A common stock, $0.001 par value</t>
  </si>
  <si>
    <t>retained earnings</t>
  </si>
  <si>
    <t>accumulated earnings</t>
  </si>
  <si>
    <t>construction 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</si>
</sst>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1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 applyFont="1" applyFill="1" applyAlignment="1">
      <alignment horizontal="left" vertical="center" wrapText="1"/>
    </xf>
    <xf numFmtId="3" fontId="4" fillId="0" borderId="0" xfId="2" applyFont="1"/>
    <xf numFmtId="3" fontId="4" fillId="0" borderId="0" xfId="2" applyAlignment="1">
      <alignment horizontal="left" vertical="center" wrapText="1"/>
    </xf>
    <xf numFmtId="3" fontId="4" fillId="0" borderId="0" xfId="2" applyFill="1" applyAlignment="1">
      <alignment horizontal="left" vertical="center" wrapText="1"/>
    </xf>
    <xf numFmtId="3" fontId="4" fillId="0" borderId="0" xfId="2"/>
    <xf numFmtId="3" fontId="4" fillId="0" borderId="0" xfId="2" applyFill="1"/>
    <xf numFmtId="3" fontId="0" fillId="12" borderId="0" xfId="0" applyFill="1"/>
    <xf numFmtId="3" fontId="0" fillId="13" borderId="0" xfId="0" applyFill="1"/>
    <xf numFmtId="3" fontId="0" fillId="0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C69-4456-874D-0472AAD685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0E4-401E-979D-F5BCAA284FF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070-4037-A591-8F5D941357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FA0-40F3-B80C-AAD9AB1528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DCC-4C73-B9DA-A7AB901AAF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AED-4672-A013-B38F2FBE0A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EE9-43C3-8046-C6A1BA383D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921-47F6-A508-79507397F6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D04-4E3D-AB3A-BCFF8583D9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A44-4975-9FE5-D7EB2C52DE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7B8-4689-AEEF-988E055F01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509-4219-992C-587AEA2EF5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3FE-4EF4-8EDC-6747BBBBE9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01F-4098-A772-70DD101D0C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490-4C96-A580-6CF66F39EE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opLeftCell="E19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-38633</v>
      </c>
      <c r="G6" s="7">
        <f t="shared" ref="G6:O6" si="1">IF(G4=$BF$1,"",G71)</f>
        <v>384980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5080445</v>
      </c>
      <c r="G7" s="7">
        <f t="shared" ref="G7:O7" si="2">IF(G4=$BF$1,"",G128)</f>
        <v>5034463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3580849</v>
      </c>
      <c r="G8" s="7">
        <f t="shared" ref="G8:O8" si="3">IF(G4=$BF$1,"",G161)</f>
        <v>3715551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1345137</v>
      </c>
      <c r="G9" s="7">
        <f t="shared" ref="G9:O9" si="4">IF(G4=$BF$1,"",G189)</f>
        <v>413890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3160683</v>
      </c>
      <c r="G10" s="7">
        <f t="shared" ref="G10:O10" si="5">IF(G4=$BF$1,"",G210)</f>
        <v>4158739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4155474</v>
      </c>
      <c r="G11" s="7">
        <f t="shared" ref="G11:O11" si="6">IF(G4=$BF$1,"",G227)</f>
        <v>4177385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8661294</v>
      </c>
      <c r="G12" s="35">
        <f t="shared" ref="G12:O12" si="7">IF(G4=$BF$1,"",SUM(G7:G8))</f>
        <v>8750014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8661294</v>
      </c>
      <c r="G13" s="35">
        <f t="shared" ref="G13:O13" si="8">IF(G4=$BF$1,"",SUM(G9:G11))</f>
        <v>8750014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f>378694+1507259+205410</f>
        <v>2091363</v>
      </c>
      <c r="G24">
        <f>445698+1200321+239489</f>
        <v>1885508</v>
      </c>
      <c r="P24" s="48" t="s">
        <v>538</v>
      </c>
    </row>
    <row r="25" spans="5:16">
      <c r="E25" s="1" t="s">
        <v>27</v>
      </c>
      <c r="F25">
        <f>604305+176600</f>
        <v>780905</v>
      </c>
      <c r="G25">
        <f>563346+195151</f>
        <v>758497</v>
      </c>
      <c r="P25" s="48" t="s">
        <v>538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1310458</v>
      </c>
      <c r="G30" s="7">
        <f>IF(G4=$BF$1,"",G24-G25+ABS(G26)-G27-G28-G29)</f>
        <v>1127011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  <c r="F31"/>
      <c r="G31"/>
      <c r="I31">
        <v>1000</v>
      </c>
      <c r="P31" s="48" t="s">
        <v>542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436247</v>
      </c>
      <c r="G34">
        <v>366007</v>
      </c>
      <c r="I34">
        <v>192</v>
      </c>
    </row>
    <row r="35" spans="5:16">
      <c r="E35" s="1" t="s">
        <v>37</v>
      </c>
      <c r="F35">
        <v>27570</v>
      </c>
      <c r="G35">
        <v>31745</v>
      </c>
      <c r="I35">
        <v>-132</v>
      </c>
      <c r="P35" s="48" t="s">
        <v>543</v>
      </c>
    </row>
    <row r="36" spans="5:16">
      <c r="E36" s="1" t="s">
        <v>38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  <c r="F40">
        <v>598178</v>
      </c>
      <c r="G40">
        <v>522190</v>
      </c>
      <c r="H40">
        <v>75988</v>
      </c>
      <c r="I40">
        <v>146</v>
      </c>
    </row>
    <row r="41" spans="5:16">
      <c r="E41" s="1" t="s">
        <v>43</v>
      </c>
    </row>
    <row r="42" spans="5:16">
      <c r="E42" s="1" t="s">
        <v>44</v>
      </c>
      <c r="F42">
        <v>65220</v>
      </c>
      <c r="G42">
        <v>10762</v>
      </c>
      <c r="I42">
        <v>0</v>
      </c>
      <c r="P42" s="48" t="s">
        <v>543</v>
      </c>
    </row>
    <row r="43" spans="5:16">
      <c r="E43" s="6" t="s">
        <v>45</v>
      </c>
      <c r="F43" s="7">
        <f>F32+F33+F34+F35+F36+F37+F38+F39+F40+F41+F42</f>
        <v>1127215</v>
      </c>
      <c r="G43" s="7">
        <f>G32+G33+G34+G35+G36+G37+G38+G39+G40+G41+G42</f>
        <v>930704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183243</v>
      </c>
      <c r="G44" s="7">
        <f>IF(G4=$BF$1,"",G30+G31-G43)</f>
        <v>196307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9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  <c r="F47" s="38">
        <v>-5954</v>
      </c>
      <c r="G47" s="38">
        <v>16973</v>
      </c>
      <c r="P47" s="48" t="s">
        <v>547</v>
      </c>
    </row>
    <row r="48" spans="5:16">
      <c r="E48" s="1" t="s">
        <v>50</v>
      </c>
      <c r="F48" s="38">
        <v>80275</v>
      </c>
      <c r="G48" s="38">
        <v>44619</v>
      </c>
      <c r="P48" s="48" t="s">
        <v>547</v>
      </c>
    </row>
    <row r="49" spans="5:16">
      <c r="E49" s="1" t="s">
        <v>51</v>
      </c>
      <c r="F49" s="38">
        <v>248568</v>
      </c>
      <c r="G49" s="38">
        <v>217240</v>
      </c>
      <c r="P49" s="48" t="s">
        <v>547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>
        <v>-12207</v>
      </c>
      <c r="G52">
        <v>53453</v>
      </c>
      <c r="I52">
        <v>943</v>
      </c>
      <c r="P52" s="48" t="s">
        <v>538</v>
      </c>
    </row>
    <row r="53" spans="5:16">
      <c r="E53" s="1" t="s">
        <v>55</v>
      </c>
    </row>
    <row r="54" spans="5:16">
      <c r="E54" s="1" t="s">
        <v>56</v>
      </c>
      <c r="F54">
        <v>-4749</v>
      </c>
      <c r="G54">
        <v>6582</v>
      </c>
      <c r="P54" s="48" t="s">
        <v>547</v>
      </c>
    </row>
    <row r="55" spans="5:16">
      <c r="E55" s="1" t="s">
        <v>57</v>
      </c>
    </row>
    <row r="56" spans="5:16">
      <c r="E56" s="1" t="s">
        <v>58</v>
      </c>
      <c r="F56"/>
      <c r="G56"/>
      <c r="P56" s="48" t="s">
        <v>553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-7960</v>
      </c>
      <c r="G59" s="7">
        <f>IF(G4=$BF$1,"",G44+G45+G46+G47+G48-G49-G50-G51+G52-G53+G54+G55-G56+G57+G58)</f>
        <v>100694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9"/>
    </row>
    <row r="60" spans="5:16">
      <c r="E60" s="1" t="s">
        <v>62</v>
      </c>
      <c r="F60">
        <v>30673</v>
      </c>
      <c r="G60">
        <v>-284286</v>
      </c>
      <c r="I60">
        <v>0</v>
      </c>
      <c r="P60" s="48" t="s">
        <v>554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-38633</v>
      </c>
      <c r="G67" s="7">
        <f>IF(G4=$BF$1,"",SUM(G59,-G60,-ABS(G61),-G62,-G66))</f>
        <v>384980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9"/>
    </row>
    <row r="68" spans="5:16">
      <c r="E68" s="1" t="s">
        <v>67</v>
      </c>
      <c r="F68">
        <v>0</v>
      </c>
      <c r="G68">
        <v>0</v>
      </c>
      <c r="H68">
        <v>0</v>
      </c>
      <c r="I68">
        <v>0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-38633</v>
      </c>
      <c r="G71" s="7">
        <f t="shared" ref="G71:O71" si="14">IF(G4=$BF$1,"",SUM(G67:G70))</f>
        <v>384980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-38633</v>
      </c>
      <c r="G83" s="7">
        <f t="shared" ref="G83:O83" si="15">IF(G4=$BF$1,"",SUM(G71:G82))</f>
        <v>384980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f>33606+174227</f>
        <v>207833</v>
      </c>
      <c r="G89" s="38">
        <f>33713+185148</f>
        <v>218861</v>
      </c>
      <c r="P89" s="48" t="s">
        <v>547</v>
      </c>
    </row>
    <row r="90" spans="5:16">
      <c r="E90" s="1" t="s">
        <v>82</v>
      </c>
      <c r="F90" s="38">
        <v>307026</v>
      </c>
      <c r="G90" s="38">
        <v>260220</v>
      </c>
      <c r="P90" s="48" t="s">
        <v>547</v>
      </c>
    </row>
    <row r="91" spans="5:16">
      <c r="E91" s="1" t="s">
        <v>83</v>
      </c>
    </row>
    <row r="92" spans="5:16">
      <c r="E92" s="12" t="s">
        <v>84</v>
      </c>
      <c r="F92">
        <f>812566+1159977+2816628</f>
        <v>4789171</v>
      </c>
      <c r="G92">
        <f>736533+929775+3064391</f>
        <v>4730699</v>
      </c>
      <c r="P92" s="48" t="s">
        <v>547</v>
      </c>
    </row>
    <row r="93" spans="5:16">
      <c r="E93" s="1" t="s">
        <v>85</v>
      </c>
    </row>
    <row r="94" spans="5:16">
      <c r="E94" s="1" t="s">
        <v>86</v>
      </c>
      <c r="F94" s="38">
        <v>1051110</v>
      </c>
      <c r="G94" s="38">
        <v>916820</v>
      </c>
      <c r="P94" s="48" t="s">
        <v>547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6355140</v>
      </c>
      <c r="G98" s="7">
        <f>IF(G4=$BF$1,"",G89+G90+G91+G92+G93+G94+G95+G96)</f>
        <v>6126600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9"/>
    </row>
    <row r="99" spans="5:16">
      <c r="E99" s="1" t="s">
        <v>89</v>
      </c>
      <c r="F99" s="38">
        <v>-2940232</v>
      </c>
      <c r="G99" s="38">
        <v>-2661129</v>
      </c>
      <c r="P99" s="48" t="s">
        <v>547</v>
      </c>
    </row>
    <row r="100" spans="5:16">
      <c r="E100" s="6" t="s">
        <v>90</v>
      </c>
      <c r="F100" s="7">
        <f>F98+F99</f>
        <v>3414908</v>
      </c>
      <c r="G100" s="7">
        <f t="shared" ref="G100:O100" si="17">IF(G4=$BF$1,"",G98+G99)</f>
        <v>3465471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9"/>
    </row>
    <row r="101" spans="5:16">
      <c r="E101" s="1" t="s">
        <v>91</v>
      </c>
      <c r="F101">
        <v>504173</v>
      </c>
      <c r="G101">
        <v>504173</v>
      </c>
    </row>
    <row r="102" spans="5:16">
      <c r="E102" s="1" t="s">
        <v>92</v>
      </c>
      <c r="F102">
        <v>44231</v>
      </c>
      <c r="G102">
        <v>58955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548404</v>
      </c>
      <c r="G104" s="7">
        <f t="shared" ref="G104:O104" si="18">IF(G4=$BF$1,"",G101+G102+G103)</f>
        <v>563128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  <c r="F107" s="38">
        <v>95114</v>
      </c>
      <c r="G107" s="38">
        <v>92687</v>
      </c>
      <c r="P107" s="48" t="s">
        <v>547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  <c r="F117">
        <v>262473</v>
      </c>
      <c r="G117">
        <v>161427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>
        <v>263892</v>
      </c>
      <c r="G125">
        <v>214814</v>
      </c>
    </row>
    <row r="126" spans="5:16">
      <c r="E126" s="1" t="s">
        <v>113</v>
      </c>
      <c r="F126" s="38">
        <v>495654</v>
      </c>
      <c r="G126" s="38">
        <v>536936</v>
      </c>
      <c r="P126" s="48" t="s">
        <v>547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5080445</v>
      </c>
      <c r="G128" s="7">
        <f t="shared" ref="G128:O128" si="19">IF(G4=$BF$1,"",G100+SUM(G104:G126))</f>
        <v>5034463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9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928306</v>
      </c>
      <c r="G130">
        <v>2431456</v>
      </c>
    </row>
    <row r="131" spans="5:16">
      <c r="E131" s="1" t="s">
        <v>118</v>
      </c>
      <c r="F131" s="38">
        <v>2282152</v>
      </c>
      <c r="G131" s="38">
        <v>814161</v>
      </c>
      <c r="P131" s="48" t="s">
        <v>547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3210458</v>
      </c>
      <c r="G140" s="7">
        <f t="shared" ref="G140:O140" si="20">IF(G4=$BF$1,"",G130+G131+G132+G133+G134+G135+G136+G139)</f>
        <v>3245617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  <c r="F142" s="38">
        <v>4856</v>
      </c>
      <c r="G142" s="38">
        <v>5484</v>
      </c>
      <c r="P142" s="48" t="s">
        <v>547</v>
      </c>
    </row>
    <row r="143" spans="5:16">
      <c r="E143" s="1" t="s">
        <v>125</v>
      </c>
      <c r="F143" s="38">
        <v>13901</v>
      </c>
      <c r="G143" s="38">
        <v>7442</v>
      </c>
      <c r="P143" s="48" t="s">
        <v>547</v>
      </c>
    </row>
    <row r="144" spans="5:16">
      <c r="E144" s="1" t="s">
        <v>126</v>
      </c>
      <c r="F144">
        <v>56622</v>
      </c>
      <c r="G144">
        <v>70669</v>
      </c>
      <c r="P144" s="48" t="s">
        <v>547</v>
      </c>
    </row>
    <row r="145" spans="5:16">
      <c r="E145" s="6" t="s">
        <v>127</v>
      </c>
      <c r="F145" s="7">
        <f>F141+F142+F143+F144</f>
        <v>75379</v>
      </c>
      <c r="G145" s="7">
        <f t="shared" ref="G145:O145" si="21">IF(G4=$BF$1,"",G141+G142+G143+G144)</f>
        <v>83595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  <c r="P145" s="49"/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  <c r="F150"/>
      <c r="G150"/>
      <c r="P150" s="48" t="s">
        <v>568</v>
      </c>
    </row>
    <row r="151" spans="5:16">
      <c r="E151" s="1" t="s">
        <v>133</v>
      </c>
    </row>
    <row r="154" spans="5:16">
      <c r="E154" s="12" t="s">
        <v>134</v>
      </c>
      <c r="F154" s="38">
        <v>61177</v>
      </c>
      <c r="G154" s="38">
        <v>54533</v>
      </c>
      <c r="P154" s="48" t="s">
        <v>567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f>201096+14200</f>
        <v>215296</v>
      </c>
      <c r="G157">
        <f>196840+43295</f>
        <v>240135</v>
      </c>
      <c r="P157" s="48" t="s">
        <v>538</v>
      </c>
    </row>
    <row r="158" spans="5:16">
      <c r="E158" s="1" t="s">
        <v>138</v>
      </c>
      <c r="F158">
        <v>18539</v>
      </c>
      <c r="G158">
        <v>91671</v>
      </c>
    </row>
    <row r="159" spans="5:16">
      <c r="E159" s="1" t="s">
        <v>139</v>
      </c>
    </row>
    <row r="160" spans="5:16">
      <c r="E160" s="6" t="s">
        <v>140</v>
      </c>
      <c r="F160" s="7">
        <f>F146+F147+F148+F149+F150+F151+F152+F153+F154+F155+F156+F157+F158+F159</f>
        <v>295012</v>
      </c>
      <c r="G160" s="7">
        <f>IF(G4=$BF$1,"",G146+G147+G148+G149+G150+G151+G152+G153+G154+G155+G156+G157+G158+G159)</f>
        <v>386339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3580849</v>
      </c>
      <c r="G161" s="7">
        <f t="shared" ref="G161:O161" si="22">IF(G4=$BF$1,"",G140+G145+G160)</f>
        <v>3715551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9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  <c r="F167" s="38">
        <v>959577</v>
      </c>
      <c r="G167" s="38">
        <v>40631</v>
      </c>
      <c r="P167" s="48" t="s">
        <v>547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  <c r="F172"/>
      <c r="G172"/>
      <c r="P172" s="50"/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  <c r="F181" s="38">
        <v>16013</v>
      </c>
      <c r="G181" s="38">
        <v>16122</v>
      </c>
      <c r="P181" s="48" t="s">
        <v>547</v>
      </c>
    </row>
    <row r="183" spans="5:16">
      <c r="E183" s="1" t="s">
        <v>160</v>
      </c>
    </row>
    <row r="184" spans="5:16">
      <c r="E184" s="12" t="s">
        <v>161</v>
      </c>
      <c r="F184">
        <f>121437+1698+47416+54242+72470</f>
        <v>297263</v>
      </c>
      <c r="G184">
        <f>108406+4753+47616+47756+82647</f>
        <v>291178</v>
      </c>
      <c r="P184" s="48" t="s">
        <v>538</v>
      </c>
    </row>
    <row r="185" spans="5:16">
      <c r="E185" s="12" t="s">
        <v>162</v>
      </c>
    </row>
    <row r="187" spans="5:16">
      <c r="E187" s="1" t="s">
        <v>163</v>
      </c>
      <c r="F187">
        <v>72284</v>
      </c>
      <c r="G187">
        <v>65959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1345137</v>
      </c>
      <c r="G189" s="7">
        <f t="shared" ref="G189:O189" si="23">IF(G4=$BF$1,"",SUM(G163:G188))</f>
        <v>413890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9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7">
      <c r="E193" s="1" t="s">
        <v>168</v>
      </c>
    </row>
    <row r="194" spans="5:7">
      <c r="E194" s="1" t="s">
        <v>169</v>
      </c>
    </row>
    <row r="195" spans="5:7">
      <c r="E195" s="1" t="s">
        <v>170</v>
      </c>
      <c r="F195">
        <v>2573204</v>
      </c>
      <c r="G195">
        <v>3594213</v>
      </c>
    </row>
    <row r="196" spans="5:7">
      <c r="E196" s="1" t="s">
        <v>171</v>
      </c>
    </row>
    <row r="197" spans="5:7">
      <c r="E197" s="1" t="s">
        <v>172</v>
      </c>
    </row>
    <row r="198" spans="5:7">
      <c r="E198" s="1" t="s">
        <v>173</v>
      </c>
    </row>
    <row r="199" spans="5:7">
      <c r="E199" s="1" t="s">
        <v>174</v>
      </c>
    </row>
    <row r="200" spans="5:7">
      <c r="E200" s="1" t="s">
        <v>175</v>
      </c>
    </row>
    <row r="201" spans="5:7">
      <c r="E201" s="1" t="s">
        <v>176</v>
      </c>
    </row>
    <row r="202" spans="5:7">
      <c r="E202" s="1" t="s">
        <v>177</v>
      </c>
    </row>
    <row r="203" spans="5:7">
      <c r="E203" s="1" t="s">
        <v>178</v>
      </c>
      <c r="F203">
        <v>465933</v>
      </c>
      <c r="G203">
        <v>436023</v>
      </c>
    </row>
    <row r="204" spans="5:7">
      <c r="E204" s="1" t="s">
        <v>55</v>
      </c>
    </row>
    <row r="205" spans="5:7">
      <c r="E205" s="1" t="s">
        <v>67</v>
      </c>
    </row>
    <row r="206" spans="5:7">
      <c r="E206" s="12" t="s">
        <v>179</v>
      </c>
    </row>
    <row r="209" spans="5:16">
      <c r="E209" s="1" t="s">
        <v>180</v>
      </c>
      <c r="F209">
        <v>121546</v>
      </c>
      <c r="G209">
        <v>128503</v>
      </c>
    </row>
    <row r="210" spans="5:16">
      <c r="E210" s="6" t="s">
        <v>14</v>
      </c>
      <c r="F210" s="7">
        <f>SUM(F191:F209)</f>
        <v>3160683</v>
      </c>
      <c r="G210" s="7">
        <f t="shared" ref="G210:O210" si="24">IF(G4=$BF$1,"",SUM(G191:G209))</f>
        <v>4158739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9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54+48+3702522</f>
        <v>3702624</v>
      </c>
      <c r="G212">
        <f>54+48+3669461</f>
        <v>3669563</v>
      </c>
      <c r="P212" s="48" t="s">
        <v>538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 s="38">
        <v>694129</v>
      </c>
      <c r="G217" s="38">
        <v>721316</v>
      </c>
      <c r="P217" s="48" t="s">
        <v>547</v>
      </c>
    </row>
    <row r="218" spans="5:16">
      <c r="E218" s="1" t="s">
        <v>188</v>
      </c>
    </row>
    <row r="219" spans="5:16">
      <c r="E219" s="1" t="s">
        <v>189</v>
      </c>
      <c r="F219">
        <v>-125100</v>
      </c>
      <c r="G219">
        <v>-130154</v>
      </c>
    </row>
    <row r="220" spans="5:16">
      <c r="E220" s="1" t="s">
        <v>190</v>
      </c>
    </row>
    <row r="221" spans="5:16">
      <c r="E221" s="1" t="s">
        <v>67</v>
      </c>
      <c r="F221">
        <v>15275</v>
      </c>
      <c r="G221">
        <v>14822</v>
      </c>
    </row>
    <row r="222" spans="5:16">
      <c r="E222" s="1" t="s">
        <v>191</v>
      </c>
    </row>
    <row r="223" spans="5:16">
      <c r="E223" s="1" t="s">
        <v>192</v>
      </c>
      <c r="F223">
        <v>-131454</v>
      </c>
      <c r="G223">
        <v>-98162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4155474</v>
      </c>
      <c r="G227" s="7">
        <f t="shared" ref="G227:O227" si="25">IF(G4=$BF$1,"",SUM(G212:G226))</f>
        <v>4177385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9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734522</v>
      </c>
      <c r="G266" s="8">
        <v>726892</v>
      </c>
      <c r="H266" s="8">
        <v>803343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-38633</v>
      </c>
      <c r="G267">
        <v>393489</v>
      </c>
      <c r="H267">
        <v>180692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598178</v>
      </c>
      <c r="G271">
        <v>533849</v>
      </c>
      <c r="H271">
        <v>495068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7923</v>
      </c>
      <c r="G275">
        <v>7378</v>
      </c>
      <c r="H275">
        <v>6551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>
      <c r="E279" s="1" t="s">
        <v>244</v>
      </c>
      <c r="F279">
        <v>12109</v>
      </c>
      <c r="G279">
        <v>-53453</v>
      </c>
      <c r="H279">
        <v>-9767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</row>
    <row r="285" spans="5:8">
      <c r="E285" s="1" t="s">
        <v>248</v>
      </c>
      <c r="F285">
        <v>9990</v>
      </c>
      <c r="G285">
        <v>10103</v>
      </c>
      <c r="H285">
        <v>15234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628200</v>
      </c>
      <c r="G296" s="7">
        <f>IF(G4=$BF$1,"",G271+G272+G273+G274+G275+G276+G277+G278+G279+G280+G281+G282+G283+G284+G285+G286+G287+G288+G289+G290+G291+G292+G293+G294+G295)</f>
        <v>497877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589567</v>
      </c>
      <c r="G297" s="7">
        <f t="shared" ref="G297:O297" si="27">IF(G4=$BF$1,"",MIN(F267,F268,F269)+F296)</f>
        <v>589567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5650</v>
      </c>
      <c r="G299">
        <v>-19291</v>
      </c>
      <c r="H299">
        <v>-4814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</row>
    <row r="303" spans="5:15">
      <c r="E303" s="1" t="s">
        <v>265</v>
      </c>
      <c r="F303">
        <v>11346</v>
      </c>
      <c r="G303">
        <v>235648</v>
      </c>
      <c r="H303">
        <v>-28398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6507</v>
      </c>
      <c r="G315">
        <v>-77688</v>
      </c>
      <c r="H315">
        <v>-44221</v>
      </c>
    </row>
    <row r="316" spans="5:15">
      <c r="E316" s="1" t="s">
        <v>276</v>
      </c>
      <c r="F316">
        <v>-16261</v>
      </c>
      <c r="G316">
        <v>-15352</v>
      </c>
      <c r="H316">
        <v>2263</v>
      </c>
    </row>
    <row r="317" spans="5:15">
      <c r="E317" s="1" t="s">
        <v>277</v>
      </c>
      <c r="F317">
        <v>23105</v>
      </c>
      <c r="G317">
        <v>11993</v>
      </c>
      <c r="H317">
        <v>55998</v>
      </c>
    </row>
    <row r="318" spans="5:15">
      <c r="E318" s="6" t="s">
        <v>278</v>
      </c>
      <c r="F318" s="7">
        <f>F299+F300+F301+F302+F303+F304+F305+F306+F307+F308+F309+F310+F311+F312+F313+F314+F315+F316+F317</f>
        <v>30347</v>
      </c>
      <c r="G318" s="7">
        <f>IF(G4=$BF$1,"",G299+G300+G301+G302+G303+G304+G305+G306+G307+G308+G309+G310+G311+G312+G313+G314+G315+G316+G317)</f>
        <v>135310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619914</v>
      </c>
      <c r="G319" s="7">
        <f t="shared" ref="G319:O319" si="28">IF(G4=$BF$1,"",G297+G318)</f>
        <v>724877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619914</v>
      </c>
      <c r="G326" s="7">
        <f t="shared" ref="G326:O326" si="30">IF(G4=$BF$1,"",G325+G319)</f>
        <v>724877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-555141</v>
      </c>
      <c r="G328">
        <v>-583211</v>
      </c>
      <c r="H328">
        <v>-722341</v>
      </c>
    </row>
    <row r="329" spans="5:15">
      <c r="E329" s="1" t="s">
        <v>288</v>
      </c>
    </row>
    <row r="330" spans="5:15">
      <c r="E330" s="1" t="s">
        <v>289</v>
      </c>
    </row>
    <row r="331" spans="5:15">
      <c r="E331" s="1" t="s">
        <v>290</v>
      </c>
      <c r="F331">
        <v>-2973254</v>
      </c>
      <c r="G331">
        <v>-855717</v>
      </c>
      <c r="H331">
        <v>-921247</v>
      </c>
    </row>
    <row r="332" spans="5:15">
      <c r="E332" s="12" t="s">
        <v>291</v>
      </c>
      <c r="F332">
        <v>1500021</v>
      </c>
      <c r="G332">
        <v>598016</v>
      </c>
      <c r="H332">
        <v>1009310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-2028374</v>
      </c>
      <c r="G337" s="7">
        <f>IF(G4=$BF$1,"",SUM(G328:G336))</f>
        <v>-840912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-19500</v>
      </c>
      <c r="G339">
        <v>44294</v>
      </c>
      <c r="H339">
        <v>27432</v>
      </c>
    </row>
    <row r="340" spans="5:15">
      <c r="E340" s="1" t="s">
        <v>299</v>
      </c>
      <c r="F340">
        <v>0</v>
      </c>
      <c r="G340">
        <v>0</v>
      </c>
      <c r="H340">
        <v>1500000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-41019</v>
      </c>
      <c r="G349">
        <v>-38084</v>
      </c>
      <c r="H349">
        <v>-47461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-60519</v>
      </c>
      <c r="G352" s="7">
        <f>IF(G4=$BF$1,"",SUM(G339:G351))</f>
        <v>6210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-1468979</v>
      </c>
      <c r="G353" s="7">
        <f t="shared" ref="G353:O353" si="33">IF(G4=$BF$1,"",G326+G337+G352)</f>
        <v>-109825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  <c r="F354">
        <v>-2233</v>
      </c>
      <c r="G354">
        <v>1351</v>
      </c>
      <c r="H354">
        <v>138</v>
      </c>
    </row>
    <row r="355" spans="5:15">
      <c r="E355" s="6" t="s">
        <v>314</v>
      </c>
      <c r="F355" s="7">
        <f>F353+F354</f>
        <v>-1471212</v>
      </c>
      <c r="G355" s="7">
        <f t="shared" ref="G355:O355" si="34">IF(G4=$BF$1,"",G353+G354)</f>
        <v>-108474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929495</v>
      </c>
      <c r="G356">
        <v>2432249</v>
      </c>
      <c r="H356">
        <v>2571866</v>
      </c>
    </row>
    <row r="357" spans="5:15">
      <c r="E357" s="6" t="s">
        <v>316</v>
      </c>
      <c r="F357" s="7">
        <f>F355+F356</f>
        <v>-541717</v>
      </c>
      <c r="G357" s="7">
        <f t="shared" ref="G357:O357" si="35">IF(G4=$BF$1,"",G355+G356)</f>
        <v>2323775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0.10917747365696671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-1.1003506675671464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-1.0139412348368813E-2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0.62660475488951461</v>
      </c>
      <c r="G369" s="27">
        <f t="shared" si="41"/>
        <v>0.59772273572957524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8.7618935593677422E-2</v>
      </c>
      <c r="G370" s="27">
        <f t="shared" si="42"/>
        <v>0.10411358636505387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-1.847264200428142E-2</v>
      </c>
      <c r="G371" s="28">
        <f t="shared" si="43"/>
        <v>0.20417839648519126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-4.4604189628016325E-3</v>
      </c>
      <c r="G372" s="27">
        <f t="shared" si="44"/>
        <v>4.3997643889484066E-2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-9.296893687699646E-3</v>
      </c>
      <c r="G373" s="27">
        <f t="shared" si="45"/>
        <v>9.2158132420162381E-2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0.5202248070553892</v>
      </c>
      <c r="G376" s="30">
        <f t="shared" si="47"/>
        <v>0.52258533529203499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1.084309515593167</v>
      </c>
      <c r="G377" s="30">
        <f t="shared" si="48"/>
        <v>1.0946151719317228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0.73719465096070291</v>
      </c>
      <c r="G378" s="30">
        <f t="shared" si="49"/>
        <v>0.90364113422942371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2.662070108843932</v>
      </c>
      <c r="G382" s="32">
        <f t="shared" si="51"/>
        <v>8.9771461016212033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2.6060319506488931</v>
      </c>
      <c r="G383" s="32">
        <f t="shared" si="52"/>
        <v>8.7751721471888668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2.3867145130942053</v>
      </c>
      <c r="G384" s="32">
        <f t="shared" si="53"/>
        <v>7.8417381429848509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0.46085566005544415</v>
      </c>
      <c r="G385" s="32">
        <f t="shared" si="54"/>
        <v>1.7513759694604847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928306</v>
      </c>
      <c r="G418" s="17">
        <f>G130-G417</f>
        <v>2431456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abSelected="1" topLeftCell="B15" workbookViewId="0">
      <selection activeCell="B22" sqref="B22"/>
    </sheetView>
  </sheetViews>
  <sheetFormatPr defaultRowHeight="12.75"/>
  <cols>
    <col min="1" max="2" width="44.7109375" style="40" customWidth="1"/>
    <col min="3" max="3" width="15.28515625" style="40" bestFit="1" customWidth="1"/>
    <col min="4" max="4" width="14.7109375" style="40" customWidth="1"/>
    <col min="5" max="16384" width="9.140625" style="40"/>
  </cols>
  <sheetData>
    <row r="1" spans="1:4" ht="25.5">
      <c r="A1" s="39" t="s">
        <v>520</v>
      </c>
      <c r="B1" s="39" t="s">
        <v>521</v>
      </c>
      <c r="C1" s="39" t="s">
        <v>522</v>
      </c>
      <c r="D1" s="39"/>
    </row>
    <row r="2" spans="1:4">
      <c r="A2" t="s">
        <v>438</v>
      </c>
      <c r="B2" s="41" t="s">
        <v>524</v>
      </c>
      <c r="C2" s="39" t="s">
        <v>523</v>
      </c>
      <c r="D2" s="39"/>
    </row>
    <row r="3" spans="1:4">
      <c r="A3" t="s">
        <v>439</v>
      </c>
      <c r="B3" s="41" t="s">
        <v>524</v>
      </c>
      <c r="C3" s="39" t="s">
        <v>523</v>
      </c>
    </row>
    <row r="4" spans="1:4">
      <c r="A4" t="s">
        <v>539</v>
      </c>
      <c r="B4" s="41" t="s">
        <v>524</v>
      </c>
      <c r="C4" s="39" t="s">
        <v>523</v>
      </c>
    </row>
    <row r="5" spans="1:4">
      <c r="A5" t="s">
        <v>540</v>
      </c>
      <c r="B5" s="42" t="s">
        <v>525</v>
      </c>
      <c r="C5" s="39" t="s">
        <v>523</v>
      </c>
    </row>
    <row r="6" spans="1:4">
      <c r="A6" t="s">
        <v>541</v>
      </c>
      <c r="B6" s="42" t="s">
        <v>525</v>
      </c>
      <c r="C6" s="39" t="s">
        <v>523</v>
      </c>
    </row>
    <row r="7" spans="1:4">
      <c r="A7" t="s">
        <v>545</v>
      </c>
      <c r="B7" s="41" t="s">
        <v>544</v>
      </c>
      <c r="C7" s="39" t="s">
        <v>523</v>
      </c>
    </row>
    <row r="8" spans="1:4">
      <c r="A8" t="s">
        <v>546</v>
      </c>
      <c r="B8" s="42" t="s">
        <v>526</v>
      </c>
      <c r="C8" s="39" t="s">
        <v>523</v>
      </c>
    </row>
    <row r="9" spans="1:4">
      <c r="A9" t="s">
        <v>548</v>
      </c>
      <c r="B9" s="42" t="s">
        <v>50</v>
      </c>
      <c r="C9" s="39" t="s">
        <v>523</v>
      </c>
    </row>
    <row r="10" spans="1:4">
      <c r="A10" t="s">
        <v>549</v>
      </c>
      <c r="B10" s="41" t="s">
        <v>51</v>
      </c>
      <c r="C10" s="39" t="s">
        <v>523</v>
      </c>
    </row>
    <row r="11" spans="1:4">
      <c r="A11" t="s">
        <v>550</v>
      </c>
      <c r="B11" s="41" t="s">
        <v>54</v>
      </c>
      <c r="C11" s="39" t="s">
        <v>523</v>
      </c>
    </row>
    <row r="12" spans="1:4">
      <c r="A12" t="s">
        <v>551</v>
      </c>
      <c r="B12" s="41" t="s">
        <v>56</v>
      </c>
      <c r="C12" s="39" t="s">
        <v>523</v>
      </c>
    </row>
    <row r="13" spans="1:4" ht="25.5">
      <c r="A13" s="42" t="s">
        <v>552</v>
      </c>
      <c r="B13" s="42" t="s">
        <v>49</v>
      </c>
      <c r="C13" s="39" t="s">
        <v>523</v>
      </c>
    </row>
    <row r="14" spans="1:4">
      <c r="A14" t="s">
        <v>555</v>
      </c>
      <c r="B14" s="42" t="s">
        <v>527</v>
      </c>
      <c r="C14" s="39" t="s">
        <v>523</v>
      </c>
    </row>
    <row r="15" spans="1:4">
      <c r="A15" t="s">
        <v>528</v>
      </c>
      <c r="B15" s="42" t="s">
        <v>529</v>
      </c>
      <c r="C15" s="39" t="s">
        <v>523</v>
      </c>
    </row>
    <row r="16" spans="1:4">
      <c r="A16" s="43" t="s">
        <v>556</v>
      </c>
      <c r="B16" s="43" t="s">
        <v>529</v>
      </c>
      <c r="C16" s="39" t="s">
        <v>523</v>
      </c>
    </row>
    <row r="17" spans="1:3">
      <c r="A17" t="s">
        <v>557</v>
      </c>
      <c r="B17" s="42" t="s">
        <v>530</v>
      </c>
      <c r="C17" s="39" t="s">
        <v>523</v>
      </c>
    </row>
    <row r="18" spans="1:3">
      <c r="A18" s="42" t="s">
        <v>558</v>
      </c>
      <c r="B18" s="44" t="s">
        <v>530</v>
      </c>
      <c r="C18" s="39" t="s">
        <v>523</v>
      </c>
    </row>
    <row r="19" spans="1:3">
      <c r="A19" t="s">
        <v>559</v>
      </c>
      <c r="B19" s="45" t="s">
        <v>530</v>
      </c>
      <c r="C19" s="39" t="s">
        <v>523</v>
      </c>
    </row>
    <row r="20" spans="1:3">
      <c r="A20" s="42" t="s">
        <v>560</v>
      </c>
      <c r="B20" s="42" t="s">
        <v>562</v>
      </c>
      <c r="C20" s="39" t="s">
        <v>523</v>
      </c>
    </row>
    <row r="21" spans="1:3">
      <c r="A21" s="42" t="s">
        <v>586</v>
      </c>
      <c r="B21" s="42" t="s">
        <v>586</v>
      </c>
      <c r="C21" s="39" t="s">
        <v>523</v>
      </c>
    </row>
    <row r="22" spans="1:3">
      <c r="A22" s="42" t="s">
        <v>531</v>
      </c>
      <c r="B22" s="42" t="s">
        <v>532</v>
      </c>
      <c r="C22" s="39" t="s">
        <v>523</v>
      </c>
    </row>
    <row r="23" spans="1:3">
      <c r="A23" s="42" t="s">
        <v>536</v>
      </c>
      <c r="B23" s="44" t="s">
        <v>537</v>
      </c>
      <c r="C23" s="39" t="s">
        <v>523</v>
      </c>
    </row>
    <row r="24" spans="1:3">
      <c r="A24" s="42" t="s">
        <v>561</v>
      </c>
      <c r="B24" s="44" t="s">
        <v>535</v>
      </c>
      <c r="C24" s="39" t="s">
        <v>523</v>
      </c>
    </row>
    <row r="25" spans="1:3">
      <c r="A25" s="42" t="s">
        <v>533</v>
      </c>
      <c r="B25" s="44" t="s">
        <v>534</v>
      </c>
      <c r="C25" s="39" t="s">
        <v>523</v>
      </c>
    </row>
    <row r="26" spans="1:3">
      <c r="A26" s="42" t="s">
        <v>564</v>
      </c>
      <c r="B26" s="44" t="s">
        <v>563</v>
      </c>
      <c r="C26" s="39" t="s">
        <v>523</v>
      </c>
    </row>
    <row r="27" spans="1:3">
      <c r="A27" s="42" t="s">
        <v>565</v>
      </c>
      <c r="B27" s="44" t="s">
        <v>137</v>
      </c>
      <c r="C27" s="39" t="s">
        <v>523</v>
      </c>
    </row>
    <row r="28" spans="1:3">
      <c r="A28" s="47" t="s">
        <v>566</v>
      </c>
      <c r="B28" s="44" t="s">
        <v>137</v>
      </c>
      <c r="C28" s="39" t="s">
        <v>523</v>
      </c>
    </row>
    <row r="29" spans="1:3">
      <c r="A29" s="47" t="s">
        <v>570</v>
      </c>
      <c r="B29" s="44" t="s">
        <v>569</v>
      </c>
      <c r="C29" s="39" t="s">
        <v>523</v>
      </c>
    </row>
    <row r="30" spans="1:3">
      <c r="A30" s="47" t="s">
        <v>571</v>
      </c>
      <c r="B30" s="44" t="s">
        <v>113</v>
      </c>
      <c r="C30" s="39" t="s">
        <v>523</v>
      </c>
    </row>
    <row r="31" spans="1:3">
      <c r="A31" s="44" t="s">
        <v>572</v>
      </c>
      <c r="B31" s="44" t="s">
        <v>97</v>
      </c>
      <c r="C31" s="39" t="s">
        <v>523</v>
      </c>
    </row>
    <row r="32" spans="1:3">
      <c r="A32" t="s">
        <v>400</v>
      </c>
      <c r="B32" s="44" t="s">
        <v>146</v>
      </c>
      <c r="C32" s="39" t="s">
        <v>523</v>
      </c>
    </row>
    <row r="33" spans="1:3">
      <c r="A33" s="47" t="s">
        <v>573</v>
      </c>
      <c r="B33" s="44" t="s">
        <v>161</v>
      </c>
      <c r="C33" s="39" t="s">
        <v>523</v>
      </c>
    </row>
    <row r="34" spans="1:3">
      <c r="A34" s="47" t="s">
        <v>574</v>
      </c>
      <c r="B34" s="44" t="s">
        <v>161</v>
      </c>
      <c r="C34" s="39" t="s">
        <v>523</v>
      </c>
    </row>
    <row r="35" spans="1:3">
      <c r="A35" s="47" t="s">
        <v>575</v>
      </c>
      <c r="B35" s="44" t="s">
        <v>161</v>
      </c>
      <c r="C35" s="39" t="s">
        <v>523</v>
      </c>
    </row>
    <row r="36" spans="1:3">
      <c r="A36" s="44" t="s">
        <v>576</v>
      </c>
      <c r="B36" s="44" t="s">
        <v>161</v>
      </c>
      <c r="C36" s="39" t="s">
        <v>523</v>
      </c>
    </row>
    <row r="37" spans="1:3">
      <c r="A37" s="44" t="s">
        <v>577</v>
      </c>
      <c r="B37" s="44" t="s">
        <v>161</v>
      </c>
      <c r="C37" s="39" t="s">
        <v>523</v>
      </c>
    </row>
    <row r="38" spans="1:3">
      <c r="A38" s="46" t="s">
        <v>579</v>
      </c>
      <c r="B38" s="44" t="s">
        <v>578</v>
      </c>
      <c r="C38" s="39" t="s">
        <v>523</v>
      </c>
    </row>
    <row r="39" spans="1:3">
      <c r="A39" t="s">
        <v>583</v>
      </c>
      <c r="B39" s="44" t="s">
        <v>580</v>
      </c>
      <c r="C39" s="39" t="s">
        <v>523</v>
      </c>
    </row>
    <row r="40" spans="1:3">
      <c r="A40" t="s">
        <v>582</v>
      </c>
      <c r="B40" s="44" t="s">
        <v>580</v>
      </c>
      <c r="C40" s="39" t="s">
        <v>523</v>
      </c>
    </row>
    <row r="41" spans="1:3">
      <c r="A41" s="46" t="s">
        <v>581</v>
      </c>
      <c r="B41" s="44" t="s">
        <v>580</v>
      </c>
      <c r="C41" s="39" t="s">
        <v>523</v>
      </c>
    </row>
    <row r="42" spans="1:3">
      <c r="A42" s="46" t="s">
        <v>585</v>
      </c>
      <c r="B42" s="44" t="s">
        <v>584</v>
      </c>
      <c r="C42" s="39" t="s">
        <v>523</v>
      </c>
    </row>
    <row r="43" spans="1:3">
      <c r="A43" s="44"/>
      <c r="B43" s="44"/>
      <c r="C43" s="39"/>
    </row>
    <row r="44" spans="1:3">
      <c r="A44" s="44"/>
      <c r="B44" s="44"/>
      <c r="C44" s="39"/>
    </row>
    <row r="45" spans="1:3">
      <c r="A45" s="44"/>
      <c r="B45" s="44"/>
      <c r="C45" s="39"/>
    </row>
    <row r="46" spans="1:3">
      <c r="A46" s="44"/>
      <c r="B46" s="44"/>
      <c r="C46" s="39"/>
    </row>
    <row r="47" spans="1:3">
      <c r="A47" s="44"/>
      <c r="B47" s="44"/>
    </row>
    <row r="48" spans="1:3">
      <c r="A48" s="44"/>
      <c r="B48" s="44"/>
    </row>
    <row r="49" spans="1:2">
      <c r="A49" s="44"/>
      <c r="B49" s="44"/>
    </row>
    <row r="50" spans="1:2">
      <c r="A50" s="44"/>
      <c r="B50" s="44"/>
    </row>
    <row r="51" spans="1:2">
      <c r="A51" s="44"/>
      <c r="B51" s="44"/>
    </row>
    <row r="52" spans="1:2">
      <c r="A52" s="44"/>
      <c r="B52" s="44"/>
    </row>
    <row r="53" spans="1:2">
      <c r="A53" s="44"/>
      <c r="B53" s="44"/>
    </row>
    <row r="54" spans="1:2">
      <c r="A54" s="44"/>
      <c r="B54" s="44"/>
    </row>
    <row r="55" spans="1:2">
      <c r="A55" s="44"/>
      <c r="B55" s="44"/>
    </row>
    <row r="56" spans="1:2">
      <c r="A56" s="44"/>
      <c r="B56" s="44"/>
    </row>
    <row r="57" spans="1:2">
      <c r="A57" s="44"/>
      <c r="B57" s="44"/>
    </row>
    <row r="58" spans="1:2">
      <c r="A58" s="44"/>
      <c r="B58" s="44"/>
    </row>
    <row r="59" spans="1:2">
      <c r="A59" s="44"/>
      <c r="B59" s="44"/>
    </row>
    <row r="60" spans="1:2">
      <c r="A60" s="44"/>
      <c r="B60" s="44"/>
    </row>
    <row r="61" spans="1:2">
      <c r="A61" s="44"/>
      <c r="B61" s="44"/>
    </row>
    <row r="62" spans="1:2">
      <c r="A62" s="44"/>
      <c r="B62" s="44"/>
    </row>
    <row r="63" spans="1:2">
      <c r="A63" s="44"/>
      <c r="B63" s="4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9"/>
  <sheetViews>
    <sheetView workbookViewId="0">
      <selection activeCell="A15" sqref="A15"/>
    </sheetView>
  </sheetViews>
  <sheetFormatPr defaultRowHeight="12.75"/>
  <cols>
    <col min="1" max="4" width="25.7109375" customWidth="1"/>
  </cols>
  <sheetData>
    <row r="2" spans="1:6">
      <c r="E2">
        <v>2018</v>
      </c>
      <c r="F2">
        <v>2017</v>
      </c>
    </row>
    <row r="3" spans="1:6">
      <c r="A3" t="s">
        <v>374</v>
      </c>
    </row>
    <row r="4" spans="1:6">
      <c r="A4" t="s">
        <v>375</v>
      </c>
      <c r="B4" t="s">
        <v>116</v>
      </c>
      <c r="C4" t="s">
        <v>116</v>
      </c>
      <c r="D4" t="s">
        <v>116</v>
      </c>
    </row>
    <row r="5" spans="1:6">
      <c r="A5" t="s">
        <v>376</v>
      </c>
      <c r="B5" t="s">
        <v>117</v>
      </c>
      <c r="C5" t="s">
        <v>117</v>
      </c>
      <c r="D5" t="s">
        <v>116</v>
      </c>
      <c r="E5">
        <v>928306</v>
      </c>
      <c r="F5">
        <v>2431456</v>
      </c>
    </row>
    <row r="6" spans="1:6">
      <c r="A6" t="s">
        <v>377</v>
      </c>
      <c r="E6">
        <v>2282152</v>
      </c>
      <c r="F6">
        <v>814161</v>
      </c>
    </row>
    <row r="7" spans="1:6">
      <c r="A7" t="s">
        <v>378</v>
      </c>
      <c r="E7">
        <v>201096</v>
      </c>
      <c r="F7">
        <v>196840</v>
      </c>
    </row>
    <row r="8" spans="1:6">
      <c r="A8" t="s">
        <v>379</v>
      </c>
      <c r="B8" t="s">
        <v>352</v>
      </c>
      <c r="C8" t="s">
        <v>137</v>
      </c>
      <c r="D8" t="s">
        <v>116</v>
      </c>
      <c r="E8">
        <v>14200</v>
      </c>
      <c r="F8">
        <v>43295</v>
      </c>
    </row>
    <row r="9" spans="1:6">
      <c r="A9" t="s">
        <v>380</v>
      </c>
      <c r="B9" t="s">
        <v>126</v>
      </c>
      <c r="C9" t="s">
        <v>126</v>
      </c>
      <c r="D9" t="s">
        <v>116</v>
      </c>
      <c r="E9">
        <v>75379</v>
      </c>
      <c r="F9">
        <v>83595</v>
      </c>
    </row>
    <row r="10" spans="1:6">
      <c r="A10" t="s">
        <v>381</v>
      </c>
      <c r="B10" t="s">
        <v>132</v>
      </c>
      <c r="C10" t="s">
        <v>132</v>
      </c>
      <c r="D10" t="s">
        <v>116</v>
      </c>
      <c r="E10">
        <v>61177</v>
      </c>
      <c r="F10">
        <v>54533</v>
      </c>
    </row>
    <row r="11" spans="1:6">
      <c r="A11" t="s">
        <v>382</v>
      </c>
      <c r="B11" t="s">
        <v>138</v>
      </c>
      <c r="C11" t="s">
        <v>138</v>
      </c>
      <c r="D11" t="s">
        <v>116</v>
      </c>
      <c r="E11">
        <v>18539</v>
      </c>
      <c r="F11">
        <v>91671</v>
      </c>
    </row>
    <row r="12" spans="1:6">
      <c r="A12" t="s">
        <v>383</v>
      </c>
      <c r="B12" t="s">
        <v>12</v>
      </c>
      <c r="C12" t="s">
        <v>12</v>
      </c>
      <c r="D12" t="s">
        <v>116</v>
      </c>
      <c r="E12">
        <v>3580849</v>
      </c>
      <c r="F12">
        <v>3715551</v>
      </c>
    </row>
    <row r="13" spans="1:6">
      <c r="A13" t="s">
        <v>384</v>
      </c>
      <c r="B13" t="s">
        <v>80</v>
      </c>
      <c r="C13" t="s">
        <v>80</v>
      </c>
      <c r="D13" t="s">
        <v>80</v>
      </c>
    </row>
    <row r="14" spans="1:6">
      <c r="A14" t="s">
        <v>385</v>
      </c>
      <c r="B14" t="s">
        <v>386</v>
      </c>
      <c r="C14" t="s">
        <v>84</v>
      </c>
      <c r="D14" t="s">
        <v>80</v>
      </c>
      <c r="E14">
        <v>3414908</v>
      </c>
      <c r="F14">
        <v>3465471</v>
      </c>
    </row>
    <row r="15" spans="1:6">
      <c r="A15" t="s">
        <v>387</v>
      </c>
      <c r="D15" t="s">
        <v>80</v>
      </c>
      <c r="E15">
        <v>495654</v>
      </c>
      <c r="F15">
        <v>536936</v>
      </c>
    </row>
    <row r="16" spans="1:6">
      <c r="A16" t="s">
        <v>388</v>
      </c>
      <c r="B16" t="s">
        <v>388</v>
      </c>
      <c r="C16" t="s">
        <v>91</v>
      </c>
      <c r="D16" t="s">
        <v>80</v>
      </c>
      <c r="E16">
        <v>504173</v>
      </c>
      <c r="F16">
        <v>504173</v>
      </c>
    </row>
    <row r="17" spans="1:6">
      <c r="A17" t="s">
        <v>389</v>
      </c>
      <c r="B17" t="s">
        <v>390</v>
      </c>
      <c r="C17" t="s">
        <v>92</v>
      </c>
      <c r="D17" t="s">
        <v>80</v>
      </c>
      <c r="E17">
        <v>44231</v>
      </c>
      <c r="F17">
        <v>58955</v>
      </c>
    </row>
    <row r="18" spans="1:6">
      <c r="A18" t="s">
        <v>391</v>
      </c>
      <c r="B18" t="s">
        <v>107</v>
      </c>
      <c r="C18" t="s">
        <v>107</v>
      </c>
      <c r="D18" t="s">
        <v>80</v>
      </c>
      <c r="E18">
        <v>262473</v>
      </c>
      <c r="F18">
        <v>161427</v>
      </c>
    </row>
    <row r="19" spans="1:6">
      <c r="A19" t="s">
        <v>392</v>
      </c>
      <c r="B19" t="s">
        <v>354</v>
      </c>
      <c r="C19" t="s">
        <v>137</v>
      </c>
      <c r="D19" t="s">
        <v>116</v>
      </c>
      <c r="E19">
        <v>95114</v>
      </c>
      <c r="F19">
        <v>92687</v>
      </c>
    </row>
    <row r="20" spans="1:6">
      <c r="A20" t="s">
        <v>393</v>
      </c>
      <c r="B20" t="s">
        <v>112</v>
      </c>
      <c r="C20" t="s">
        <v>112</v>
      </c>
      <c r="D20" t="s">
        <v>80</v>
      </c>
      <c r="E20">
        <v>263892</v>
      </c>
      <c r="F20">
        <v>214814</v>
      </c>
    </row>
    <row r="21" spans="1:6">
      <c r="A21" t="s">
        <v>394</v>
      </c>
      <c r="B21" t="s">
        <v>115</v>
      </c>
      <c r="C21" t="s">
        <v>115</v>
      </c>
      <c r="D21" t="s">
        <v>80</v>
      </c>
      <c r="E21">
        <v>5080445</v>
      </c>
      <c r="F21">
        <v>5034463</v>
      </c>
    </row>
    <row r="22" spans="1:6">
      <c r="A22" t="s">
        <v>395</v>
      </c>
      <c r="D22" t="s">
        <v>80</v>
      </c>
      <c r="E22">
        <v>8661294</v>
      </c>
      <c r="F22">
        <v>8750014</v>
      </c>
    </row>
    <row r="23" spans="1:6">
      <c r="A23" t="s">
        <v>396</v>
      </c>
      <c r="D23" t="s">
        <v>80</v>
      </c>
    </row>
    <row r="24" spans="1:6">
      <c r="A24" t="s">
        <v>397</v>
      </c>
      <c r="B24" t="s">
        <v>165</v>
      </c>
      <c r="C24" t="s">
        <v>165</v>
      </c>
      <c r="D24" t="s">
        <v>141</v>
      </c>
    </row>
    <row r="25" spans="1:6">
      <c r="A25" t="s">
        <v>398</v>
      </c>
      <c r="B25" t="s">
        <v>151</v>
      </c>
      <c r="C25" t="s">
        <v>151</v>
      </c>
      <c r="D25" t="s">
        <v>141</v>
      </c>
      <c r="E25">
        <v>121437</v>
      </c>
      <c r="F25">
        <v>108406</v>
      </c>
    </row>
    <row r="26" spans="1:6">
      <c r="A26" t="s">
        <v>399</v>
      </c>
      <c r="B26" t="s">
        <v>151</v>
      </c>
      <c r="C26" t="s">
        <v>151</v>
      </c>
      <c r="D26" t="s">
        <v>141</v>
      </c>
      <c r="E26">
        <v>1698</v>
      </c>
      <c r="F26">
        <v>4753</v>
      </c>
    </row>
    <row r="27" spans="1:6">
      <c r="A27" t="s">
        <v>400</v>
      </c>
      <c r="B27" t="s">
        <v>170</v>
      </c>
      <c r="C27" t="s">
        <v>170</v>
      </c>
      <c r="D27" t="s">
        <v>141</v>
      </c>
      <c r="E27">
        <v>959577</v>
      </c>
      <c r="F27">
        <v>40631</v>
      </c>
    </row>
    <row r="28" spans="1:6">
      <c r="A28" t="s">
        <v>401</v>
      </c>
      <c r="B28" t="s">
        <v>163</v>
      </c>
      <c r="C28" t="s">
        <v>163</v>
      </c>
      <c r="D28" t="s">
        <v>141</v>
      </c>
      <c r="E28">
        <v>72284</v>
      </c>
      <c r="F28">
        <v>65959</v>
      </c>
    </row>
    <row r="29" spans="1:6">
      <c r="A29" t="s">
        <v>402</v>
      </c>
      <c r="B29" t="s">
        <v>403</v>
      </c>
      <c r="C29" t="s">
        <v>161</v>
      </c>
      <c r="D29" t="s">
        <v>141</v>
      </c>
      <c r="E29">
        <v>47416</v>
      </c>
      <c r="F29">
        <v>47616</v>
      </c>
    </row>
    <row r="30" spans="1:6">
      <c r="A30" t="s">
        <v>404</v>
      </c>
      <c r="B30" t="s">
        <v>403</v>
      </c>
      <c r="C30" t="s">
        <v>161</v>
      </c>
      <c r="D30" t="s">
        <v>141</v>
      </c>
      <c r="E30">
        <v>54242</v>
      </c>
      <c r="F30">
        <v>47756</v>
      </c>
    </row>
    <row r="31" spans="1:6">
      <c r="A31" t="s">
        <v>405</v>
      </c>
      <c r="B31" t="s">
        <v>403</v>
      </c>
      <c r="C31" t="s">
        <v>161</v>
      </c>
      <c r="D31" t="s">
        <v>141</v>
      </c>
      <c r="E31">
        <v>16013</v>
      </c>
      <c r="F31">
        <v>16122</v>
      </c>
    </row>
    <row r="32" spans="1:6">
      <c r="A32" t="s">
        <v>406</v>
      </c>
      <c r="B32" t="s">
        <v>403</v>
      </c>
      <c r="C32" t="s">
        <v>161</v>
      </c>
      <c r="D32" t="s">
        <v>141</v>
      </c>
      <c r="E32">
        <v>72470</v>
      </c>
      <c r="F32">
        <v>82647</v>
      </c>
    </row>
    <row r="33" spans="1:6">
      <c r="A33" t="s">
        <v>407</v>
      </c>
      <c r="B33" t="s">
        <v>14</v>
      </c>
      <c r="C33" t="s">
        <v>14</v>
      </c>
      <c r="D33" t="s">
        <v>141</v>
      </c>
      <c r="E33">
        <v>1345137</v>
      </c>
      <c r="F33">
        <v>413890</v>
      </c>
    </row>
    <row r="34" spans="1:6">
      <c r="A34" t="s">
        <v>408</v>
      </c>
      <c r="B34" t="s">
        <v>165</v>
      </c>
      <c r="C34" t="s">
        <v>165</v>
      </c>
      <c r="D34" t="s">
        <v>165</v>
      </c>
    </row>
    <row r="35" spans="1:6">
      <c r="A35" t="s">
        <v>409</v>
      </c>
      <c r="B35" t="s">
        <v>170</v>
      </c>
      <c r="C35" t="s">
        <v>170</v>
      </c>
      <c r="D35" t="s">
        <v>165</v>
      </c>
      <c r="E35">
        <v>2573204</v>
      </c>
      <c r="F35">
        <v>3594213</v>
      </c>
    </row>
    <row r="36" spans="1:6">
      <c r="A36" t="s">
        <v>410</v>
      </c>
      <c r="B36" t="s">
        <v>178</v>
      </c>
      <c r="C36" t="s">
        <v>178</v>
      </c>
      <c r="D36" t="s">
        <v>165</v>
      </c>
      <c r="E36">
        <v>465933</v>
      </c>
      <c r="F36">
        <v>436023</v>
      </c>
    </row>
    <row r="37" spans="1:6">
      <c r="A37" t="s">
        <v>411</v>
      </c>
      <c r="B37" t="s">
        <v>180</v>
      </c>
      <c r="C37" t="s">
        <v>180</v>
      </c>
      <c r="D37" t="s">
        <v>165</v>
      </c>
      <c r="E37">
        <v>121546</v>
      </c>
      <c r="F37">
        <v>128503</v>
      </c>
    </row>
    <row r="38" spans="1:6">
      <c r="A38" t="s">
        <v>412</v>
      </c>
      <c r="B38" t="s">
        <v>14</v>
      </c>
      <c r="C38" t="s">
        <v>14</v>
      </c>
      <c r="D38" t="s">
        <v>165</v>
      </c>
      <c r="E38">
        <v>3160683</v>
      </c>
      <c r="F38">
        <v>4158739</v>
      </c>
    </row>
    <row r="39" spans="1:6">
      <c r="A39" t="s">
        <v>413</v>
      </c>
      <c r="B39" t="s">
        <v>164</v>
      </c>
      <c r="C39" t="s">
        <v>164</v>
      </c>
      <c r="D39" t="s">
        <v>165</v>
      </c>
      <c r="E39">
        <v>4505820</v>
      </c>
      <c r="F39">
        <v>4572629</v>
      </c>
    </row>
    <row r="40" spans="1:6">
      <c r="A40" t="s">
        <v>414</v>
      </c>
      <c r="B40" t="s">
        <v>180</v>
      </c>
      <c r="C40" t="s">
        <v>180</v>
      </c>
      <c r="D40" t="s">
        <v>165</v>
      </c>
    </row>
    <row r="41" spans="1:6">
      <c r="A41" t="s">
        <v>415</v>
      </c>
      <c r="B41" t="s">
        <v>181</v>
      </c>
      <c r="C41" t="s">
        <v>181</v>
      </c>
      <c r="D41" t="s">
        <v>165</v>
      </c>
    </row>
    <row r="42" spans="1:6">
      <c r="A42" t="s">
        <v>416</v>
      </c>
      <c r="D42" t="s">
        <v>165</v>
      </c>
    </row>
    <row r="43" spans="1:6">
      <c r="A43" t="s">
        <v>417</v>
      </c>
      <c r="D43" t="s">
        <v>165</v>
      </c>
    </row>
    <row r="44" spans="1:6">
      <c r="A44" t="s">
        <v>418</v>
      </c>
      <c r="D44" t="s">
        <v>165</v>
      </c>
    </row>
    <row r="45" spans="1:6">
      <c r="A45" t="s">
        <v>419</v>
      </c>
      <c r="B45" t="s">
        <v>182</v>
      </c>
      <c r="C45" t="s">
        <v>182</v>
      </c>
      <c r="D45" t="s">
        <v>165</v>
      </c>
    </row>
    <row r="46" spans="1:6">
      <c r="A46" t="s">
        <v>420</v>
      </c>
      <c r="D46" t="s">
        <v>165</v>
      </c>
      <c r="E46">
        <v>54</v>
      </c>
      <c r="F46">
        <v>54</v>
      </c>
    </row>
    <row r="47" spans="1:6">
      <c r="A47" t="s">
        <v>421</v>
      </c>
      <c r="D47" t="s">
        <v>165</v>
      </c>
      <c r="E47">
        <v>48</v>
      </c>
      <c r="F47">
        <v>48</v>
      </c>
    </row>
    <row r="48" spans="1:6">
      <c r="A48" t="s">
        <v>422</v>
      </c>
      <c r="D48" t="s">
        <v>165</v>
      </c>
    </row>
    <row r="49" spans="1:6">
      <c r="A49" t="s">
        <v>423</v>
      </c>
      <c r="D49" t="s">
        <v>165</v>
      </c>
    </row>
    <row r="50" spans="1:6">
      <c r="A50" t="s">
        <v>424</v>
      </c>
      <c r="B50" t="s">
        <v>182</v>
      </c>
      <c r="C50" t="s">
        <v>182</v>
      </c>
      <c r="D50" t="s">
        <v>181</v>
      </c>
    </row>
    <row r="51" spans="1:6">
      <c r="A51" t="s">
        <v>425</v>
      </c>
      <c r="D51" t="s">
        <v>181</v>
      </c>
    </row>
    <row r="52" spans="1:6">
      <c r="A52" t="s">
        <v>426</v>
      </c>
      <c r="B52" t="s">
        <v>182</v>
      </c>
      <c r="C52" t="s">
        <v>182</v>
      </c>
      <c r="D52" t="s">
        <v>181</v>
      </c>
      <c r="E52">
        <v>3702522</v>
      </c>
      <c r="F52">
        <v>3669461</v>
      </c>
    </row>
    <row r="53" spans="1:6">
      <c r="A53" t="s">
        <v>427</v>
      </c>
      <c r="B53" t="s">
        <v>189</v>
      </c>
      <c r="C53" t="s">
        <v>189</v>
      </c>
      <c r="D53" t="s">
        <v>181</v>
      </c>
      <c r="E53">
        <v>-125100</v>
      </c>
      <c r="F53">
        <v>-130154</v>
      </c>
    </row>
    <row r="54" spans="1:6">
      <c r="A54" t="s">
        <v>428</v>
      </c>
      <c r="D54" t="s">
        <v>181</v>
      </c>
      <c r="E54">
        <v>694129</v>
      </c>
      <c r="F54">
        <v>721316</v>
      </c>
    </row>
    <row r="55" spans="1:6">
      <c r="A55" t="s">
        <v>429</v>
      </c>
      <c r="B55" t="s">
        <v>430</v>
      </c>
      <c r="C55" t="s">
        <v>192</v>
      </c>
      <c r="D55" t="s">
        <v>181</v>
      </c>
      <c r="E55">
        <v>-131454</v>
      </c>
      <c r="F55">
        <v>-98162</v>
      </c>
    </row>
    <row r="56" spans="1:6">
      <c r="A56" t="s">
        <v>431</v>
      </c>
      <c r="D56" t="s">
        <v>181</v>
      </c>
      <c r="E56">
        <v>4140199</v>
      </c>
      <c r="F56">
        <v>4162563</v>
      </c>
    </row>
    <row r="57" spans="1:6">
      <c r="A57" t="s">
        <v>432</v>
      </c>
      <c r="B57" t="s">
        <v>67</v>
      </c>
      <c r="C57" t="s">
        <v>67</v>
      </c>
      <c r="D57" t="s">
        <v>181</v>
      </c>
      <c r="E57">
        <v>15275</v>
      </c>
      <c r="F57">
        <v>14822</v>
      </c>
    </row>
    <row r="58" spans="1:6">
      <c r="A58" t="s">
        <v>433</v>
      </c>
      <c r="B58" t="s">
        <v>195</v>
      </c>
      <c r="C58" t="s">
        <v>195</v>
      </c>
      <c r="D58" t="s">
        <v>181</v>
      </c>
      <c r="E58">
        <v>4155474</v>
      </c>
      <c r="F58">
        <v>4177385</v>
      </c>
    </row>
    <row r="59" spans="1:6">
      <c r="A59" t="s">
        <v>434</v>
      </c>
      <c r="D59" t="s">
        <v>181</v>
      </c>
      <c r="E59">
        <v>8661294</v>
      </c>
      <c r="F59">
        <v>8750014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14" workbookViewId="0">
      <selection activeCell="A26" sqref="A26"/>
    </sheetView>
  </sheetViews>
  <sheetFormatPr defaultRowHeight="12.75"/>
  <cols>
    <col min="1" max="4" width="25.7109375" customWidth="1"/>
  </cols>
  <sheetData>
    <row r="1" spans="1:8">
      <c r="F1">
        <v>31</v>
      </c>
    </row>
    <row r="2" spans="1:8">
      <c r="A2" t="s">
        <v>435</v>
      </c>
      <c r="E2">
        <v>2018</v>
      </c>
      <c r="F2">
        <v>2017</v>
      </c>
    </row>
    <row r="4" spans="1:8">
      <c r="A4" t="s">
        <v>436</v>
      </c>
      <c r="B4" t="s">
        <v>437</v>
      </c>
      <c r="C4" t="s">
        <v>26</v>
      </c>
      <c r="D4" t="s">
        <v>437</v>
      </c>
    </row>
    <row r="5" spans="1:8">
      <c r="A5" t="s">
        <v>438</v>
      </c>
      <c r="D5" t="s">
        <v>437</v>
      </c>
      <c r="E5">
        <v>378694</v>
      </c>
      <c r="F5">
        <v>445698</v>
      </c>
      <c r="G5">
        <v>-67004</v>
      </c>
      <c r="H5">
        <v>-150</v>
      </c>
    </row>
    <row r="6" spans="1:8">
      <c r="A6" t="s">
        <v>439</v>
      </c>
      <c r="D6" t="s">
        <v>437</v>
      </c>
      <c r="E6">
        <v>1507259</v>
      </c>
      <c r="F6">
        <v>1200321</v>
      </c>
      <c r="G6">
        <v>306938</v>
      </c>
      <c r="H6">
        <v>256</v>
      </c>
    </row>
    <row r="7" spans="1:8">
      <c r="A7" t="s">
        <v>440</v>
      </c>
      <c r="D7" t="s">
        <v>437</v>
      </c>
      <c r="E7">
        <v>205410</v>
      </c>
      <c r="F7">
        <v>239489</v>
      </c>
      <c r="G7">
        <v>-34079</v>
      </c>
      <c r="H7">
        <v>-142</v>
      </c>
    </row>
    <row r="8" spans="1:8">
      <c r="A8" t="s">
        <v>441</v>
      </c>
      <c r="B8" t="s">
        <v>442</v>
      </c>
      <c r="C8" t="s">
        <v>443</v>
      </c>
      <c r="D8" t="s">
        <v>437</v>
      </c>
      <c r="E8">
        <v>-2091363</v>
      </c>
      <c r="F8">
        <v>-1885508</v>
      </c>
      <c r="G8">
        <v>205855</v>
      </c>
      <c r="H8">
        <v>109</v>
      </c>
    </row>
    <row r="9" spans="1:8">
      <c r="A9" t="s">
        <v>444</v>
      </c>
      <c r="D9" t="s">
        <v>437</v>
      </c>
    </row>
    <row r="10" spans="1:8">
      <c r="A10" t="s">
        <v>445</v>
      </c>
      <c r="D10" t="s">
        <v>437</v>
      </c>
      <c r="E10">
        <v>604305</v>
      </c>
      <c r="F10">
        <v>563346</v>
      </c>
      <c r="G10">
        <v>40959</v>
      </c>
      <c r="H10">
        <v>73</v>
      </c>
    </row>
    <row r="11" spans="1:8">
      <c r="A11" t="s">
        <v>446</v>
      </c>
      <c r="D11" t="s">
        <v>437</v>
      </c>
      <c r="E11">
        <v>320</v>
      </c>
      <c r="F11">
        <v>342</v>
      </c>
    </row>
    <row r="12" spans="1:8">
      <c r="A12" t="s">
        <v>447</v>
      </c>
      <c r="B12" t="s">
        <v>27</v>
      </c>
      <c r="C12" t="s">
        <v>27</v>
      </c>
      <c r="D12" t="s">
        <v>437</v>
      </c>
      <c r="E12">
        <v>176600</v>
      </c>
      <c r="F12">
        <v>195151</v>
      </c>
      <c r="G12">
        <v>-18551</v>
      </c>
      <c r="H12">
        <v>-95</v>
      </c>
    </row>
    <row r="13" spans="1:8">
      <c r="A13" t="s">
        <v>448</v>
      </c>
      <c r="B13" t="s">
        <v>442</v>
      </c>
      <c r="C13" t="s">
        <v>443</v>
      </c>
      <c r="D13" t="s">
        <v>437</v>
      </c>
      <c r="E13">
        <v>860</v>
      </c>
      <c r="F13">
        <v>815</v>
      </c>
    </row>
    <row r="14" spans="1:8">
      <c r="A14" t="s">
        <v>449</v>
      </c>
      <c r="B14" t="s">
        <v>36</v>
      </c>
      <c r="C14" t="s">
        <v>36</v>
      </c>
      <c r="D14" t="s">
        <v>437</v>
      </c>
      <c r="E14">
        <v>436247</v>
      </c>
      <c r="F14">
        <v>366007</v>
      </c>
      <c r="G14">
        <v>70240</v>
      </c>
      <c r="H14">
        <v>192</v>
      </c>
    </row>
    <row r="15" spans="1:8">
      <c r="A15" t="s">
        <v>450</v>
      </c>
      <c r="B15" t="s">
        <v>442</v>
      </c>
      <c r="C15" t="s">
        <v>443</v>
      </c>
      <c r="D15" t="s">
        <v>437</v>
      </c>
      <c r="E15">
        <v>209</v>
      </c>
      <c r="F15">
        <v>194</v>
      </c>
    </row>
    <row r="16" spans="1:8">
      <c r="A16" t="s">
        <v>451</v>
      </c>
      <c r="B16" t="s">
        <v>37</v>
      </c>
      <c r="C16" t="s">
        <v>37</v>
      </c>
      <c r="D16" t="s">
        <v>437</v>
      </c>
      <c r="E16">
        <v>-27570</v>
      </c>
      <c r="F16">
        <v>-31745</v>
      </c>
      <c r="G16">
        <v>-4175</v>
      </c>
      <c r="H16">
        <v>-132</v>
      </c>
    </row>
    <row r="17" spans="1:8">
      <c r="A17" t="s">
        <v>450</v>
      </c>
      <c r="B17" t="s">
        <v>442</v>
      </c>
      <c r="C17" t="s">
        <v>443</v>
      </c>
      <c r="D17" t="s">
        <v>437</v>
      </c>
      <c r="E17">
        <v>13</v>
      </c>
      <c r="F17">
        <v>17</v>
      </c>
    </row>
    <row r="18" spans="1:8">
      <c r="A18" t="s">
        <v>452</v>
      </c>
      <c r="B18" t="s">
        <v>42</v>
      </c>
      <c r="C18" t="s">
        <v>42</v>
      </c>
      <c r="D18" t="s">
        <v>437</v>
      </c>
      <c r="E18">
        <v>598178</v>
      </c>
      <c r="F18">
        <v>522190</v>
      </c>
      <c r="G18">
        <v>75988</v>
      </c>
      <c r="H18">
        <v>146</v>
      </c>
    </row>
    <row r="19" spans="1:8">
      <c r="A19" t="s">
        <v>453</v>
      </c>
      <c r="B19" t="s">
        <v>44</v>
      </c>
      <c r="C19" t="s">
        <v>44</v>
      </c>
      <c r="D19" t="s">
        <v>437</v>
      </c>
      <c r="E19">
        <v>-65220</v>
      </c>
      <c r="F19">
        <v>-10762</v>
      </c>
      <c r="G19">
        <v>54458</v>
      </c>
    </row>
    <row r="20" spans="1:8">
      <c r="A20" t="s">
        <v>454</v>
      </c>
      <c r="D20" t="s">
        <v>437</v>
      </c>
      <c r="E20">
        <v>1908120</v>
      </c>
      <c r="F20">
        <v>1689201</v>
      </c>
      <c r="G20">
        <v>218919</v>
      </c>
      <c r="H20">
        <v>130</v>
      </c>
    </row>
    <row r="21" spans="1:8">
      <c r="A21" t="s">
        <v>455</v>
      </c>
      <c r="B21" t="s">
        <v>437</v>
      </c>
      <c r="C21" t="s">
        <v>26</v>
      </c>
      <c r="D21" t="s">
        <v>437</v>
      </c>
      <c r="E21">
        <v>183243</v>
      </c>
      <c r="F21">
        <v>196307</v>
      </c>
      <c r="G21">
        <v>-13064</v>
      </c>
      <c r="H21">
        <v>-67</v>
      </c>
    </row>
    <row r="22" spans="1:8">
      <c r="A22" t="s">
        <v>456</v>
      </c>
      <c r="B22" t="s">
        <v>56</v>
      </c>
      <c r="C22" t="s">
        <v>56</v>
      </c>
      <c r="D22" t="s">
        <v>437</v>
      </c>
    </row>
    <row r="23" spans="1:8">
      <c r="A23" t="s">
        <v>457</v>
      </c>
      <c r="B23" t="s">
        <v>54</v>
      </c>
      <c r="C23" t="s">
        <v>54</v>
      </c>
      <c r="D23" t="s">
        <v>437</v>
      </c>
      <c r="E23">
        <v>80275</v>
      </c>
      <c r="F23">
        <v>44619</v>
      </c>
      <c r="G23">
        <v>35656</v>
      </c>
      <c r="H23">
        <v>799</v>
      </c>
    </row>
    <row r="24" spans="1:8">
      <c r="A24" t="s">
        <v>458</v>
      </c>
      <c r="B24" t="s">
        <v>54</v>
      </c>
      <c r="C24" t="s">
        <v>54</v>
      </c>
      <c r="D24" t="s">
        <v>437</v>
      </c>
      <c r="E24">
        <v>-248568</v>
      </c>
      <c r="F24">
        <v>-217240</v>
      </c>
      <c r="G24">
        <v>-31328</v>
      </c>
      <c r="H24">
        <v>144</v>
      </c>
    </row>
    <row r="25" spans="1:8">
      <c r="A25" t="s">
        <v>459</v>
      </c>
      <c r="D25" t="s">
        <v>437</v>
      </c>
      <c r="E25">
        <v>-12207</v>
      </c>
      <c r="F25">
        <v>53453</v>
      </c>
      <c r="G25">
        <v>-65660</v>
      </c>
    </row>
    <row r="26" spans="1:8">
      <c r="A26" t="s">
        <v>460</v>
      </c>
      <c r="D26" t="s">
        <v>437</v>
      </c>
      <c r="E26">
        <v>-5954</v>
      </c>
      <c r="F26">
        <v>16973</v>
      </c>
      <c r="G26">
        <v>-22927</v>
      </c>
    </row>
    <row r="27" spans="1:8">
      <c r="A27" t="s">
        <v>461</v>
      </c>
      <c r="B27" t="s">
        <v>462</v>
      </c>
      <c r="C27" t="s">
        <v>33</v>
      </c>
      <c r="D27" t="s">
        <v>437</v>
      </c>
      <c r="E27">
        <v>-4749</v>
      </c>
      <c r="F27">
        <v>6582</v>
      </c>
      <c r="G27">
        <v>-11331</v>
      </c>
    </row>
    <row r="28" spans="1:8">
      <c r="A28" t="s">
        <v>463</v>
      </c>
      <c r="B28" t="s">
        <v>462</v>
      </c>
      <c r="C28" t="s">
        <v>33</v>
      </c>
      <c r="D28" t="s">
        <v>437</v>
      </c>
      <c r="E28">
        <v>-191203</v>
      </c>
      <c r="F28">
        <v>-95613</v>
      </c>
      <c r="G28">
        <v>-95590</v>
      </c>
      <c r="H28">
        <v>1000</v>
      </c>
    </row>
    <row r="29" spans="1:8">
      <c r="A29" t="s">
        <v>464</v>
      </c>
      <c r="B29" t="s">
        <v>465</v>
      </c>
      <c r="C29" t="s">
        <v>61</v>
      </c>
      <c r="D29" t="s">
        <v>437</v>
      </c>
      <c r="E29">
        <v>-7960</v>
      </c>
      <c r="F29">
        <v>100694</v>
      </c>
      <c r="G29">
        <v>-108654</v>
      </c>
    </row>
    <row r="30" spans="1:8">
      <c r="A30" t="s">
        <v>466</v>
      </c>
      <c r="B30" t="s">
        <v>62</v>
      </c>
      <c r="C30" t="s">
        <v>62</v>
      </c>
      <c r="D30" t="s">
        <v>437</v>
      </c>
      <c r="E30">
        <v>-30673</v>
      </c>
      <c r="F30">
        <v>284286</v>
      </c>
      <c r="G30">
        <v>-314959</v>
      </c>
    </row>
    <row r="31" spans="1:8">
      <c r="A31" t="s">
        <v>467</v>
      </c>
      <c r="B31" t="s">
        <v>462</v>
      </c>
      <c r="C31" t="s">
        <v>33</v>
      </c>
      <c r="D31" t="s">
        <v>437</v>
      </c>
      <c r="E31">
        <v>-38633</v>
      </c>
      <c r="F31">
        <v>384980</v>
      </c>
      <c r="G31">
        <v>-423613</v>
      </c>
    </row>
    <row r="32" spans="1:8">
      <c r="A32" t="s">
        <v>468</v>
      </c>
      <c r="B32" t="s">
        <v>58</v>
      </c>
      <c r="C32" t="s">
        <v>58</v>
      </c>
      <c r="D32" t="s">
        <v>437</v>
      </c>
      <c r="F32">
        <v>8509</v>
      </c>
      <c r="G32">
        <v>-8509</v>
      </c>
      <c r="H32">
        <v>-1000</v>
      </c>
    </row>
    <row r="33" spans="1:8">
      <c r="A33" t="s">
        <v>469</v>
      </c>
      <c r="B33" t="s">
        <v>70</v>
      </c>
      <c r="C33" t="s">
        <v>70</v>
      </c>
      <c r="D33" t="s">
        <v>437</v>
      </c>
      <c r="E33">
        <v>-38633</v>
      </c>
      <c r="F33">
        <v>393489</v>
      </c>
      <c r="G33">
        <v>-432122</v>
      </c>
    </row>
    <row r="34" spans="1:8">
      <c r="A34" t="s">
        <v>470</v>
      </c>
      <c r="D34" t="s">
        <v>437</v>
      </c>
      <c r="E34">
        <v>1842</v>
      </c>
      <c r="F34">
        <v>928</v>
      </c>
      <c r="G34">
        <v>914</v>
      </c>
      <c r="H34">
        <v>985</v>
      </c>
    </row>
    <row r="35" spans="1:8">
      <c r="A35" t="s">
        <v>471</v>
      </c>
      <c r="B35" t="s">
        <v>67</v>
      </c>
      <c r="C35" t="s">
        <v>67</v>
      </c>
      <c r="D35" t="s">
        <v>437</v>
      </c>
    </row>
    <row r="36" spans="1:8">
      <c r="A36" t="s">
        <v>472</v>
      </c>
      <c r="D36" t="s">
        <v>437</v>
      </c>
      <c r="E36">
        <v>-40475</v>
      </c>
      <c r="F36">
        <v>392561</v>
      </c>
      <c r="G36">
        <v>-433036</v>
      </c>
    </row>
    <row r="37" spans="1:8">
      <c r="A37" t="s">
        <v>473</v>
      </c>
      <c r="D37" t="s">
        <v>437</v>
      </c>
    </row>
    <row r="38" spans="1:8">
      <c r="A38" t="s">
        <v>474</v>
      </c>
      <c r="D38" t="s">
        <v>437</v>
      </c>
      <c r="E38">
        <v>756669</v>
      </c>
      <c r="F38">
        <v>794577</v>
      </c>
      <c r="G38">
        <v>-37908</v>
      </c>
      <c r="H38">
        <v>-48</v>
      </c>
    </row>
    <row r="39" spans="1:8">
      <c r="A39" t="s">
        <v>475</v>
      </c>
      <c r="D39" t="s">
        <v>437</v>
      </c>
      <c r="E39">
        <v>1361000</v>
      </c>
      <c r="F39">
        <v>1208000</v>
      </c>
      <c r="G39">
        <v>153000</v>
      </c>
      <c r="H39">
        <v>127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6"/>
  <sheetViews>
    <sheetView workbookViewId="0"/>
  </sheetViews>
  <sheetFormatPr defaultRowHeight="12.75"/>
  <cols>
    <col min="1" max="4" width="25.7109375" customWidth="1"/>
  </cols>
  <sheetData>
    <row r="3" spans="1:7">
      <c r="A3" t="s">
        <v>476</v>
      </c>
    </row>
    <row r="5" spans="1:7">
      <c r="E5">
        <v>2018</v>
      </c>
      <c r="F5">
        <v>2017</v>
      </c>
      <c r="G5">
        <v>2016</v>
      </c>
    </row>
    <row r="6" spans="1:7">
      <c r="A6" t="s">
        <v>477</v>
      </c>
      <c r="B6" t="s">
        <v>231</v>
      </c>
      <c r="C6" t="s">
        <v>231</v>
      </c>
      <c r="D6" t="s">
        <v>478</v>
      </c>
    </row>
    <row r="7" spans="1:7">
      <c r="A7" t="s">
        <v>469</v>
      </c>
      <c r="B7" t="s">
        <v>232</v>
      </c>
      <c r="C7" t="s">
        <v>232</v>
      </c>
      <c r="D7" t="s">
        <v>478</v>
      </c>
      <c r="E7">
        <v>-38633</v>
      </c>
      <c r="F7">
        <v>393489</v>
      </c>
      <c r="G7">
        <v>180692</v>
      </c>
    </row>
    <row r="8" spans="1:7">
      <c r="A8" t="s">
        <v>479</v>
      </c>
      <c r="B8" t="s">
        <v>258</v>
      </c>
      <c r="C8" t="s">
        <v>258</v>
      </c>
      <c r="D8" t="s">
        <v>478</v>
      </c>
    </row>
    <row r="9" spans="1:7">
      <c r="A9" t="s">
        <v>452</v>
      </c>
      <c r="B9" t="s">
        <v>236</v>
      </c>
      <c r="C9" t="s">
        <v>236</v>
      </c>
      <c r="D9" t="s">
        <v>478</v>
      </c>
      <c r="E9">
        <v>598178</v>
      </c>
      <c r="F9">
        <v>533849</v>
      </c>
      <c r="G9">
        <v>495068</v>
      </c>
    </row>
    <row r="10" spans="1:7">
      <c r="A10" t="s">
        <v>453</v>
      </c>
      <c r="B10" t="s">
        <v>240</v>
      </c>
      <c r="C10" t="s">
        <v>240</v>
      </c>
      <c r="E10">
        <v>65220</v>
      </c>
      <c r="F10">
        <v>10762</v>
      </c>
    </row>
    <row r="11" spans="1:7">
      <c r="A11" t="s">
        <v>480</v>
      </c>
      <c r="E11">
        <v>6037</v>
      </c>
      <c r="F11">
        <v>-15814</v>
      </c>
      <c r="G11">
        <v>-13310</v>
      </c>
    </row>
    <row r="12" spans="1:7">
      <c r="A12" t="s">
        <v>481</v>
      </c>
      <c r="B12" t="s">
        <v>240</v>
      </c>
      <c r="C12" t="s">
        <v>240</v>
      </c>
      <c r="D12" t="s">
        <v>478</v>
      </c>
      <c r="E12">
        <v>7923</v>
      </c>
      <c r="F12">
        <v>7378</v>
      </c>
      <c r="G12">
        <v>6551</v>
      </c>
    </row>
    <row r="13" spans="1:7">
      <c r="A13" t="s">
        <v>482</v>
      </c>
      <c r="B13" t="s">
        <v>244</v>
      </c>
      <c r="C13" t="s">
        <v>244</v>
      </c>
      <c r="D13" t="s">
        <v>478</v>
      </c>
      <c r="E13">
        <v>12109</v>
      </c>
      <c r="F13">
        <v>-53453</v>
      </c>
      <c r="G13">
        <v>-9767</v>
      </c>
    </row>
    <row r="14" spans="1:7">
      <c r="A14" t="s">
        <v>483</v>
      </c>
      <c r="B14" t="s">
        <v>248</v>
      </c>
      <c r="C14" t="s">
        <v>248</v>
      </c>
      <c r="D14" t="s">
        <v>478</v>
      </c>
      <c r="E14">
        <v>9990</v>
      </c>
      <c r="F14">
        <v>10103</v>
      </c>
      <c r="G14">
        <v>15234</v>
      </c>
    </row>
    <row r="15" spans="1:7">
      <c r="A15" t="s">
        <v>484</v>
      </c>
      <c r="B15" t="s">
        <v>251</v>
      </c>
      <c r="C15" t="s">
        <v>251</v>
      </c>
      <c r="E15">
        <v>26327</v>
      </c>
      <c r="F15">
        <v>-288577</v>
      </c>
      <c r="G15">
        <v>98148</v>
      </c>
    </row>
    <row r="16" spans="1:7">
      <c r="A16" t="s">
        <v>485</v>
      </c>
      <c r="E16">
        <v>10000</v>
      </c>
      <c r="F16">
        <v>19000</v>
      </c>
      <c r="G16">
        <v>15000</v>
      </c>
    </row>
    <row r="17" spans="1:7">
      <c r="A17" t="s">
        <v>486</v>
      </c>
      <c r="F17">
        <v>8922</v>
      </c>
      <c r="G17">
        <v>7140</v>
      </c>
    </row>
    <row r="18" spans="1:7">
      <c r="A18" t="s">
        <v>487</v>
      </c>
      <c r="B18" t="s">
        <v>276</v>
      </c>
      <c r="C18" t="s">
        <v>276</v>
      </c>
      <c r="D18" t="s">
        <v>478</v>
      </c>
    </row>
    <row r="19" spans="1:7">
      <c r="A19" t="s">
        <v>488</v>
      </c>
      <c r="B19" t="s">
        <v>265</v>
      </c>
      <c r="C19" t="s">
        <v>265</v>
      </c>
      <c r="D19" t="s">
        <v>478</v>
      </c>
      <c r="E19">
        <v>-17842</v>
      </c>
      <c r="F19">
        <v>421</v>
      </c>
      <c r="G19">
        <v>-26942</v>
      </c>
    </row>
    <row r="20" spans="1:7">
      <c r="A20" t="s">
        <v>379</v>
      </c>
      <c r="B20" t="s">
        <v>265</v>
      </c>
      <c r="C20" t="s">
        <v>265</v>
      </c>
      <c r="D20" t="s">
        <v>478</v>
      </c>
      <c r="E20">
        <v>29188</v>
      </c>
      <c r="F20">
        <v>235227</v>
      </c>
      <c r="G20">
        <v>-1456</v>
      </c>
    </row>
    <row r="21" spans="1:7">
      <c r="A21" t="s">
        <v>380</v>
      </c>
      <c r="B21" t="s">
        <v>261</v>
      </c>
      <c r="C21" t="s">
        <v>261</v>
      </c>
      <c r="D21" t="s">
        <v>478</v>
      </c>
      <c r="E21">
        <v>5650</v>
      </c>
      <c r="F21">
        <v>-19291</v>
      </c>
      <c r="G21">
        <v>-4814</v>
      </c>
    </row>
    <row r="22" spans="1:7">
      <c r="A22" t="s">
        <v>382</v>
      </c>
      <c r="B22" t="s">
        <v>276</v>
      </c>
      <c r="C22" t="s">
        <v>276</v>
      </c>
      <c r="D22" t="s">
        <v>478</v>
      </c>
      <c r="E22">
        <v>-16261</v>
      </c>
      <c r="F22">
        <v>-15352</v>
      </c>
      <c r="G22">
        <v>2263</v>
      </c>
    </row>
    <row r="23" spans="1:7">
      <c r="A23" t="s">
        <v>398</v>
      </c>
      <c r="B23" t="s">
        <v>275</v>
      </c>
      <c r="C23" t="s">
        <v>275</v>
      </c>
      <c r="D23" t="s">
        <v>478</v>
      </c>
      <c r="E23">
        <v>9562</v>
      </c>
      <c r="F23">
        <v>-78419</v>
      </c>
      <c r="G23">
        <v>-24571</v>
      </c>
    </row>
    <row r="24" spans="1:7">
      <c r="A24" t="s">
        <v>399</v>
      </c>
      <c r="B24" t="s">
        <v>275</v>
      </c>
      <c r="C24" t="s">
        <v>275</v>
      </c>
      <c r="D24" t="s">
        <v>478</v>
      </c>
      <c r="E24">
        <v>-3055</v>
      </c>
      <c r="F24">
        <v>731</v>
      </c>
      <c r="G24">
        <v>-19650</v>
      </c>
    </row>
    <row r="25" spans="1:7">
      <c r="A25" t="s">
        <v>406</v>
      </c>
      <c r="B25" t="s">
        <v>277</v>
      </c>
      <c r="C25" t="s">
        <v>277</v>
      </c>
      <c r="D25" t="s">
        <v>478</v>
      </c>
      <c r="E25">
        <v>23105</v>
      </c>
      <c r="F25">
        <v>11993</v>
      </c>
      <c r="G25">
        <v>55998</v>
      </c>
    </row>
    <row r="26" spans="1:7">
      <c r="A26" t="s">
        <v>489</v>
      </c>
      <c r="D26" t="s">
        <v>478</v>
      </c>
      <c r="E26">
        <v>-5070</v>
      </c>
      <c r="F26">
        <v>-36975</v>
      </c>
      <c r="G26">
        <v>9459</v>
      </c>
    </row>
    <row r="27" spans="1:7">
      <c r="A27" t="s">
        <v>461</v>
      </c>
      <c r="D27" t="s">
        <v>478</v>
      </c>
      <c r="E27">
        <v>12094</v>
      </c>
      <c r="F27">
        <v>2898</v>
      </c>
      <c r="G27">
        <v>18300</v>
      </c>
    </row>
    <row r="28" spans="1:7">
      <c r="A28" t="s">
        <v>490</v>
      </c>
      <c r="B28" t="s">
        <v>231</v>
      </c>
      <c r="C28" t="s">
        <v>231</v>
      </c>
      <c r="D28" t="s">
        <v>478</v>
      </c>
      <c r="E28">
        <v>734522</v>
      </c>
      <c r="F28">
        <v>726892</v>
      </c>
      <c r="G28">
        <v>803343</v>
      </c>
    </row>
    <row r="29" spans="1:7">
      <c r="A29" t="s">
        <v>491</v>
      </c>
      <c r="B29" t="s">
        <v>286</v>
      </c>
      <c r="C29" t="s">
        <v>286</v>
      </c>
      <c r="D29" t="s">
        <v>492</v>
      </c>
    </row>
    <row r="30" spans="1:7">
      <c r="A30" t="s">
        <v>493</v>
      </c>
      <c r="B30" t="s">
        <v>290</v>
      </c>
      <c r="C30" t="s">
        <v>290</v>
      </c>
      <c r="D30" t="s">
        <v>492</v>
      </c>
      <c r="E30">
        <v>-2973254</v>
      </c>
      <c r="F30">
        <v>-855717</v>
      </c>
      <c r="G30">
        <v>-921247</v>
      </c>
    </row>
    <row r="31" spans="1:7">
      <c r="A31" t="s">
        <v>494</v>
      </c>
      <c r="B31" t="s">
        <v>291</v>
      </c>
      <c r="C31" t="s">
        <v>291</v>
      </c>
      <c r="D31" t="s">
        <v>492</v>
      </c>
      <c r="E31">
        <v>1498463</v>
      </c>
      <c r="F31">
        <v>580235</v>
      </c>
      <c r="G31">
        <v>1009310</v>
      </c>
    </row>
    <row r="32" spans="1:7">
      <c r="A32" t="s">
        <v>495</v>
      </c>
      <c r="B32" t="s">
        <v>287</v>
      </c>
      <c r="C32" t="s">
        <v>287</v>
      </c>
      <c r="D32" t="s">
        <v>492</v>
      </c>
      <c r="E32">
        <v>-555141</v>
      </c>
      <c r="F32">
        <v>-583211</v>
      </c>
      <c r="G32">
        <v>-722341</v>
      </c>
    </row>
    <row r="33" spans="1:7">
      <c r="A33" t="s">
        <v>496</v>
      </c>
      <c r="D33" t="s">
        <v>492</v>
      </c>
      <c r="E33">
        <v>77524</v>
      </c>
      <c r="F33">
        <v>4311</v>
      </c>
      <c r="G33">
        <v>24087</v>
      </c>
    </row>
    <row r="34" spans="1:7">
      <c r="A34" t="s">
        <v>497</v>
      </c>
      <c r="B34" t="s">
        <v>291</v>
      </c>
      <c r="C34" t="s">
        <v>291</v>
      </c>
      <c r="D34" t="s">
        <v>492</v>
      </c>
      <c r="E34">
        <v>1558</v>
      </c>
      <c r="F34">
        <v>17781</v>
      </c>
    </row>
    <row r="35" spans="1:7">
      <c r="A35" t="s">
        <v>498</v>
      </c>
      <c r="D35" t="s">
        <v>492</v>
      </c>
      <c r="E35">
        <v>-31639</v>
      </c>
      <c r="F35">
        <v>-31331</v>
      </c>
      <c r="G35">
        <v>-23252</v>
      </c>
    </row>
    <row r="36" spans="1:7">
      <c r="A36" t="s">
        <v>391</v>
      </c>
      <c r="D36" t="s">
        <v>492</v>
      </c>
      <c r="E36">
        <v>-115991</v>
      </c>
      <c r="G36">
        <v>-1636</v>
      </c>
    </row>
    <row r="37" spans="1:7">
      <c r="A37" t="s">
        <v>461</v>
      </c>
      <c r="D37" t="s">
        <v>492</v>
      </c>
      <c r="G37">
        <v>2880</v>
      </c>
    </row>
    <row r="38" spans="1:7">
      <c r="A38" t="s">
        <v>499</v>
      </c>
      <c r="B38" t="s">
        <v>286</v>
      </c>
      <c r="C38" t="s">
        <v>286</v>
      </c>
      <c r="D38" t="s">
        <v>492</v>
      </c>
      <c r="E38">
        <v>-2098480</v>
      </c>
      <c r="F38">
        <v>-867932</v>
      </c>
      <c r="G38">
        <v>-632199</v>
      </c>
    </row>
    <row r="39" spans="1:7">
      <c r="A39" t="s">
        <v>500</v>
      </c>
      <c r="B39" t="s">
        <v>297</v>
      </c>
      <c r="C39" t="s">
        <v>297</v>
      </c>
      <c r="D39" t="s">
        <v>501</v>
      </c>
    </row>
    <row r="40" spans="1:7">
      <c r="A40" t="s">
        <v>502</v>
      </c>
      <c r="B40" t="s">
        <v>299</v>
      </c>
      <c r="C40" t="s">
        <v>299</v>
      </c>
      <c r="D40" t="s">
        <v>501</v>
      </c>
      <c r="G40">
        <v>1500000</v>
      </c>
    </row>
    <row r="41" spans="1:7">
      <c r="A41" t="s">
        <v>503</v>
      </c>
      <c r="B41" t="s">
        <v>504</v>
      </c>
      <c r="C41" t="s">
        <v>504</v>
      </c>
      <c r="D41" t="s">
        <v>501</v>
      </c>
      <c r="F41">
        <v>-414</v>
      </c>
      <c r="G41">
        <v>-7097</v>
      </c>
    </row>
    <row r="42" spans="1:7">
      <c r="A42" t="s">
        <v>505</v>
      </c>
      <c r="D42" t="s">
        <v>501</v>
      </c>
      <c r="E42">
        <v>-70173</v>
      </c>
    </row>
    <row r="43" spans="1:7">
      <c r="A43" t="s">
        <v>506</v>
      </c>
      <c r="B43" t="s">
        <v>298</v>
      </c>
      <c r="C43" t="s">
        <v>298</v>
      </c>
      <c r="D43" t="s">
        <v>501</v>
      </c>
      <c r="E43">
        <v>-33292</v>
      </c>
    </row>
    <row r="44" spans="1:7">
      <c r="A44" t="s">
        <v>507</v>
      </c>
      <c r="B44" t="s">
        <v>504</v>
      </c>
      <c r="C44" t="s">
        <v>504</v>
      </c>
      <c r="D44" t="s">
        <v>501</v>
      </c>
      <c r="E44">
        <v>-41019</v>
      </c>
      <c r="F44">
        <v>-37670</v>
      </c>
      <c r="G44">
        <v>-40364</v>
      </c>
    </row>
    <row r="45" spans="1:7">
      <c r="A45" t="s">
        <v>508</v>
      </c>
      <c r="B45" t="s">
        <v>298</v>
      </c>
      <c r="C45" t="s">
        <v>298</v>
      </c>
      <c r="D45" t="s">
        <v>501</v>
      </c>
      <c r="E45">
        <v>4424</v>
      </c>
      <c r="F45">
        <v>35536</v>
      </c>
      <c r="G45">
        <v>13065</v>
      </c>
    </row>
    <row r="46" spans="1:7">
      <c r="A46" t="s">
        <v>509</v>
      </c>
      <c r="B46" t="s">
        <v>298</v>
      </c>
      <c r="C46" t="s">
        <v>298</v>
      </c>
      <c r="D46" t="s">
        <v>501</v>
      </c>
      <c r="E46">
        <v>9368</v>
      </c>
      <c r="F46">
        <v>8758</v>
      </c>
      <c r="G46">
        <v>14367</v>
      </c>
    </row>
    <row r="47" spans="1:7">
      <c r="A47" t="s">
        <v>510</v>
      </c>
      <c r="D47" t="s">
        <v>501</v>
      </c>
      <c r="E47">
        <v>-5350</v>
      </c>
      <c r="F47">
        <v>-5487</v>
      </c>
      <c r="G47">
        <v>-5499</v>
      </c>
    </row>
    <row r="48" spans="1:7">
      <c r="A48" t="s">
        <v>511</v>
      </c>
      <c r="D48" t="s">
        <v>501</v>
      </c>
      <c r="F48">
        <v>-651</v>
      </c>
    </row>
    <row r="49" spans="1:7">
      <c r="A49" t="s">
        <v>461</v>
      </c>
      <c r="B49" t="s">
        <v>276</v>
      </c>
      <c r="C49" t="s">
        <v>276</v>
      </c>
      <c r="D49" t="s">
        <v>501</v>
      </c>
      <c r="E49">
        <v>-521</v>
      </c>
      <c r="G49">
        <v>1217</v>
      </c>
    </row>
    <row r="50" spans="1:7">
      <c r="A50" t="s">
        <v>512</v>
      </c>
      <c r="B50" t="s">
        <v>311</v>
      </c>
      <c r="C50" t="s">
        <v>311</v>
      </c>
      <c r="D50" t="s">
        <v>501</v>
      </c>
      <c r="E50">
        <v>-136563</v>
      </c>
      <c r="F50">
        <v>72</v>
      </c>
      <c r="G50">
        <v>1475689</v>
      </c>
    </row>
    <row r="51" spans="1:7">
      <c r="A51" t="s">
        <v>513</v>
      </c>
      <c r="B51" t="s">
        <v>313</v>
      </c>
      <c r="C51" t="s">
        <v>313</v>
      </c>
      <c r="D51" t="s">
        <v>501</v>
      </c>
      <c r="E51">
        <v>-2233</v>
      </c>
      <c r="F51">
        <v>1351</v>
      </c>
      <c r="G51">
        <v>138</v>
      </c>
    </row>
    <row r="52" spans="1:7">
      <c r="A52" t="s">
        <v>514</v>
      </c>
      <c r="B52" t="s">
        <v>514</v>
      </c>
      <c r="C52" t="s">
        <v>312</v>
      </c>
      <c r="D52" t="s">
        <v>501</v>
      </c>
      <c r="E52">
        <v>-1502754</v>
      </c>
      <c r="F52">
        <v>-139617</v>
      </c>
      <c r="G52">
        <v>1646971</v>
      </c>
    </row>
    <row r="53" spans="1:7">
      <c r="A53" t="s">
        <v>515</v>
      </c>
      <c r="D53" t="s">
        <v>501</v>
      </c>
      <c r="E53">
        <v>2432249</v>
      </c>
      <c r="F53">
        <v>2571866</v>
      </c>
      <c r="G53">
        <v>924895</v>
      </c>
    </row>
    <row r="54" spans="1:7">
      <c r="A54" t="s">
        <v>516</v>
      </c>
      <c r="B54" t="s">
        <v>517</v>
      </c>
      <c r="C54" t="s">
        <v>315</v>
      </c>
      <c r="D54" t="s">
        <v>501</v>
      </c>
      <c r="E54">
        <v>929495</v>
      </c>
      <c r="F54">
        <v>2432249</v>
      </c>
      <c r="G54">
        <v>2571866</v>
      </c>
    </row>
    <row r="55" spans="1:7">
      <c r="A55" t="s">
        <v>518</v>
      </c>
      <c r="D55" t="s">
        <v>501</v>
      </c>
    </row>
    <row r="56" spans="1:7">
      <c r="A56" t="s">
        <v>519</v>
      </c>
      <c r="D56" t="s">
        <v>501</v>
      </c>
      <c r="E56">
        <v>240596</v>
      </c>
      <c r="F56">
        <v>207617</v>
      </c>
      <c r="G56">
        <v>78312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361242-B380-4BA3-BA69-3E77CE74DE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748B45-93D1-4EB4-929F-B7FAABA3A2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077008-5785-4625-8195-067F0FABB6D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2021-10-28T05:43:11Z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