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8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84" i="1" l="1"/>
  <c r="G189" i="1" s="1"/>
  <c r="G9" i="1" s="1"/>
  <c r="F184" i="1"/>
  <c r="G92" i="1"/>
  <c r="F92" i="1"/>
  <c r="F98" i="1" s="1"/>
  <c r="F100" i="1" s="1"/>
  <c r="F128" i="1" s="1"/>
  <c r="F7" i="1" s="1"/>
  <c r="G24" i="1"/>
  <c r="F364" i="1" s="1"/>
  <c r="F24" i="1"/>
  <c r="G433" i="1"/>
  <c r="G432" i="1"/>
  <c r="F432" i="1"/>
  <c r="F433" i="1" s="1"/>
  <c r="G417" i="1"/>
  <c r="G418" i="1" s="1"/>
  <c r="F417" i="1"/>
  <c r="F418" i="1" s="1"/>
  <c r="G410" i="1"/>
  <c r="G409" i="1"/>
  <c r="G397" i="1"/>
  <c r="F397" i="1"/>
  <c r="F409" i="1" s="1"/>
  <c r="F410" i="1" s="1"/>
  <c r="L382" i="1"/>
  <c r="K382" i="1"/>
  <c r="O381" i="1"/>
  <c r="N381" i="1"/>
  <c r="M381" i="1"/>
  <c r="L381" i="1"/>
  <c r="K381" i="1"/>
  <c r="J381" i="1"/>
  <c r="F381" i="1"/>
  <c r="J377" i="1"/>
  <c r="I377" i="1"/>
  <c r="L376" i="1"/>
  <c r="K376" i="1"/>
  <c r="O375" i="1"/>
  <c r="N375" i="1"/>
  <c r="M375" i="1"/>
  <c r="L375" i="1"/>
  <c r="K375" i="1"/>
  <c r="J375" i="1"/>
  <c r="F375" i="1"/>
  <c r="O373" i="1"/>
  <c r="H373" i="1"/>
  <c r="L371" i="1"/>
  <c r="K371" i="1"/>
  <c r="N370" i="1"/>
  <c r="M370" i="1"/>
  <c r="O369" i="1"/>
  <c r="H369" i="1"/>
  <c r="J368" i="1"/>
  <c r="I368" i="1"/>
  <c r="L366" i="1"/>
  <c r="K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O363" i="1"/>
  <c r="N363" i="1"/>
  <c r="M363" i="1"/>
  <c r="L363" i="1"/>
  <c r="K363" i="1"/>
  <c r="J363" i="1"/>
  <c r="I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O189" i="1"/>
  <c r="N189" i="1"/>
  <c r="M189" i="1"/>
  <c r="L189" i="1"/>
  <c r="K189" i="1"/>
  <c r="J189" i="1"/>
  <c r="I189" i="1"/>
  <c r="H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O83" i="1"/>
  <c r="N83" i="1"/>
  <c r="M83" i="1"/>
  <c r="L83" i="1"/>
  <c r="K83" i="1"/>
  <c r="J83" i="1"/>
  <c r="I83" i="1"/>
  <c r="H83" i="1"/>
  <c r="O71" i="1"/>
  <c r="O372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3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0" i="1" s="1"/>
  <c r="N44" i="1"/>
  <c r="N378" i="1" s="1"/>
  <c r="M44" i="1"/>
  <c r="M378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F10" i="1"/>
  <c r="O9" i="1"/>
  <c r="O377" i="1" s="1"/>
  <c r="N9" i="1"/>
  <c r="N384" i="1" s="1"/>
  <c r="M9" i="1"/>
  <c r="M384" i="1" s="1"/>
  <c r="L9" i="1"/>
  <c r="L384" i="1" s="1"/>
  <c r="K9" i="1"/>
  <c r="K384" i="1" s="1"/>
  <c r="J9" i="1"/>
  <c r="J376" i="1" s="1"/>
  <c r="I9" i="1"/>
  <c r="I376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3" i="1" s="1"/>
  <c r="J8" i="1"/>
  <c r="J382" i="1" s="1"/>
  <c r="I8" i="1"/>
  <c r="I382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81" i="1" s="1"/>
  <c r="H5" i="1"/>
  <c r="H368" i="1" s="1"/>
  <c r="G5" i="1"/>
  <c r="G368" i="1" s="1"/>
  <c r="F5" i="1"/>
  <c r="F368" i="1" s="1"/>
  <c r="G377" i="1" l="1"/>
  <c r="F161" i="1"/>
  <c r="F8" i="1" s="1"/>
  <c r="F12" i="1" s="1"/>
  <c r="F376" i="1" s="1"/>
  <c r="G12" i="1"/>
  <c r="G30" i="1"/>
  <c r="G326" i="1"/>
  <c r="G383" i="1"/>
  <c r="G382" i="1"/>
  <c r="F384" i="1"/>
  <c r="F13" i="1"/>
  <c r="F377" i="1"/>
  <c r="F353" i="1"/>
  <c r="F355" i="1" s="1"/>
  <c r="F357" i="1" s="1"/>
  <c r="F385" i="1"/>
  <c r="I372" i="1"/>
  <c r="O378" i="1"/>
  <c r="K368" i="1"/>
  <c r="K372" i="1"/>
  <c r="G375" i="1"/>
  <c r="M376" i="1"/>
  <c r="K377" i="1"/>
  <c r="I378" i="1"/>
  <c r="G381" i="1"/>
  <c r="M382" i="1"/>
  <c r="I384" i="1"/>
  <c r="O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I383" i="1"/>
  <c r="I365" i="1"/>
  <c r="M368" i="1"/>
  <c r="M372" i="1"/>
  <c r="I375" i="1"/>
  <c r="O376" i="1"/>
  <c r="M377" i="1"/>
  <c r="K378" i="1"/>
  <c r="O382" i="1"/>
  <c r="G13" i="1"/>
  <c r="J383" i="1"/>
  <c r="F363" i="1"/>
  <c r="N368" i="1"/>
  <c r="N372" i="1"/>
  <c r="H376" i="1"/>
  <c r="N377" i="1"/>
  <c r="L378" i="1"/>
  <c r="H382" i="1"/>
  <c r="G384" i="1"/>
  <c r="H384" i="1"/>
  <c r="G363" i="1"/>
  <c r="O368" i="1"/>
  <c r="F44" i="1"/>
  <c r="H363" i="1"/>
  <c r="G14" i="1" l="1"/>
  <c r="G366" i="1"/>
  <c r="F382" i="1"/>
  <c r="F383" i="1"/>
  <c r="G376" i="1"/>
  <c r="G44" i="1"/>
  <c r="G369" i="1"/>
  <c r="F378" i="1"/>
  <c r="F370" i="1"/>
  <c r="F59" i="1"/>
  <c r="F67" i="1" s="1"/>
  <c r="F71" i="1" s="1"/>
  <c r="F14" i="1"/>
  <c r="F366" i="1"/>
  <c r="G385" i="1"/>
  <c r="G353" i="1"/>
  <c r="G355" i="1" s="1"/>
  <c r="G357" i="1" s="1"/>
  <c r="G378" i="1" l="1"/>
  <c r="G370" i="1"/>
  <c r="G59" i="1"/>
  <c r="G67" i="1" s="1"/>
  <c r="G71" i="1" s="1"/>
  <c r="F373" i="1"/>
  <c r="F83" i="1"/>
  <c r="F6" i="1"/>
  <c r="F372" i="1"/>
  <c r="G372" i="1" l="1"/>
  <c r="G83" i="1"/>
  <c r="G6" i="1"/>
  <c r="F365" i="1" s="1"/>
  <c r="G373" i="1"/>
  <c r="F371" i="1"/>
  <c r="G365" i="1" l="1"/>
  <c r="G371" i="1"/>
</calcChain>
</file>

<file path=xl/sharedStrings.xml><?xml version="1.0" encoding="utf-8"?>
<sst xmlns="http://schemas.openxmlformats.org/spreadsheetml/2006/main" count="855" uniqueCount="526">
  <si>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</si>
  <si>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</si>
  <si>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</si>
  <si>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</si>
  <si>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</si>
  <si>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</si>
  <si>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</si>
  <si>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</si>
  <si>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</si>
  <si>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</si>
  <si>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</si>
  <si>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</si>
  <si>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</si>
  <si>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</si>
  <si>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</si>
  <si>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</si>
  <si>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</si>
  <si>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</si>
  <si>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</si>
  <si>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</si>
  <si>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</si>
  <si>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</si>
  <si>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</si>
  <si>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</si>
  <si>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</si>
  <si>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</si>
  <si>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</si>
  <si>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</si>
  <si>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</si>
  <si>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</si>
  <si>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</si>
  <si>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</si>
  <si>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</si>
  <si>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</si>
  <si>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</si>
  <si>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</si>
  <si>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</si>
  <si>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</si>
  <si>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</si>
  <si>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</si>
  <si>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</si>
  <si>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</si>
  <si>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</si>
  <si>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</si>
  <si>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</si>
  <si>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</si>
  <si>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</si>
  <si>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</si>
  <si>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</si>
  <si>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</si>
  <si>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</si>
  <si>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</si>
  <si>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</si>
  <si>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</si>
  <si>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</si>
  <si>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</si>
  <si>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</si>
  <si>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</si>
  <si>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</si>
  <si>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</si>
  <si>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</si>
  <si>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</si>
  <si>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</si>
  <si>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</si>
  <si>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</si>
  <si>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</si>
  <si>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</si>
  <si>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</si>
  <si>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</si>
  <si>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</si>
  <si>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</si>
  <si>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</si>
  <si>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</si>
  <si>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</si>
  <si>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</si>
  <si>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</si>
  <si>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</si>
  <si>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</si>
  <si>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</si>
  <si>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</si>
  <si>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</si>
  <si>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</si>
  <si>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</si>
  <si>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</si>
  <si>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</si>
  <si>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</si>
  <si>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</si>
  <si>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</si>
  <si>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</si>
  <si>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</si>
  <si>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</si>
  <si>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</si>
  <si>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</si>
  <si>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</si>
  <si>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</si>
  <si>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</si>
  <si>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</si>
  <si>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</si>
  <si>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</si>
  <si>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</si>
  <si>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</si>
  <si>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</si>
  <si>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</si>
  <si>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</si>
  <si>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</si>
  <si>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</si>
  <si>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</si>
  <si>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</si>
  <si>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</si>
  <si>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</si>
  <si>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</si>
  <si>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</si>
  <si>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</si>
  <si>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</si>
  <si>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</si>
  <si>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</si>
  <si>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</si>
  <si>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</si>
  <si>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</si>
  <si>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</si>
  <si>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</si>
  <si>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</si>
  <si>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</si>
  <si>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</si>
  <si>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</si>
  <si>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</si>
  <si>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</si>
  <si>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</si>
  <si>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</si>
  <si>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</si>
  <si>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</si>
  <si>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</si>
  <si>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</si>
  <si>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</si>
  <si>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</si>
  <si>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</si>
  <si>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</si>
  <si>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</si>
  <si>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</si>
  <si>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</si>
  <si>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</si>
  <si>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</si>
  <si>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</si>
  <si>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</si>
  <si>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</si>
  <si>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</si>
  <si>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</si>
  <si>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</si>
  <si>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</si>
  <si>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</si>
  <si>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</si>
  <si>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</si>
  <si>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</si>
  <si>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</si>
  <si>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</si>
  <si>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</si>
  <si>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</si>
  <si>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</si>
  <si>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</si>
  <si>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</si>
  <si>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</si>
  <si>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</si>
  <si>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</si>
  <si>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</si>
  <si>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</si>
  <si>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</si>
  <si>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</si>
  <si>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</si>
  <si>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</si>
  <si>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</si>
  <si>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</si>
  <si>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</si>
  <si>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</si>
  <si>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</si>
  <si>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</si>
  <si>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</si>
  <si>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</si>
  <si>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</si>
  <si>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</si>
  <si>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</si>
  <si>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</si>
  <si>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</si>
  <si>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</si>
  <si>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</si>
  <si>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</si>
  <si>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</si>
  <si>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</si>
  <si>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</si>
  <si>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</si>
  <si>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</si>
  <si>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</si>
  <si>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</si>
  <si>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</si>
  <si>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</si>
  <si>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</si>
  <si>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</si>
  <si>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</si>
  <si>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</si>
  <si>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</si>
  <si>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</si>
  <si>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</si>
  <si>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</si>
  <si>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</si>
  <si>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</si>
  <si>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</si>
  <si>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</si>
  <si>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</si>
  <si>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</si>
  <si>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</si>
  <si>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</si>
  <si>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</si>
  <si>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</si>
  <si>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</si>
  <si>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</si>
  <si>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</si>
  <si>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</si>
  <si>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</si>
  <si>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</si>
  <si>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</si>
  <si>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</si>
  <si>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</si>
  <si>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</si>
  <si>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</si>
  <si>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</si>
  <si>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</si>
  <si>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</si>
  <si>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</si>
  <si>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</si>
  <si>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</si>
  <si>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</si>
  <si>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</si>
  <si>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</si>
  <si>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</si>
  <si>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</si>
  <si>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</si>
  <si>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</si>
  <si>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</si>
  <si>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</si>
  <si>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</si>
  <si>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</si>
  <si>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</si>
  <si>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</si>
  <si>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</si>
  <si>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</si>
  <si>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</si>
  <si>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</si>
  <si>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</si>
  <si>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</si>
  <si>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</si>
  <si>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</si>
  <si>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</si>
  <si>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</si>
  <si>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</si>
  <si>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</si>
  <si>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</si>
  <si>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</si>
  <si>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</si>
  <si>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</si>
  <si>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</si>
  <si>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</si>
  <si>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</si>
  <si>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</si>
  <si>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</si>
  <si>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</si>
  <si>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</si>
  <si>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</si>
  <si>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</si>
  <si>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</si>
  <si>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</si>
  <si>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</si>
  <si>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</si>
  <si>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</si>
  <si>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</si>
  <si>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</si>
  <si>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</si>
  <si>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</si>
  <si>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</si>
  <si>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</si>
  <si>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</si>
  <si>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</si>
  <si>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</si>
  <si>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</si>
  <si>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</si>
  <si>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</si>
  <si>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</si>
  <si>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</si>
  <si>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</si>
  <si>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</si>
  <si>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</si>
  <si>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</si>
  <si>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</si>
  <si>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</si>
  <si>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</si>
  <si>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</si>
  <si>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</si>
  <si>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</si>
  <si>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</si>
  <si>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</si>
  <si>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</si>
  <si>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</si>
  <si>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</si>
  <si>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</si>
  <si>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</si>
  <si>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</si>
  <si>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</si>
  <si>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</si>
  <si>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</si>
  <si>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</si>
  <si>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</si>
  <si>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</si>
  <si>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</si>
  <si>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</si>
  <si>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</si>
  <si>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</si>
  <si>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</si>
  <si>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</si>
  <si>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</si>
  <si>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</si>
  <si>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</si>
  <si>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</si>
  <si>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</si>
  <si>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</si>
  <si>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</si>
  <si>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</si>
  <si>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</si>
  <si>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</si>
  <si>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</si>
  <si>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</si>
  <si>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</si>
  <si>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</si>
  <si>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</si>
  <si>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</si>
  <si>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</si>
  <si>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</si>
  <si>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</si>
  <si>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</si>
  <si>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</si>
  <si>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</si>
  <si>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</si>
  <si>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</si>
  <si>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</si>
  <si>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</si>
  <si>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</si>
  <si>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</si>
  <si>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</si>
  <si>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</si>
  <si>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</si>
  <si>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</si>
  <si>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</si>
  <si>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</si>
  <si>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</si>
  <si>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</si>
  <si>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</si>
  <si>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</si>
  <si>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</si>
  <si>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</si>
  <si>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</si>
  <si>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</si>
  <si>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</si>
  <si>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</si>
  <si>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</si>
  <si>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</si>
  <si>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</si>
  <si>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</si>
  <si>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</si>
  <si>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</si>
  <si>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</si>
  <si>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</si>
  <si>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</si>
  <si>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</si>
  <si>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</si>
  <si>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</si>
  <si>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</si>
  <si>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</si>
  <si>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ASSETS:</t>
  </si>
  <si>
    <t>Current Assets:</t>
  </si>
  <si>
    <t>Cash and cash equivalents</t>
  </si>
  <si>
    <t>Short-term marketable securities</t>
  </si>
  <si>
    <t>Accounts receivable, net of allowances of $75 and $2,754, respectively</t>
  </si>
  <si>
    <t>Inventories</t>
  </si>
  <si>
    <t>Prepaid expenses and other current assets</t>
  </si>
  <si>
    <t>Total current assets</t>
  </si>
  <si>
    <t>Property and equipment, net</t>
  </si>
  <si>
    <t>Property and Equipment</t>
  </si>
  <si>
    <t>Intangible assets, net</t>
  </si>
  <si>
    <t>Other Intangibles</t>
  </si>
  <si>
    <t>Restricted cash</t>
  </si>
  <si>
    <t>Other long-term assets</t>
  </si>
  <si>
    <t>Total assets</t>
  </si>
  <si>
    <t>LIABILITIES AND STOCKHOLDERS' EQUITY:</t>
  </si>
  <si>
    <t>Current liabilities:</t>
  </si>
  <si>
    <t>Accounts payable</t>
  </si>
  <si>
    <t>Accrued compensation</t>
  </si>
  <si>
    <t>Accruals</t>
  </si>
  <si>
    <t>Current portion of long-term debt</t>
  </si>
  <si>
    <t>Other current liabilities</t>
  </si>
  <si>
    <t>Total current liabilities</t>
  </si>
  <si>
    <t>Deferred rent</t>
  </si>
  <si>
    <t>Long-term debt</t>
  </si>
  <si>
    <t>Other noncurrent liabilities</t>
  </si>
  <si>
    <t>Total liabilities</t>
  </si>
  <si>
    <t>Commitments and contingencies - See Note 7</t>
  </si>
  <si>
    <t>Stockholders' equity</t>
  </si>
  <si>
    <t>Preferred stock, $0.0001 par value; 5,000 authorized, none issued</t>
  </si>
  <si>
    <t>Common stock, $0.0001 par value; 100,000 authorized; 56,240 and 55,066 shares issued and outstanding, respectively</t>
  </si>
  <si>
    <t>Additional paid-in capital</t>
  </si>
  <si>
    <t>Accumulated deficit</t>
  </si>
  <si>
    <t>Accumulated other comprehensive income</t>
  </si>
  <si>
    <t>Total stockholders equity</t>
  </si>
  <si>
    <t>Revenue</t>
  </si>
  <si>
    <t>Product revenue</t>
  </si>
  <si>
    <t>License and other revenue</t>
  </si>
  <si>
    <t>Total revenue</t>
  </si>
  <si>
    <t>Total Cost of Revenue</t>
  </si>
  <si>
    <t>Total Cost of Revenue TODO REMOVE</t>
  </si>
  <si>
    <t>Cost of revenue</t>
  </si>
  <si>
    <t>Gross profit</t>
  </si>
  <si>
    <t>Gross Profit</t>
  </si>
  <si>
    <t>Operating expenses:</t>
  </si>
  <si>
    <t>Sales and marketing</t>
  </si>
  <si>
    <t>Selling and distribution expenses</t>
  </si>
  <si>
    <t>General and administrative</t>
  </si>
  <si>
    <t>Research and development</t>
  </si>
  <si>
    <t>Total operating expenses</t>
  </si>
  <si>
    <t>Loss from operations</t>
  </si>
  <si>
    <t>Operating Profit</t>
  </si>
  <si>
    <t>Other income (expense):</t>
  </si>
  <si>
    <t>Interest income</t>
  </si>
  <si>
    <t>Interest expense</t>
  </si>
  <si>
    <t>Other income (expense)</t>
  </si>
  <si>
    <t>Total other income (expense)</t>
  </si>
  <si>
    <t>Loss before provision for income taxes</t>
  </si>
  <si>
    <t>Income tax expense</t>
  </si>
  <si>
    <t>Net loss</t>
  </si>
  <si>
    <t>Net loss per share, basic and diluted</t>
  </si>
  <si>
    <t>Weighted average number of shares outstanding basic and diluted</t>
  </si>
  <si>
    <t>Other comprehensive loss</t>
  </si>
  <si>
    <t>Total Other Comprehensive Loss</t>
  </si>
  <si>
    <t>Total Other Comprehensive Income</t>
  </si>
  <si>
    <t>Other comprehensive income/(loss):</t>
  </si>
  <si>
    <t>Foreign currency translation adjustments, net of tax</t>
  </si>
  <si>
    <t>Net unrealized gains (losses) on marketable securities, net of tax</t>
  </si>
  <si>
    <t>Total other comprehensive income/(loss)</t>
  </si>
  <si>
    <t>Total Other Comprehensive Income (Loss)</t>
  </si>
  <si>
    <t>Operating activities:</t>
  </si>
  <si>
    <t>Operating Activities</t>
  </si>
  <si>
    <t>Adjustments to reconcile net loss to net cash used in operating activities:</t>
  </si>
  <si>
    <t>Depreciation and amortization</t>
  </si>
  <si>
    <t>Net amortization/(accretion) of premiums/discounts on investments</t>
  </si>
  <si>
    <t>Gain on sale of investment in preferred stock</t>
  </si>
  <si>
    <t>Amortization of deferred debt issuance costs</t>
  </si>
  <si>
    <t>Stock-based compensation</t>
  </si>
  <si>
    <t>Provision for bad debt</t>
  </si>
  <si>
    <t>Non-cash inventory adjustments</t>
  </si>
  <si>
    <t>Other non-cash adjustments</t>
  </si>
  <si>
    <t>Changes in operating assets and liabilities:</t>
  </si>
  <si>
    <t>Accounts receivable</t>
  </si>
  <si>
    <t>Prepaid expenses and other assets</t>
  </si>
  <si>
    <t>Other current and non-current liabilities</t>
  </si>
  <si>
    <t>Net cash used in operating activities</t>
  </si>
  <si>
    <t>Investing activities:</t>
  </si>
  <si>
    <t>Investing Activities</t>
  </si>
  <si>
    <t>Payments for intellectual property licenses</t>
  </si>
  <si>
    <t>Purchases of property and equipment</t>
  </si>
  <si>
    <t>Purchases of marketable securities</t>
  </si>
  <si>
    <t>Proceeds from sales of marketable securities</t>
  </si>
  <si>
    <t>Maturities of marketable securities</t>
  </si>
  <si>
    <t>Net cash provided by (used in) investing activities</t>
  </si>
  <si>
    <t>Financing activities:</t>
  </si>
  <si>
    <t>Financing Activities</t>
  </si>
  <si>
    <t>Proceeds from issuance of common stock</t>
  </si>
  <si>
    <t>Costs incurred in conjunction with public offering</t>
  </si>
  <si>
    <t>Principal repayment of borrowings</t>
  </si>
  <si>
    <t>Costs associated with debt issuance</t>
  </si>
  <si>
    <t>Proceeds from stock option exercises</t>
  </si>
  <si>
    <t>Net cash provided by financing activities</t>
  </si>
  <si>
    <t>Effect of exchange rate changes on cash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</si>
  <si>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</si>
  <si>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</si>
  <si>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</si>
  <si>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</si>
  <si>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Non-cash investing and financing activities:</t>
  </si>
  <si>
    <t>Transfer of systems from property and equipment into inventory</t>
  </si>
  <si>
    <t>Property and equipment costs incurred but not paid included in accounts payable</t>
  </si>
  <si>
    <t>Supplemental cash flow information:</t>
  </si>
  <si>
    <t>Cash paid for interest</t>
  </si>
  <si>
    <t>Cash paid for income taxes, net</t>
  </si>
  <si>
    <t xml:space="preserve">Adjustment for Income Tax Paid 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</si>
  <si>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</si>
  <si>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</si>
  <si>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</si>
  <si>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</si>
  <si>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</si>
  <si>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interest paid and financial costs</t>
  </si>
  <si>
    <t>current taxation</t>
  </si>
  <si>
    <t>property, plant and equipment</t>
  </si>
  <si>
    <t>leased assets</t>
  </si>
  <si>
    <t>accumulated depreciation and amortisation</t>
  </si>
  <si>
    <t>other current liabilities</t>
  </si>
  <si>
    <t>changed value</t>
  </si>
  <si>
    <t>turnover</t>
  </si>
  <si>
    <t>product revenue</t>
  </si>
  <si>
    <t>license and other revenue</t>
  </si>
  <si>
    <t>changed sign</t>
  </si>
  <si>
    <t>sales and marketing</t>
  </si>
  <si>
    <t>interest expense</t>
  </si>
  <si>
    <t>other income (expense)</t>
  </si>
  <si>
    <t>deleted value</t>
  </si>
  <si>
    <t>added value</t>
  </si>
  <si>
    <t>income tax expense (benefit)</t>
  </si>
  <si>
    <t>raw materials</t>
  </si>
  <si>
    <t>work-in-process</t>
  </si>
  <si>
    <t>finished goods</t>
  </si>
  <si>
    <t>stock - raw materials</t>
  </si>
  <si>
    <t>stock - work in progress</t>
  </si>
  <si>
    <t>stock - finished goods</t>
  </si>
  <si>
    <t>plant and machinery</t>
  </si>
  <si>
    <t>instruments</t>
  </si>
  <si>
    <t>office equipment</t>
  </si>
  <si>
    <t>leasehold improvements</t>
  </si>
  <si>
    <t>accumulated depreciation and amortization</t>
  </si>
  <si>
    <t>accounts payable</t>
  </si>
  <si>
    <t>accrued compensation</t>
  </si>
  <si>
    <t>other operating current liabilities</t>
  </si>
  <si>
    <t>long term accruals</t>
  </si>
  <si>
    <t>deferred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</si>
</sst>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4" fillId="0" borderId="0" xfId="2" applyFont="1"/>
    <xf numFmtId="3" fontId="4" fillId="0" borderId="0" xfId="2" applyFill="1" applyAlignment="1">
      <alignment horizontal="left" vertical="center" wrapText="1"/>
    </xf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ill="1"/>
    <xf numFmtId="3" fontId="0" fillId="12" borderId="0" xfId="0" applyFill="1"/>
    <xf numFmtId="3" fontId="0" fillId="13" borderId="0" xfId="0" applyFill="1"/>
    <xf numFmtId="3" fontId="4" fillId="12" borderId="0" xfId="0" applyFont="1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7F-43D9-B94A-6A933DFFB3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D2-4760-B7B4-D5DC471F44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8D-4A22-927B-C1CC54C785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50-4445-BB87-C11C29F90D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47-48C0-AE7F-0752DBE814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E5-459C-A0C4-A673077790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A6-4AE5-8B6B-F8D1525487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77-40B3-ADB9-A4BD6C02C8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656-4676-B6C4-3865592AA2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28-4978-B542-1CBCF31FB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EF-4271-A62F-990841EA2E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28-427A-A914-C2A02545D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4F-46CF-973B-93801064D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D4-4FC4-A5D7-DABB337178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B2-4D37-BB38-273F402512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2.570312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-50500</v>
      </c>
      <c r="G6" s="7">
        <f t="shared" ref="G6:O6" si="1">IF(G4=$BF$1,"",G71)</f>
        <v>-61850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24552</v>
      </c>
      <c r="G7" s="7">
        <f t="shared" ref="G7:O7" si="2">IF(G4=$BF$1,"",G128)</f>
        <v>26468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68429</v>
      </c>
      <c r="G8" s="7">
        <f t="shared" ref="G8:O8" si="3">IF(G4=$BF$1,"",G161)</f>
        <v>95831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20287</v>
      </c>
      <c r="G9" s="7">
        <f t="shared" ref="G9:O9" si="4">IF(G4=$BF$1,"",G189)</f>
        <v>27743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39147</v>
      </c>
      <c r="G10" s="7">
        <f t="shared" ref="G10:O10" si="5">IF(G4=$BF$1,"",G210)</f>
        <v>23399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33547</v>
      </c>
      <c r="G11" s="7">
        <f t="shared" ref="G11:O11" si="6">IF(G4=$BF$1,"",G227)</f>
        <v>71157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92981</v>
      </c>
      <c r="G12" s="35">
        <f t="shared" ref="G12:O12" si="7">IF(G4=$BF$1,"",SUM(G7:G8))</f>
        <v>122299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92981</v>
      </c>
      <c r="G13" s="35">
        <f t="shared" ref="G13:O13" si="8">IF(G4=$BF$1,"",SUM(G9:G11))</f>
        <v>122299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70481+278</f>
        <v>70759</v>
      </c>
      <c r="G24">
        <f>52260+259</f>
        <v>52519</v>
      </c>
      <c r="H24">
        <v>48914</v>
      </c>
      <c r="P24" s="50" t="s">
        <v>499</v>
      </c>
    </row>
    <row r="25" spans="5:16">
      <c r="E25" s="1" t="s">
        <v>27</v>
      </c>
      <c r="F25">
        <v>51278</v>
      </c>
      <c r="G25">
        <v>32514</v>
      </c>
      <c r="H25">
        <v>19700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19481</v>
      </c>
      <c r="G30" s="7">
        <f>IF(G4=$BF$1,"",G24-G25+ABS(G26)-G27-G28-G29)</f>
        <v>20005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1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  <c r="F33">
        <v>21777</v>
      </c>
      <c r="G33">
        <v>20557</v>
      </c>
      <c r="H33">
        <v>14734</v>
      </c>
      <c r="P33" s="50" t="s">
        <v>503</v>
      </c>
    </row>
    <row r="34" spans="5:16">
      <c r="E34" s="1" t="s">
        <v>36</v>
      </c>
      <c r="F34">
        <v>17545</v>
      </c>
      <c r="G34">
        <v>16205</v>
      </c>
      <c r="H34">
        <v>14363</v>
      </c>
    </row>
    <row r="35" spans="5:16">
      <c r="E35" s="1" t="s">
        <v>37</v>
      </c>
      <c r="F35">
        <v>27931</v>
      </c>
      <c r="G35">
        <v>42760</v>
      </c>
      <c r="H35">
        <v>49458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67253</v>
      </c>
      <c r="G43" s="7">
        <f>G32+G33+G34+G35+G36+G37+G38+G39+G40+G41+G42</f>
        <v>79522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51"/>
    </row>
    <row r="44" spans="5:16">
      <c r="E44" s="6" t="s">
        <v>46</v>
      </c>
      <c r="F44" s="7">
        <f>F30+F31-F43</f>
        <v>-47772</v>
      </c>
      <c r="G44" s="7">
        <f>IF(G4=$BF$1,"",G30+G31-G43)</f>
        <v>-59517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3108</v>
      </c>
      <c r="G49">
        <v>3042</v>
      </c>
      <c r="H49">
        <v>-1536</v>
      </c>
      <c r="P49" s="50" t="s">
        <v>503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711</v>
      </c>
      <c r="G52">
        <v>561</v>
      </c>
      <c r="H52">
        <v>176</v>
      </c>
    </row>
    <row r="53" spans="5:16">
      <c r="E53" s="1" t="s">
        <v>55</v>
      </c>
    </row>
    <row r="54" spans="5:16">
      <c r="E54" s="1" t="s">
        <v>56</v>
      </c>
      <c r="F54">
        <v>-192</v>
      </c>
      <c r="G54">
        <v>249</v>
      </c>
      <c r="H54">
        <v>-60</v>
      </c>
      <c r="P54" s="50" t="s">
        <v>499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  <c r="F57"/>
      <c r="G57"/>
      <c r="H57">
        <v>77</v>
      </c>
      <c r="P57" s="50" t="s">
        <v>507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-50361</v>
      </c>
      <c r="G59" s="7">
        <f>IF(G4=$BF$1,"",G44+G45+G46+G47+G48-G49-G50-G51+G52-G53+G54+G55-G56+G57+G58)</f>
        <v>-61749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139</v>
      </c>
      <c r="G60" s="38">
        <v>101</v>
      </c>
      <c r="P60" s="50" t="s">
        <v>508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-50500</v>
      </c>
      <c r="G67" s="7">
        <f>IF(G4=$BF$1,"",SUM(G59,-G60,-ABS(G61),-G62,-G66))</f>
        <v>-61850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-50500</v>
      </c>
      <c r="G71" s="7">
        <f t="shared" ref="G71:O71" si="14">IF(G4=$BF$1,"",SUM(G67:G70))</f>
        <v>-61850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  <c r="F75"/>
      <c r="G75"/>
      <c r="H75">
        <v>-11</v>
      </c>
      <c r="P75" s="50" t="s">
        <v>507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-50500</v>
      </c>
      <c r="G83" s="7">
        <f t="shared" ref="G83:O83" si="15">IF(G4=$BF$1,"",SUM(G71:G82))</f>
        <v>-61850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15206+15089+2114</f>
        <v>32409</v>
      </c>
      <c r="G92">
        <f>13762+13347+1948</f>
        <v>29057</v>
      </c>
      <c r="P92" s="50" t="s">
        <v>499</v>
      </c>
    </row>
    <row r="93" spans="5:16">
      <c r="E93" s="1" t="s">
        <v>85</v>
      </c>
    </row>
    <row r="94" spans="5:16">
      <c r="E94" s="1" t="s">
        <v>86</v>
      </c>
      <c r="F94" s="38">
        <v>10648</v>
      </c>
      <c r="G94" s="38">
        <v>10480</v>
      </c>
      <c r="P94" s="50" t="s">
        <v>508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43057</v>
      </c>
      <c r="G98" s="7">
        <f>IF(G4=$BF$1,"",G89+G90+G91+G92+G93+G94+G95+G96)</f>
        <v>39537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 s="38">
        <v>-21987</v>
      </c>
      <c r="G99" s="38">
        <v>-16956</v>
      </c>
      <c r="P99" s="50" t="s">
        <v>508</v>
      </c>
    </row>
    <row r="100" spans="5:16">
      <c r="E100" s="6" t="s">
        <v>90</v>
      </c>
      <c r="F100" s="7">
        <f>F98+F99</f>
        <v>21070</v>
      </c>
      <c r="G100" s="7">
        <f t="shared" ref="G100:O100" si="17">IF(G4=$BF$1,"",G98+G99)</f>
        <v>22581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</row>
    <row r="102" spans="5:16">
      <c r="E102" s="1" t="s">
        <v>92</v>
      </c>
      <c r="F102">
        <v>2023</v>
      </c>
      <c r="G102">
        <v>2624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2023</v>
      </c>
      <c r="G104" s="7">
        <f t="shared" ref="G104:O104" si="18">IF(G4=$BF$1,"",G101+G102+G103)</f>
        <v>2624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701</v>
      </c>
      <c r="G108">
        <v>505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758</v>
      </c>
      <c r="G126">
        <v>758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24552</v>
      </c>
      <c r="G128" s="7">
        <f t="shared" ref="G128:O128" si="19">IF(G4=$BF$1,"",G100+SUM(G104:G126))</f>
        <v>26468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36286</v>
      </c>
      <c r="G130">
        <v>26754</v>
      </c>
    </row>
    <row r="131" spans="5:16">
      <c r="E131" s="1" t="s">
        <v>118</v>
      </c>
      <c r="F131">
        <v>8882</v>
      </c>
      <c r="G131">
        <v>45236</v>
      </c>
    </row>
    <row r="132" spans="5:16">
      <c r="E132" s="1" t="s">
        <v>119</v>
      </c>
    </row>
    <row r="133" spans="5:16">
      <c r="E133" s="1" t="s">
        <v>120</v>
      </c>
      <c r="F133">
        <v>11534</v>
      </c>
      <c r="G133">
        <v>10676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56702</v>
      </c>
      <c r="G140" s="7">
        <f t="shared" ref="G140:O140" si="20">IF(G4=$BF$1,"",G130+G131+G132+G133+G134+G135+G136+G139)</f>
        <v>82666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2449</v>
      </c>
      <c r="G142" s="38">
        <v>4534</v>
      </c>
      <c r="P142" s="50" t="s">
        <v>508</v>
      </c>
    </row>
    <row r="143" spans="5:16">
      <c r="E143" s="1" t="s">
        <v>125</v>
      </c>
      <c r="F143" s="38">
        <v>3349</v>
      </c>
      <c r="G143" s="38">
        <v>3638</v>
      </c>
      <c r="P143" s="50" t="s">
        <v>508</v>
      </c>
    </row>
    <row r="144" spans="5:16">
      <c r="E144" s="1" t="s">
        <v>126</v>
      </c>
      <c r="F144">
        <v>4446</v>
      </c>
      <c r="G144">
        <v>2777</v>
      </c>
      <c r="P144" s="50" t="s">
        <v>499</v>
      </c>
    </row>
    <row r="145" spans="5:16">
      <c r="E145" s="6" t="s">
        <v>127</v>
      </c>
      <c r="F145" s="7">
        <f>F141+F142+F143+F144</f>
        <v>10244</v>
      </c>
      <c r="G145" s="7">
        <f t="shared" ref="G145:O145" si="21">IF(G4=$BF$1,"",G141+G142+G143+G144)</f>
        <v>10949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51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1483</v>
      </c>
      <c r="G154">
        <v>2216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1483</v>
      </c>
      <c r="G160" s="7">
        <f>IF(G4=$BF$1,"",G146+G147+G148+G149+G150+G151+G152+G153+G154+G155+G156+G157+G158+G159)</f>
        <v>2216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68429</v>
      </c>
      <c r="G161" s="7">
        <f t="shared" ref="G161:O161" si="22">IF(G4=$BF$1,"",G140+G145+G160)</f>
        <v>95831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0</v>
      </c>
      <c r="G167">
        <v>7927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9886+7358</f>
        <v>17244</v>
      </c>
      <c r="G184">
        <f>11171+5419</f>
        <v>16590</v>
      </c>
      <c r="P184" s="50" t="s">
        <v>499</v>
      </c>
    </row>
    <row r="185" spans="5:16">
      <c r="E185" s="12" t="s">
        <v>162</v>
      </c>
    </row>
    <row r="187" spans="5:16">
      <c r="E187" s="1" t="s">
        <v>163</v>
      </c>
      <c r="F187">
        <v>3043</v>
      </c>
      <c r="G187">
        <v>3226</v>
      </c>
      <c r="P187" s="50" t="s">
        <v>499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20287</v>
      </c>
      <c r="G189" s="7">
        <f t="shared" ref="G189:O189" si="23">IF(G4=$BF$1,"",SUM(G163:G188))</f>
        <v>27743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36042</v>
      </c>
      <c r="G193">
        <v>20099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 s="38">
        <v>2996</v>
      </c>
      <c r="G197" s="38">
        <v>3059</v>
      </c>
      <c r="P197" s="52" t="s">
        <v>508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109</v>
      </c>
      <c r="G209">
        <v>241</v>
      </c>
    </row>
    <row r="210" spans="5:16">
      <c r="E210" s="6" t="s">
        <v>14</v>
      </c>
      <c r="F210" s="7">
        <f>SUM(F191:F209)</f>
        <v>39147</v>
      </c>
      <c r="G210" s="7">
        <f t="shared" ref="G210:O210" si="24">IF(G4=$BF$1,"",SUM(G191:G209))</f>
        <v>23399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500350</v>
      </c>
      <c r="G212">
        <v>487531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80</v>
      </c>
      <c r="G215">
        <v>9</v>
      </c>
    </row>
    <row r="216" spans="5:16">
      <c r="E216" s="1" t="s">
        <v>186</v>
      </c>
    </row>
    <row r="217" spans="5:16">
      <c r="E217" s="1" t="s">
        <v>187</v>
      </c>
      <c r="F217">
        <v>-466883</v>
      </c>
      <c r="G217">
        <v>-416383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33547</v>
      </c>
      <c r="G227" s="7">
        <f t="shared" ref="G227:O227" si="25">IF(G4=$BF$1,"",SUM(G212:G226))</f>
        <v>71157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-50500</v>
      </c>
      <c r="G267">
        <v>-61850</v>
      </c>
      <c r="H267">
        <v>-50601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7088</v>
      </c>
      <c r="G271">
        <v>5317</v>
      </c>
      <c r="H271">
        <v>3916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796</v>
      </c>
      <c r="G275">
        <v>1093</v>
      </c>
      <c r="H275">
        <v>477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0</v>
      </c>
      <c r="G279">
        <v>0</v>
      </c>
      <c r="H279">
        <v>-9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165</v>
      </c>
      <c r="G284">
        <v>61</v>
      </c>
      <c r="H284">
        <v>65</v>
      </c>
    </row>
    <row r="285" spans="5:8">
      <c r="E285" s="1" t="s">
        <v>248</v>
      </c>
      <c r="F285">
        <v>11697</v>
      </c>
      <c r="G285">
        <v>12170</v>
      </c>
      <c r="H285">
        <v>9236</v>
      </c>
    </row>
    <row r="286" spans="5:8" ht="25.5" customHeight="1">
      <c r="E286" s="1" t="s">
        <v>249</v>
      </c>
    </row>
    <row r="287" spans="5:8">
      <c r="E287" s="1" t="s">
        <v>250</v>
      </c>
      <c r="F287">
        <v>23</v>
      </c>
      <c r="G287">
        <v>14</v>
      </c>
      <c r="H287">
        <v>13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19769</v>
      </c>
      <c r="G296" s="7">
        <f>IF(G4=$BF$1,"",G271+G272+G273+G274+G275+G276+G277+G278+G279+G280+G281+G282+G283+G284+G285+G286+G287+G288+G289+G290+G291+G292+G293+G294+G295)</f>
        <v>18655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-30731</v>
      </c>
      <c r="G297" s="7">
        <f t="shared" ref="G297:O297" si="27">IF(G4=$BF$1,"",MIN(F267,F268,F269)+F296)</f>
        <v>-30731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-2414</v>
      </c>
      <c r="G299">
        <v>-10512</v>
      </c>
      <c r="H299">
        <v>-3450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854</v>
      </c>
      <c r="G302">
        <v>-599</v>
      </c>
      <c r="H302">
        <v>-613</v>
      </c>
    </row>
    <row r="303" spans="5:15">
      <c r="E303" s="1" t="s">
        <v>265</v>
      </c>
      <c r="F303">
        <v>-878</v>
      </c>
      <c r="G303">
        <v>-1555</v>
      </c>
      <c r="H303">
        <v>-2250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-1389</v>
      </c>
      <c r="G315">
        <v>2557</v>
      </c>
      <c r="H315">
        <v>4105</v>
      </c>
    </row>
    <row r="316" spans="5:15">
      <c r="E316" s="1" t="s">
        <v>276</v>
      </c>
      <c r="F316">
        <v>15</v>
      </c>
      <c r="G316">
        <v>-224</v>
      </c>
      <c r="H316">
        <v>145</v>
      </c>
    </row>
    <row r="317" spans="5:15">
      <c r="E317" s="1" t="s">
        <v>277</v>
      </c>
      <c r="F317">
        <v>-289</v>
      </c>
      <c r="G317">
        <v>-893</v>
      </c>
      <c r="H317">
        <v>1088</v>
      </c>
    </row>
    <row r="318" spans="5:15">
      <c r="E318" s="6" t="s">
        <v>278</v>
      </c>
      <c r="F318" s="7">
        <f>F299+F300+F301+F302+F303+F304+F305+F306+F307+F308+F309+F310+F311+F312+F313+F314+F315+F316+F317</f>
        <v>-4101</v>
      </c>
      <c r="G318" s="7">
        <f>IF(G4=$BF$1,"",G299+G300+G301+G302+G303+G304+G305+G306+G307+G308+G309+G310+G311+G312+G313+G314+G315+G316+G317)</f>
        <v>-11226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-34832</v>
      </c>
      <c r="G319" s="7">
        <f t="shared" ref="G319:O319" si="28">IF(G4=$BF$1,"",G297+G318)</f>
        <v>-41957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-34832</v>
      </c>
      <c r="G326" s="7">
        <f t="shared" ref="G326:O326" si="30">IF(G4=$BF$1,"",G325+G319)</f>
        <v>-41957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-2203</v>
      </c>
      <c r="G328">
        <v>-4588</v>
      </c>
      <c r="H328">
        <v>-5841</v>
      </c>
    </row>
    <row r="329" spans="5:15">
      <c r="E329" s="1" t="s">
        <v>288</v>
      </c>
      <c r="F329">
        <v>66300</v>
      </c>
      <c r="G329">
        <v>37500</v>
      </c>
      <c r="H329">
        <v>10050</v>
      </c>
    </row>
    <row r="330" spans="5:15">
      <c r="E330" s="1" t="s">
        <v>289</v>
      </c>
    </row>
    <row r="331" spans="5:15">
      <c r="E331" s="1" t="s">
        <v>290</v>
      </c>
      <c r="F331">
        <v>-29778</v>
      </c>
      <c r="G331">
        <v>-71489</v>
      </c>
      <c r="H331">
        <v>-35188</v>
      </c>
    </row>
    <row r="332" spans="5:15">
      <c r="E332" s="12" t="s">
        <v>291</v>
      </c>
      <c r="F332">
        <v>0</v>
      </c>
      <c r="G332">
        <v>13896</v>
      </c>
      <c r="H332">
        <v>8015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34319</v>
      </c>
      <c r="G337" s="7">
        <f>IF(G4=$BF$1,"",SUM(G328:G336))</f>
        <v>-24681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1083</v>
      </c>
      <c r="G339">
        <v>87554</v>
      </c>
      <c r="H339">
        <v>31632</v>
      </c>
    </row>
    <row r="340" spans="5:15">
      <c r="E340" s="1" t="s">
        <v>299</v>
      </c>
      <c r="F340">
        <v>7098</v>
      </c>
      <c r="G340">
        <v>15000</v>
      </c>
      <c r="H340">
        <v>10000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8181</v>
      </c>
      <c r="G352" s="7">
        <f>IF(G4=$BF$1,"",SUM(G339:G351))</f>
        <v>102554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7668</v>
      </c>
      <c r="G353" s="7">
        <f t="shared" ref="G353:O353" si="33">IF(G4=$BF$1,"",G326+G337+G352)</f>
        <v>35916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28</v>
      </c>
      <c r="G354">
        <v>75</v>
      </c>
      <c r="H354">
        <v>-25</v>
      </c>
    </row>
    <row r="355" spans="5:15">
      <c r="E355" s="6" t="s">
        <v>314</v>
      </c>
      <c r="F355" s="7">
        <f>F353+F354</f>
        <v>7696</v>
      </c>
      <c r="G355" s="7">
        <f t="shared" ref="G355:O355" si="34">IF(G4=$BF$1,"",G353+G354)</f>
        <v>35991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27512</v>
      </c>
      <c r="G356">
        <v>16717</v>
      </c>
      <c r="H356">
        <v>36143</v>
      </c>
    </row>
    <row r="357" spans="5:15">
      <c r="E357" s="6" t="s">
        <v>316</v>
      </c>
      <c r="F357" s="7">
        <f>F355+F356</f>
        <v>35208</v>
      </c>
      <c r="G357" s="7">
        <f t="shared" ref="G357:O357" si="35">IF(G4=$BF$1,"",G355+G356)</f>
        <v>52708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0.34730288086216415</v>
      </c>
      <c r="G364" s="24">
        <f t="shared" si="37"/>
        <v>7.3700780962505624E-2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-0.18350848827809216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-0.2397239552244908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0.27531480094404953</v>
      </c>
      <c r="G369" s="27">
        <f t="shared" si="41"/>
        <v>0.38090976598945142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-0.67513673172317301</v>
      </c>
      <c r="G370" s="27">
        <f t="shared" si="42"/>
        <v>-1.1332470153658676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-0.71369013129071923</v>
      </c>
      <c r="G371" s="28">
        <f t="shared" si="43"/>
        <v>-1.1776690340638627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-0.5431217130381476</v>
      </c>
      <c r="G372" s="27">
        <f t="shared" si="44"/>
        <v>-0.50572776555818122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-1.5053507020001788</v>
      </c>
      <c r="G373" s="27">
        <f t="shared" si="45"/>
        <v>-0.86920471633149232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0.63920585926156959</v>
      </c>
      <c r="G376" s="30">
        <f t="shared" si="47"/>
        <v>0.41817185749679064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1.7716636360926461</v>
      </c>
      <c r="G377" s="30">
        <f t="shared" si="48"/>
        <v>0.71872057562853975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-15.37065637065637</v>
      </c>
      <c r="G378" s="30">
        <f t="shared" si="49"/>
        <v>-19.565088757396449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3.3730467787252922</v>
      </c>
      <c r="G382" s="32">
        <f t="shared" si="51"/>
        <v>3.4542407093681291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2.8680928673534778</v>
      </c>
      <c r="G383" s="32">
        <f t="shared" si="52"/>
        <v>3.0595825974119597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2.2264504362399564</v>
      </c>
      <c r="G384" s="32">
        <f t="shared" si="53"/>
        <v>2.5948888007785746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-1.7169616010252871</v>
      </c>
      <c r="G385" s="32">
        <f t="shared" si="54"/>
        <v>-1.5123454565115524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36286</v>
      </c>
      <c r="G418" s="17">
        <f>G130-G417</f>
        <v>26754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488</v>
      </c>
      <c r="B1" s="39" t="s">
        <v>489</v>
      </c>
      <c r="C1" s="39" t="s">
        <v>490</v>
      </c>
      <c r="D1" s="39" t="s">
        <v>491</v>
      </c>
      <c r="E1" s="39"/>
    </row>
    <row r="2" spans="1:5">
      <c r="A2" t="s">
        <v>501</v>
      </c>
      <c r="B2" s="41" t="s">
        <v>500</v>
      </c>
      <c r="C2" s="39">
        <v>1</v>
      </c>
      <c r="D2" s="39" t="s">
        <v>492</v>
      </c>
      <c r="E2" s="39"/>
    </row>
    <row r="3" spans="1:5">
      <c r="A3" s="42" t="s">
        <v>502</v>
      </c>
      <c r="B3" s="42" t="s">
        <v>500</v>
      </c>
      <c r="C3" s="39">
        <v>1</v>
      </c>
      <c r="D3" s="39" t="s">
        <v>492</v>
      </c>
    </row>
    <row r="4" spans="1:5">
      <c r="A4" s="42" t="s">
        <v>504</v>
      </c>
      <c r="B4" s="41" t="s">
        <v>35</v>
      </c>
      <c r="C4" s="39">
        <v>0</v>
      </c>
      <c r="D4" s="39" t="s">
        <v>492</v>
      </c>
    </row>
    <row r="5" spans="1:5">
      <c r="A5" s="42" t="s">
        <v>505</v>
      </c>
      <c r="B5" s="43" t="s">
        <v>493</v>
      </c>
      <c r="C5" s="39">
        <v>0</v>
      </c>
      <c r="D5" s="39" t="s">
        <v>492</v>
      </c>
    </row>
    <row r="6" spans="1:5">
      <c r="A6" s="49" t="s">
        <v>506</v>
      </c>
      <c r="B6" s="43" t="s">
        <v>56</v>
      </c>
      <c r="C6" s="39">
        <v>1</v>
      </c>
      <c r="D6" s="39" t="s">
        <v>492</v>
      </c>
    </row>
    <row r="7" spans="1:5">
      <c r="A7" s="42" t="s">
        <v>509</v>
      </c>
      <c r="B7" s="41" t="s">
        <v>494</v>
      </c>
      <c r="C7" s="39">
        <v>0</v>
      </c>
      <c r="D7" s="39" t="s">
        <v>492</v>
      </c>
    </row>
    <row r="8" spans="1:5">
      <c r="A8" s="42" t="s">
        <v>510</v>
      </c>
      <c r="B8" s="42" t="s">
        <v>513</v>
      </c>
      <c r="C8" s="39">
        <v>1</v>
      </c>
      <c r="D8" s="39" t="s">
        <v>492</v>
      </c>
    </row>
    <row r="9" spans="1:5">
      <c r="A9" s="42" t="s">
        <v>511</v>
      </c>
      <c r="B9" s="42" t="s">
        <v>514</v>
      </c>
      <c r="C9" s="39">
        <v>1</v>
      </c>
      <c r="D9" s="39" t="s">
        <v>492</v>
      </c>
    </row>
    <row r="10" spans="1:5">
      <c r="A10" s="49" t="s">
        <v>512</v>
      </c>
      <c r="B10" s="42" t="s">
        <v>515</v>
      </c>
      <c r="C10" s="39">
        <v>1</v>
      </c>
      <c r="D10" s="39" t="s">
        <v>492</v>
      </c>
    </row>
    <row r="11" spans="1:5">
      <c r="A11" s="42" t="s">
        <v>516</v>
      </c>
      <c r="B11" s="43" t="s">
        <v>495</v>
      </c>
      <c r="C11" s="44">
        <v>1</v>
      </c>
      <c r="D11" s="39" t="s">
        <v>492</v>
      </c>
    </row>
    <row r="12" spans="1:5">
      <c r="A12" s="49" t="s">
        <v>517</v>
      </c>
      <c r="B12" s="43" t="s">
        <v>495</v>
      </c>
      <c r="C12" s="44">
        <v>1</v>
      </c>
      <c r="D12" s="39" t="s">
        <v>492</v>
      </c>
    </row>
    <row r="13" spans="1:5">
      <c r="A13" s="49" t="s">
        <v>518</v>
      </c>
      <c r="B13" s="42" t="s">
        <v>495</v>
      </c>
      <c r="C13" s="44">
        <v>1</v>
      </c>
      <c r="D13" s="39" t="s">
        <v>492</v>
      </c>
    </row>
    <row r="14" spans="1:5">
      <c r="A14" s="45" t="s">
        <v>519</v>
      </c>
      <c r="B14" s="45" t="s">
        <v>496</v>
      </c>
      <c r="C14" s="44">
        <v>1</v>
      </c>
      <c r="D14" s="39" t="s">
        <v>492</v>
      </c>
    </row>
    <row r="15" spans="1:5">
      <c r="A15" s="45" t="s">
        <v>520</v>
      </c>
      <c r="B15" s="45" t="s">
        <v>497</v>
      </c>
      <c r="C15" s="44">
        <v>1</v>
      </c>
      <c r="D15" s="39" t="s">
        <v>492</v>
      </c>
    </row>
    <row r="16" spans="1:5" ht="25.5">
      <c r="A16" s="43" t="s">
        <v>521</v>
      </c>
      <c r="B16" s="43" t="s">
        <v>161</v>
      </c>
      <c r="C16" s="44">
        <v>1</v>
      </c>
      <c r="D16" s="39" t="s">
        <v>492</v>
      </c>
    </row>
    <row r="17" spans="1:4" ht="25.5">
      <c r="A17" s="45" t="s">
        <v>522</v>
      </c>
      <c r="B17" s="46" t="s">
        <v>161</v>
      </c>
      <c r="C17" s="44">
        <v>1</v>
      </c>
      <c r="D17" s="39" t="s">
        <v>492</v>
      </c>
    </row>
    <row r="18" spans="1:4">
      <c r="A18" s="45" t="s">
        <v>498</v>
      </c>
      <c r="B18" s="43" t="s">
        <v>523</v>
      </c>
      <c r="C18" s="44">
        <v>1</v>
      </c>
      <c r="D18" s="39" t="s">
        <v>492</v>
      </c>
    </row>
    <row r="19" spans="1:4">
      <c r="A19" s="47" t="s">
        <v>525</v>
      </c>
      <c r="B19" s="43" t="s">
        <v>524</v>
      </c>
      <c r="C19" s="44">
        <v>1</v>
      </c>
      <c r="D19" s="39" t="s">
        <v>492</v>
      </c>
    </row>
    <row r="20" spans="1:4">
      <c r="A20" s="43"/>
      <c r="B20" s="43"/>
      <c r="C20" s="44"/>
      <c r="D20" s="39"/>
    </row>
    <row r="21" spans="1:4">
      <c r="A21" s="45"/>
      <c r="B21" s="48"/>
      <c r="C21" s="44"/>
      <c r="D21" s="39"/>
    </row>
    <row r="22" spans="1:4">
      <c r="A22" s="45"/>
      <c r="B22" s="48"/>
      <c r="C22" s="44"/>
      <c r="D22" s="39"/>
    </row>
    <row r="23" spans="1:4">
      <c r="A23" s="43"/>
      <c r="B23" s="48"/>
      <c r="C23" s="44"/>
      <c r="D23" s="39"/>
    </row>
    <row r="24" spans="1:4">
      <c r="A24"/>
      <c r="B24" s="48"/>
      <c r="C24" s="44"/>
      <c r="D24" s="39"/>
    </row>
    <row r="25" spans="1:4">
      <c r="A25"/>
      <c r="B25" s="48"/>
      <c r="C25" s="44"/>
      <c r="D25" s="39"/>
    </row>
    <row r="26" spans="1:4">
      <c r="A26" s="49"/>
      <c r="B26" s="48"/>
      <c r="C26" s="44"/>
      <c r="D26" s="39"/>
    </row>
    <row r="27" spans="1:4">
      <c r="A27" s="49"/>
      <c r="B27" s="48"/>
      <c r="C27" s="44"/>
      <c r="D27" s="39"/>
    </row>
    <row r="28" spans="1:4">
      <c r="A28" s="49"/>
      <c r="B28" s="48"/>
      <c r="C28" s="44"/>
      <c r="D28" s="39"/>
    </row>
    <row r="29" spans="1:4">
      <c r="A29" s="48"/>
      <c r="B29" s="48"/>
      <c r="C29" s="44"/>
      <c r="D29" s="39"/>
    </row>
    <row r="30" spans="1:4">
      <c r="A30" s="45"/>
      <c r="B30" s="48"/>
      <c r="C30" s="44"/>
      <c r="D30" s="39"/>
    </row>
    <row r="31" spans="1:4">
      <c r="A31" s="49"/>
      <c r="B31" s="48"/>
      <c r="C31" s="44"/>
      <c r="D31" s="39"/>
    </row>
    <row r="32" spans="1:4">
      <c r="A32" s="49"/>
      <c r="B32" s="48"/>
      <c r="C32" s="44"/>
      <c r="D32" s="39"/>
    </row>
    <row r="33" spans="1:4">
      <c r="A33" s="49"/>
      <c r="B33" s="48"/>
      <c r="C33" s="44"/>
      <c r="D33" s="39"/>
    </row>
    <row r="34" spans="1:4">
      <c r="A34" s="49"/>
      <c r="B34" s="48"/>
      <c r="C34" s="44"/>
      <c r="D34" s="39"/>
    </row>
    <row r="35" spans="1:4">
      <c r="A35" s="49"/>
      <c r="B35" s="48"/>
      <c r="C35" s="44"/>
      <c r="D35" s="39"/>
    </row>
    <row r="36" spans="1:4">
      <c r="A36"/>
      <c r="B36" s="48"/>
      <c r="C36" s="44"/>
      <c r="D36" s="39"/>
    </row>
    <row r="37" spans="1:4">
      <c r="A37"/>
      <c r="B37" s="42"/>
      <c r="C37" s="44"/>
      <c r="D37" s="39"/>
    </row>
    <row r="38" spans="1:4">
      <c r="A38" s="42"/>
      <c r="B38" s="42"/>
      <c r="C38" s="44"/>
      <c r="D38" s="39"/>
    </row>
    <row r="39" spans="1:4">
      <c r="A39" s="42"/>
      <c r="B39" s="48"/>
      <c r="C39" s="44"/>
      <c r="D39" s="39"/>
    </row>
    <row r="40" spans="1:4">
      <c r="A40" s="42"/>
      <c r="B40" s="48"/>
      <c r="C40" s="44"/>
      <c r="D40" s="39"/>
    </row>
    <row r="41" spans="1:4">
      <c r="A41" s="42"/>
      <c r="B41" s="48"/>
      <c r="C41" s="44"/>
      <c r="D41" s="39"/>
    </row>
    <row r="42" spans="1:4">
      <c r="A42" s="48"/>
      <c r="B42" s="48"/>
      <c r="C42" s="44"/>
      <c r="D42" s="39"/>
    </row>
    <row r="43" spans="1:4">
      <c r="A43"/>
      <c r="B43" s="48"/>
      <c r="C43" s="44"/>
      <c r="D43" s="39"/>
    </row>
    <row r="44" spans="1:4">
      <c r="A44"/>
      <c r="B44" s="48"/>
      <c r="C44" s="44"/>
      <c r="D44" s="39"/>
    </row>
    <row r="45" spans="1:4">
      <c r="A45"/>
      <c r="B45" s="48"/>
      <c r="C45" s="44"/>
      <c r="D45" s="39"/>
    </row>
    <row r="46" spans="1:4">
      <c r="A46" s="48"/>
      <c r="B46" s="48"/>
      <c r="C46" s="44"/>
      <c r="D46" s="39"/>
    </row>
    <row r="47" spans="1:4">
      <c r="A47" s="48"/>
      <c r="B47" s="48"/>
      <c r="C47" s="44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36286</v>
      </c>
      <c r="F5">
        <v>26754</v>
      </c>
    </row>
    <row r="6" spans="1:6">
      <c r="A6" t="s">
        <v>377</v>
      </c>
      <c r="B6" t="s">
        <v>118</v>
      </c>
      <c r="C6" t="s">
        <v>118</v>
      </c>
      <c r="D6" t="s">
        <v>116</v>
      </c>
      <c r="E6">
        <v>8882</v>
      </c>
      <c r="F6">
        <v>45236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11534</v>
      </c>
      <c r="F7">
        <v>10676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10244</v>
      </c>
      <c r="F8">
        <v>10949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1483</v>
      </c>
      <c r="F9">
        <v>2216</v>
      </c>
    </row>
    <row r="10" spans="1:6">
      <c r="A10" t="s">
        <v>381</v>
      </c>
      <c r="B10" t="s">
        <v>12</v>
      </c>
      <c r="C10" t="s">
        <v>12</v>
      </c>
      <c r="D10" t="s">
        <v>116</v>
      </c>
      <c r="E10">
        <v>68429</v>
      </c>
      <c r="F10">
        <v>95831</v>
      </c>
    </row>
    <row r="11" spans="1:6">
      <c r="A11" t="s">
        <v>382</v>
      </c>
      <c r="B11" t="s">
        <v>383</v>
      </c>
      <c r="C11" t="s">
        <v>84</v>
      </c>
      <c r="D11" t="s">
        <v>80</v>
      </c>
      <c r="E11">
        <v>21070</v>
      </c>
      <c r="F11">
        <v>22581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2023</v>
      </c>
      <c r="F12">
        <v>2624</v>
      </c>
    </row>
    <row r="13" spans="1:6">
      <c r="A13" t="s">
        <v>386</v>
      </c>
      <c r="B13" t="s">
        <v>113</v>
      </c>
      <c r="C13" t="s">
        <v>113</v>
      </c>
      <c r="D13" t="s">
        <v>80</v>
      </c>
      <c r="E13">
        <v>758</v>
      </c>
      <c r="F13">
        <v>758</v>
      </c>
    </row>
    <row r="14" spans="1:6">
      <c r="A14" t="s">
        <v>387</v>
      </c>
      <c r="B14" t="s">
        <v>98</v>
      </c>
      <c r="C14" t="s">
        <v>98</v>
      </c>
      <c r="D14" t="s">
        <v>80</v>
      </c>
      <c r="E14">
        <v>701</v>
      </c>
      <c r="F14">
        <v>505</v>
      </c>
    </row>
    <row r="15" spans="1:6">
      <c r="A15" t="s">
        <v>388</v>
      </c>
      <c r="D15" t="s">
        <v>80</v>
      </c>
      <c r="E15">
        <v>92981</v>
      </c>
      <c r="F15">
        <v>122299</v>
      </c>
    </row>
    <row r="16" spans="1:6">
      <c r="A16" t="s">
        <v>389</v>
      </c>
      <c r="D16" t="s">
        <v>80</v>
      </c>
    </row>
    <row r="17" spans="1:6">
      <c r="A17" t="s">
        <v>390</v>
      </c>
      <c r="B17" t="s">
        <v>165</v>
      </c>
      <c r="C17" t="s">
        <v>165</v>
      </c>
      <c r="D17" t="s">
        <v>141</v>
      </c>
    </row>
    <row r="18" spans="1:6">
      <c r="A18" t="s">
        <v>391</v>
      </c>
      <c r="B18" t="s">
        <v>391</v>
      </c>
      <c r="C18" t="s">
        <v>163</v>
      </c>
      <c r="D18" t="s">
        <v>141</v>
      </c>
      <c r="E18">
        <v>9886</v>
      </c>
      <c r="F18">
        <v>11171</v>
      </c>
    </row>
    <row r="19" spans="1:6">
      <c r="A19" t="s">
        <v>392</v>
      </c>
      <c r="B19" t="s">
        <v>393</v>
      </c>
      <c r="C19" t="s">
        <v>161</v>
      </c>
      <c r="D19" t="s">
        <v>141</v>
      </c>
      <c r="E19">
        <v>7358</v>
      </c>
      <c r="F19">
        <v>5419</v>
      </c>
    </row>
    <row r="20" spans="1:6">
      <c r="A20" t="s">
        <v>394</v>
      </c>
      <c r="B20" t="s">
        <v>146</v>
      </c>
      <c r="C20" t="s">
        <v>146</v>
      </c>
      <c r="D20" t="s">
        <v>141</v>
      </c>
      <c r="F20">
        <v>7927</v>
      </c>
    </row>
    <row r="21" spans="1:6">
      <c r="A21" t="s">
        <v>395</v>
      </c>
      <c r="B21" t="s">
        <v>180</v>
      </c>
      <c r="C21" t="s">
        <v>180</v>
      </c>
      <c r="D21" t="s">
        <v>141</v>
      </c>
      <c r="E21">
        <v>3043</v>
      </c>
      <c r="F21">
        <v>3226</v>
      </c>
    </row>
    <row r="22" spans="1:6">
      <c r="A22" t="s">
        <v>396</v>
      </c>
      <c r="B22" t="s">
        <v>14</v>
      </c>
      <c r="C22" t="s">
        <v>14</v>
      </c>
      <c r="D22" t="s">
        <v>141</v>
      </c>
      <c r="E22">
        <v>20287</v>
      </c>
      <c r="F22">
        <v>27743</v>
      </c>
    </row>
    <row r="23" spans="1:6">
      <c r="A23" t="s">
        <v>397</v>
      </c>
      <c r="B23" t="s">
        <v>393</v>
      </c>
      <c r="C23" t="s">
        <v>161</v>
      </c>
      <c r="D23" t="s">
        <v>141</v>
      </c>
      <c r="E23">
        <v>2996</v>
      </c>
      <c r="F23">
        <v>3059</v>
      </c>
    </row>
    <row r="24" spans="1:6">
      <c r="A24" t="s">
        <v>398</v>
      </c>
      <c r="B24" t="s">
        <v>169</v>
      </c>
      <c r="C24" t="s">
        <v>168</v>
      </c>
      <c r="D24" t="s">
        <v>165</v>
      </c>
      <c r="E24">
        <v>36042</v>
      </c>
      <c r="F24">
        <v>20099</v>
      </c>
    </row>
    <row r="25" spans="1:6">
      <c r="A25" t="s">
        <v>399</v>
      </c>
      <c r="B25" t="s">
        <v>180</v>
      </c>
      <c r="C25" t="s">
        <v>180</v>
      </c>
      <c r="D25" t="s">
        <v>165</v>
      </c>
      <c r="E25">
        <v>109</v>
      </c>
      <c r="F25">
        <v>241</v>
      </c>
    </row>
    <row r="26" spans="1:6">
      <c r="A26" t="s">
        <v>400</v>
      </c>
      <c r="B26" t="s">
        <v>164</v>
      </c>
      <c r="C26" t="s">
        <v>164</v>
      </c>
      <c r="D26" t="s">
        <v>165</v>
      </c>
      <c r="E26">
        <v>59434</v>
      </c>
      <c r="F26">
        <v>51142</v>
      </c>
    </row>
    <row r="27" spans="1:6">
      <c r="A27" t="s">
        <v>401</v>
      </c>
      <c r="B27" t="s">
        <v>180</v>
      </c>
      <c r="C27" t="s">
        <v>180</v>
      </c>
      <c r="D27" t="s">
        <v>165</v>
      </c>
    </row>
    <row r="28" spans="1:6">
      <c r="A28" t="s">
        <v>402</v>
      </c>
      <c r="B28" t="s">
        <v>181</v>
      </c>
      <c r="C28" t="s">
        <v>181</v>
      </c>
      <c r="D28" t="s">
        <v>165</v>
      </c>
    </row>
    <row r="29" spans="1:6">
      <c r="A29" t="s">
        <v>403</v>
      </c>
      <c r="D29" t="s">
        <v>165</v>
      </c>
    </row>
    <row r="30" spans="1:6">
      <c r="A30" t="s">
        <v>404</v>
      </c>
      <c r="B30" t="s">
        <v>182</v>
      </c>
      <c r="C30" t="s">
        <v>182</v>
      </c>
      <c r="D30" t="s">
        <v>181</v>
      </c>
      <c r="E30">
        <v>6</v>
      </c>
      <c r="F30">
        <v>6</v>
      </c>
    </row>
    <row r="31" spans="1:6">
      <c r="A31" t="s">
        <v>405</v>
      </c>
      <c r="B31" t="s">
        <v>182</v>
      </c>
      <c r="C31" t="s">
        <v>182</v>
      </c>
      <c r="D31" t="s">
        <v>181</v>
      </c>
      <c r="E31">
        <v>500344</v>
      </c>
      <c r="F31">
        <v>487525</v>
      </c>
    </row>
    <row r="32" spans="1:6">
      <c r="A32" t="s">
        <v>406</v>
      </c>
      <c r="B32" t="s">
        <v>187</v>
      </c>
      <c r="C32" t="s">
        <v>187</v>
      </c>
      <c r="D32" t="s">
        <v>181</v>
      </c>
      <c r="E32">
        <v>-466883</v>
      </c>
      <c r="F32">
        <v>-416383</v>
      </c>
    </row>
    <row r="33" spans="1:6">
      <c r="A33" t="s">
        <v>407</v>
      </c>
      <c r="B33" t="s">
        <v>185</v>
      </c>
      <c r="C33" t="s">
        <v>185</v>
      </c>
      <c r="D33" t="s">
        <v>181</v>
      </c>
      <c r="E33">
        <v>80</v>
      </c>
      <c r="F33">
        <v>9</v>
      </c>
    </row>
    <row r="34" spans="1:6">
      <c r="A34" t="s">
        <v>408</v>
      </c>
      <c r="B34" t="s">
        <v>195</v>
      </c>
      <c r="C34" t="s">
        <v>195</v>
      </c>
      <c r="D34" t="s">
        <v>181</v>
      </c>
      <c r="E34">
        <v>33547</v>
      </c>
      <c r="F34">
        <v>71157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409</v>
      </c>
      <c r="B3" t="s">
        <v>409</v>
      </c>
      <c r="C3" t="s">
        <v>26</v>
      </c>
      <c r="D3" t="s">
        <v>409</v>
      </c>
    </row>
    <row r="4" spans="1:7">
      <c r="A4" t="s">
        <v>410</v>
      </c>
      <c r="B4" t="s">
        <v>409</v>
      </c>
      <c r="C4" t="s">
        <v>26</v>
      </c>
      <c r="D4" t="s">
        <v>409</v>
      </c>
      <c r="E4">
        <v>70481</v>
      </c>
      <c r="F4">
        <v>52260</v>
      </c>
      <c r="G4">
        <v>48914</v>
      </c>
    </row>
    <row r="5" spans="1:7">
      <c r="A5" t="s">
        <v>411</v>
      </c>
      <c r="D5" t="s">
        <v>409</v>
      </c>
      <c r="E5">
        <v>278</v>
      </c>
      <c r="F5">
        <v>259</v>
      </c>
      <c r="G5">
        <v>360</v>
      </c>
    </row>
    <row r="6" spans="1:7">
      <c r="A6" t="s">
        <v>412</v>
      </c>
      <c r="B6" t="s">
        <v>413</v>
      </c>
      <c r="C6" t="s">
        <v>414</v>
      </c>
      <c r="D6" t="s">
        <v>409</v>
      </c>
      <c r="E6">
        <v>-70759</v>
      </c>
      <c r="F6">
        <v>-52519</v>
      </c>
      <c r="G6">
        <v>49274</v>
      </c>
    </row>
    <row r="7" spans="1:7">
      <c r="A7" t="s">
        <v>415</v>
      </c>
      <c r="B7" t="s">
        <v>27</v>
      </c>
      <c r="C7" t="s">
        <v>27</v>
      </c>
      <c r="D7" t="s">
        <v>409</v>
      </c>
      <c r="E7">
        <v>51278</v>
      </c>
      <c r="F7">
        <v>32514</v>
      </c>
      <c r="G7">
        <v>19700</v>
      </c>
    </row>
    <row r="8" spans="1:7">
      <c r="A8" t="s">
        <v>416</v>
      </c>
      <c r="B8" t="s">
        <v>417</v>
      </c>
      <c r="C8" t="s">
        <v>32</v>
      </c>
      <c r="D8" t="s">
        <v>409</v>
      </c>
      <c r="E8">
        <v>19481</v>
      </c>
      <c r="F8">
        <v>20005</v>
      </c>
      <c r="G8">
        <v>29574</v>
      </c>
    </row>
    <row r="9" spans="1:7">
      <c r="A9" t="s">
        <v>418</v>
      </c>
      <c r="B9" t="s">
        <v>58</v>
      </c>
      <c r="C9" t="s">
        <v>58</v>
      </c>
      <c r="D9" t="s">
        <v>409</v>
      </c>
    </row>
    <row r="10" spans="1:7">
      <c r="A10" t="s">
        <v>419</v>
      </c>
      <c r="B10" t="s">
        <v>420</v>
      </c>
      <c r="C10" t="s">
        <v>35</v>
      </c>
      <c r="D10" t="s">
        <v>409</v>
      </c>
      <c r="E10">
        <v>-21777</v>
      </c>
      <c r="F10">
        <v>-20557</v>
      </c>
      <c r="G10">
        <v>14734</v>
      </c>
    </row>
    <row r="11" spans="1:7">
      <c r="A11" t="s">
        <v>421</v>
      </c>
      <c r="B11" t="s">
        <v>36</v>
      </c>
      <c r="C11" t="s">
        <v>36</v>
      </c>
      <c r="D11" t="s">
        <v>409</v>
      </c>
      <c r="E11">
        <v>17545</v>
      </c>
      <c r="F11">
        <v>16205</v>
      </c>
      <c r="G11">
        <v>14363</v>
      </c>
    </row>
    <row r="12" spans="1:7">
      <c r="A12" t="s">
        <v>422</v>
      </c>
      <c r="B12" t="s">
        <v>37</v>
      </c>
      <c r="C12" t="s">
        <v>37</v>
      </c>
      <c r="D12" t="s">
        <v>409</v>
      </c>
      <c r="E12">
        <v>27931</v>
      </c>
      <c r="F12">
        <v>42760</v>
      </c>
      <c r="G12">
        <v>49458</v>
      </c>
    </row>
    <row r="13" spans="1:7">
      <c r="A13" t="s">
        <v>423</v>
      </c>
      <c r="B13" t="s">
        <v>45</v>
      </c>
      <c r="C13" t="s">
        <v>45</v>
      </c>
      <c r="D13" t="s">
        <v>409</v>
      </c>
      <c r="E13">
        <v>67253</v>
      </c>
      <c r="F13">
        <v>79522</v>
      </c>
      <c r="G13">
        <v>78555</v>
      </c>
    </row>
    <row r="14" spans="1:7">
      <c r="A14" t="s">
        <v>424</v>
      </c>
      <c r="B14" t="s">
        <v>425</v>
      </c>
      <c r="C14" t="s">
        <v>46</v>
      </c>
      <c r="D14" t="s">
        <v>409</v>
      </c>
      <c r="E14">
        <v>-47772</v>
      </c>
      <c r="F14">
        <v>-59517</v>
      </c>
      <c r="G14">
        <v>-48981</v>
      </c>
    </row>
    <row r="15" spans="1:7">
      <c r="A15" t="s">
        <v>426</v>
      </c>
      <c r="B15" t="s">
        <v>56</v>
      </c>
      <c r="C15" t="s">
        <v>56</v>
      </c>
      <c r="D15" t="s">
        <v>409</v>
      </c>
    </row>
    <row r="16" spans="1:7">
      <c r="A16" t="s">
        <v>427</v>
      </c>
      <c r="B16" t="s">
        <v>54</v>
      </c>
      <c r="C16" t="s">
        <v>54</v>
      </c>
      <c r="D16" t="s">
        <v>409</v>
      </c>
      <c r="E16">
        <v>711</v>
      </c>
      <c r="F16">
        <v>561</v>
      </c>
      <c r="G16">
        <v>176</v>
      </c>
    </row>
    <row r="17" spans="1:7">
      <c r="A17" t="s">
        <v>428</v>
      </c>
      <c r="B17" t="s">
        <v>51</v>
      </c>
      <c r="C17" t="s">
        <v>51</v>
      </c>
      <c r="D17" t="s">
        <v>409</v>
      </c>
      <c r="E17">
        <v>-3108</v>
      </c>
      <c r="F17">
        <v>-3042</v>
      </c>
      <c r="G17">
        <v>-1536</v>
      </c>
    </row>
    <row r="18" spans="1:7">
      <c r="A18" t="s">
        <v>429</v>
      </c>
      <c r="B18" t="s">
        <v>56</v>
      </c>
      <c r="C18" t="s">
        <v>56</v>
      </c>
      <c r="D18" t="s">
        <v>409</v>
      </c>
      <c r="E18">
        <v>-192</v>
      </c>
      <c r="F18">
        <v>249</v>
      </c>
      <c r="G18">
        <v>-160</v>
      </c>
    </row>
    <row r="19" spans="1:7">
      <c r="A19" t="s">
        <v>430</v>
      </c>
      <c r="D19" t="s">
        <v>409</v>
      </c>
      <c r="E19">
        <v>-2589</v>
      </c>
      <c r="F19">
        <v>-2232</v>
      </c>
      <c r="G19">
        <v>-1520</v>
      </c>
    </row>
    <row r="20" spans="1:7">
      <c r="A20" t="s">
        <v>431</v>
      </c>
      <c r="B20" t="s">
        <v>61</v>
      </c>
      <c r="C20" t="s">
        <v>61</v>
      </c>
      <c r="D20" t="s">
        <v>409</v>
      </c>
      <c r="E20">
        <v>-50361</v>
      </c>
      <c r="F20">
        <v>-61749</v>
      </c>
      <c r="G20">
        <v>-50501</v>
      </c>
    </row>
    <row r="21" spans="1:7">
      <c r="A21" t="s">
        <v>432</v>
      </c>
      <c r="B21" t="s">
        <v>56</v>
      </c>
      <c r="C21" t="s">
        <v>56</v>
      </c>
      <c r="D21" t="s">
        <v>409</v>
      </c>
      <c r="E21">
        <v>139</v>
      </c>
      <c r="F21">
        <v>101</v>
      </c>
      <c r="G21">
        <v>100</v>
      </c>
    </row>
    <row r="22" spans="1:7">
      <c r="A22" t="s">
        <v>433</v>
      </c>
      <c r="B22" t="s">
        <v>66</v>
      </c>
      <c r="C22" t="s">
        <v>66</v>
      </c>
      <c r="D22" t="s">
        <v>409</v>
      </c>
      <c r="E22">
        <v>-50500</v>
      </c>
      <c r="F22">
        <v>-61850</v>
      </c>
      <c r="G22">
        <v>-50601</v>
      </c>
    </row>
    <row r="23" spans="1:7">
      <c r="A23" t="s">
        <v>434</v>
      </c>
      <c r="D23" t="s">
        <v>409</v>
      </c>
      <c r="E23">
        <v>-91</v>
      </c>
      <c r="F23">
        <v>-121</v>
      </c>
      <c r="G23">
        <v>-115</v>
      </c>
    </row>
    <row r="24" spans="1:7">
      <c r="A24" t="s">
        <v>435</v>
      </c>
      <c r="D24" t="s">
        <v>409</v>
      </c>
      <c r="E24">
        <v>55669</v>
      </c>
      <c r="F24">
        <v>51169</v>
      </c>
      <c r="G24">
        <v>44100</v>
      </c>
    </row>
    <row r="25" spans="1:7">
      <c r="A25" t="s">
        <v>436</v>
      </c>
      <c r="B25" t="s">
        <v>437</v>
      </c>
      <c r="C25" t="s">
        <v>438</v>
      </c>
      <c r="D25" t="s">
        <v>409</v>
      </c>
    </row>
    <row r="26" spans="1:7">
      <c r="A26" t="s">
        <v>433</v>
      </c>
      <c r="B26" t="s">
        <v>66</v>
      </c>
      <c r="C26" t="s">
        <v>66</v>
      </c>
      <c r="D26" t="s">
        <v>409</v>
      </c>
      <c r="E26">
        <v>-50500</v>
      </c>
      <c r="F26">
        <v>-61850</v>
      </c>
      <c r="G26">
        <v>-50601</v>
      </c>
    </row>
    <row r="27" spans="1:7">
      <c r="A27" t="s">
        <v>439</v>
      </c>
      <c r="B27" t="s">
        <v>438</v>
      </c>
      <c r="C27" t="s">
        <v>438</v>
      </c>
      <c r="D27" t="s">
        <v>409</v>
      </c>
    </row>
    <row r="28" spans="1:7">
      <c r="A28" t="s">
        <v>440</v>
      </c>
      <c r="B28" t="s">
        <v>59</v>
      </c>
      <c r="C28" t="s">
        <v>59</v>
      </c>
      <c r="D28" t="s">
        <v>409</v>
      </c>
      <c r="E28">
        <v>44</v>
      </c>
      <c r="F28">
        <v>-84</v>
      </c>
      <c r="G28">
        <v>77</v>
      </c>
    </row>
    <row r="29" spans="1:7">
      <c r="A29" t="s">
        <v>441</v>
      </c>
      <c r="B29" t="s">
        <v>72</v>
      </c>
      <c r="C29" t="s">
        <v>72</v>
      </c>
      <c r="D29" t="s">
        <v>409</v>
      </c>
      <c r="E29">
        <v>27</v>
      </c>
      <c r="F29">
        <v>-2</v>
      </c>
      <c r="G29">
        <v>-11</v>
      </c>
    </row>
    <row r="30" spans="1:7">
      <c r="A30" t="s">
        <v>442</v>
      </c>
      <c r="B30" t="s">
        <v>443</v>
      </c>
      <c r="C30" t="s">
        <v>438</v>
      </c>
      <c r="D30" t="s">
        <v>409</v>
      </c>
      <c r="E30">
        <v>71</v>
      </c>
      <c r="F30">
        <v>-86</v>
      </c>
      <c r="G30">
        <v>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444</v>
      </c>
      <c r="B3" t="s">
        <v>231</v>
      </c>
      <c r="C3" t="s">
        <v>231</v>
      </c>
      <c r="D3" t="s">
        <v>445</v>
      </c>
    </row>
    <row r="4" spans="1:7">
      <c r="A4" t="s">
        <v>433</v>
      </c>
      <c r="B4" t="s">
        <v>232</v>
      </c>
      <c r="C4" t="s">
        <v>232</v>
      </c>
      <c r="D4" t="s">
        <v>445</v>
      </c>
      <c r="E4">
        <v>-50500</v>
      </c>
      <c r="F4">
        <v>-61850</v>
      </c>
      <c r="G4">
        <v>-50601</v>
      </c>
    </row>
    <row r="5" spans="1:7">
      <c r="A5" t="s">
        <v>446</v>
      </c>
      <c r="D5" t="s">
        <v>445</v>
      </c>
    </row>
    <row r="6" spans="1:7">
      <c r="A6" t="s">
        <v>447</v>
      </c>
      <c r="B6" t="s">
        <v>236</v>
      </c>
      <c r="C6" t="s">
        <v>236</v>
      </c>
      <c r="D6" t="s">
        <v>445</v>
      </c>
      <c r="E6">
        <v>7088</v>
      </c>
      <c r="F6">
        <v>5317</v>
      </c>
      <c r="G6">
        <v>3916</v>
      </c>
    </row>
    <row r="7" spans="1:7">
      <c r="A7" t="s">
        <v>448</v>
      </c>
      <c r="B7" t="s">
        <v>240</v>
      </c>
      <c r="C7" t="s">
        <v>240</v>
      </c>
      <c r="D7" t="s">
        <v>445</v>
      </c>
      <c r="E7">
        <v>-142</v>
      </c>
      <c r="F7">
        <v>-39</v>
      </c>
      <c r="G7">
        <v>89</v>
      </c>
    </row>
    <row r="8" spans="1:7">
      <c r="A8" t="s">
        <v>449</v>
      </c>
      <c r="B8" t="s">
        <v>244</v>
      </c>
      <c r="C8" t="s">
        <v>244</v>
      </c>
      <c r="D8" t="s">
        <v>445</v>
      </c>
      <c r="G8">
        <v>-9</v>
      </c>
    </row>
    <row r="9" spans="1:7">
      <c r="A9" t="s">
        <v>450</v>
      </c>
      <c r="B9" t="s">
        <v>240</v>
      </c>
      <c r="C9" t="s">
        <v>240</v>
      </c>
      <c r="D9" t="s">
        <v>445</v>
      </c>
      <c r="E9">
        <v>938</v>
      </c>
      <c r="F9">
        <v>1132</v>
      </c>
      <c r="G9">
        <v>388</v>
      </c>
    </row>
    <row r="10" spans="1:7">
      <c r="A10" t="s">
        <v>451</v>
      </c>
      <c r="B10" t="s">
        <v>248</v>
      </c>
      <c r="C10" t="s">
        <v>248</v>
      </c>
      <c r="D10" t="s">
        <v>445</v>
      </c>
      <c r="E10">
        <v>11697</v>
      </c>
      <c r="F10">
        <v>12170</v>
      </c>
      <c r="G10">
        <v>9236</v>
      </c>
    </row>
    <row r="11" spans="1:7">
      <c r="A11" t="s">
        <v>452</v>
      </c>
      <c r="B11" t="s">
        <v>250</v>
      </c>
      <c r="C11" t="s">
        <v>250</v>
      </c>
      <c r="D11" t="s">
        <v>445</v>
      </c>
      <c r="E11">
        <v>23</v>
      </c>
      <c r="F11">
        <v>14</v>
      </c>
      <c r="G11">
        <v>13</v>
      </c>
    </row>
    <row r="12" spans="1:7">
      <c r="A12" t="s">
        <v>453</v>
      </c>
      <c r="D12" t="s">
        <v>445</v>
      </c>
      <c r="E12">
        <v>1426</v>
      </c>
      <c r="F12">
        <v>1323</v>
      </c>
      <c r="G12">
        <v>134</v>
      </c>
    </row>
    <row r="13" spans="1:7">
      <c r="A13" t="s">
        <v>454</v>
      </c>
      <c r="B13" t="s">
        <v>276</v>
      </c>
      <c r="C13" t="s">
        <v>276</v>
      </c>
      <c r="D13" t="s">
        <v>445</v>
      </c>
      <c r="E13">
        <v>15</v>
      </c>
      <c r="F13">
        <v>-224</v>
      </c>
      <c r="G13">
        <v>145</v>
      </c>
    </row>
    <row r="14" spans="1:7">
      <c r="A14" t="s">
        <v>455</v>
      </c>
      <c r="B14" t="s">
        <v>251</v>
      </c>
      <c r="C14" t="s">
        <v>251</v>
      </c>
      <c r="D14" t="s">
        <v>445</v>
      </c>
    </row>
    <row r="15" spans="1:7">
      <c r="A15" t="s">
        <v>456</v>
      </c>
      <c r="B15" t="s">
        <v>265</v>
      </c>
      <c r="C15" t="s">
        <v>265</v>
      </c>
      <c r="D15" t="s">
        <v>445</v>
      </c>
      <c r="E15">
        <v>-878</v>
      </c>
      <c r="F15">
        <v>-1555</v>
      </c>
      <c r="G15">
        <v>-2250</v>
      </c>
    </row>
    <row r="16" spans="1:7">
      <c r="A16" t="s">
        <v>379</v>
      </c>
      <c r="B16" t="s">
        <v>261</v>
      </c>
      <c r="C16" t="s">
        <v>261</v>
      </c>
      <c r="D16" t="s">
        <v>445</v>
      </c>
      <c r="E16">
        <v>-2414</v>
      </c>
      <c r="F16">
        <v>-10512</v>
      </c>
      <c r="G16">
        <v>-3450</v>
      </c>
    </row>
    <row r="17" spans="1:7">
      <c r="A17" t="s">
        <v>457</v>
      </c>
      <c r="B17" t="s">
        <v>264</v>
      </c>
      <c r="C17" t="s">
        <v>264</v>
      </c>
      <c r="D17" t="s">
        <v>445</v>
      </c>
      <c r="E17">
        <v>854</v>
      </c>
      <c r="F17">
        <v>-599</v>
      </c>
      <c r="G17">
        <v>-613</v>
      </c>
    </row>
    <row r="18" spans="1:7">
      <c r="A18" t="s">
        <v>391</v>
      </c>
      <c r="B18" t="s">
        <v>275</v>
      </c>
      <c r="C18" t="s">
        <v>275</v>
      </c>
      <c r="D18" t="s">
        <v>445</v>
      </c>
      <c r="E18">
        <v>-1389</v>
      </c>
      <c r="F18">
        <v>2557</v>
      </c>
      <c r="G18">
        <v>4105</v>
      </c>
    </row>
    <row r="19" spans="1:7">
      <c r="A19" t="s">
        <v>392</v>
      </c>
      <c r="D19" t="s">
        <v>445</v>
      </c>
      <c r="E19">
        <v>1059</v>
      </c>
      <c r="F19">
        <v>-263</v>
      </c>
      <c r="G19">
        <v>2172</v>
      </c>
    </row>
    <row r="20" spans="1:7">
      <c r="A20" t="s">
        <v>458</v>
      </c>
      <c r="B20" t="s">
        <v>277</v>
      </c>
      <c r="C20" t="s">
        <v>277</v>
      </c>
      <c r="D20" t="s">
        <v>445</v>
      </c>
      <c r="E20">
        <v>-289</v>
      </c>
      <c r="F20">
        <v>-893</v>
      </c>
      <c r="G20">
        <v>1088</v>
      </c>
    </row>
    <row r="21" spans="1:7">
      <c r="A21" t="s">
        <v>459</v>
      </c>
      <c r="B21" t="s">
        <v>285</v>
      </c>
      <c r="C21" t="s">
        <v>285</v>
      </c>
      <c r="D21" t="s">
        <v>445</v>
      </c>
      <c r="E21">
        <v>-32512</v>
      </c>
      <c r="F21">
        <v>-53422</v>
      </c>
      <c r="G21">
        <v>-35637</v>
      </c>
    </row>
    <row r="22" spans="1:7">
      <c r="A22" t="s">
        <v>460</v>
      </c>
      <c r="B22" t="s">
        <v>286</v>
      </c>
      <c r="C22" t="s">
        <v>286</v>
      </c>
      <c r="D22" t="s">
        <v>461</v>
      </c>
    </row>
    <row r="23" spans="1:7">
      <c r="A23" t="s">
        <v>462</v>
      </c>
      <c r="B23" t="s">
        <v>290</v>
      </c>
      <c r="C23" t="s">
        <v>290</v>
      </c>
      <c r="D23" t="s">
        <v>461</v>
      </c>
      <c r="F23">
        <v>-500</v>
      </c>
      <c r="G23">
        <v>-1500</v>
      </c>
    </row>
    <row r="24" spans="1:7">
      <c r="A24" t="s">
        <v>463</v>
      </c>
      <c r="B24" t="s">
        <v>287</v>
      </c>
      <c r="C24" t="s">
        <v>287</v>
      </c>
      <c r="D24" t="s">
        <v>461</v>
      </c>
      <c r="E24">
        <v>-2575</v>
      </c>
      <c r="F24">
        <v>-4815</v>
      </c>
      <c r="G24">
        <v>-7000</v>
      </c>
    </row>
    <row r="25" spans="1:7">
      <c r="A25" t="s">
        <v>464</v>
      </c>
      <c r="B25" t="s">
        <v>290</v>
      </c>
      <c r="C25" t="s">
        <v>290</v>
      </c>
      <c r="D25" t="s">
        <v>461</v>
      </c>
      <c r="E25">
        <v>-29778</v>
      </c>
      <c r="F25">
        <v>-70989</v>
      </c>
      <c r="G25">
        <v>-33688</v>
      </c>
    </row>
    <row r="26" spans="1:7">
      <c r="A26" t="s">
        <v>465</v>
      </c>
      <c r="B26" t="s">
        <v>291</v>
      </c>
      <c r="C26" t="s">
        <v>291</v>
      </c>
      <c r="D26" t="s">
        <v>461</v>
      </c>
      <c r="F26">
        <v>13896</v>
      </c>
      <c r="G26">
        <v>8015</v>
      </c>
    </row>
    <row r="27" spans="1:7">
      <c r="A27" t="s">
        <v>466</v>
      </c>
      <c r="B27" t="s">
        <v>288</v>
      </c>
      <c r="C27" t="s">
        <v>288</v>
      </c>
      <c r="D27" t="s">
        <v>461</v>
      </c>
      <c r="E27">
        <v>66300</v>
      </c>
      <c r="F27">
        <v>37500</v>
      </c>
      <c r="G27">
        <v>10050</v>
      </c>
    </row>
    <row r="28" spans="1:7">
      <c r="A28" t="s">
        <v>467</v>
      </c>
      <c r="B28" t="s">
        <v>296</v>
      </c>
      <c r="C28" t="s">
        <v>296</v>
      </c>
      <c r="D28" t="s">
        <v>461</v>
      </c>
      <c r="E28">
        <v>33947</v>
      </c>
      <c r="F28">
        <v>-24908</v>
      </c>
      <c r="G28">
        <v>-24123</v>
      </c>
    </row>
    <row r="29" spans="1:7">
      <c r="A29" t="s">
        <v>468</v>
      </c>
      <c r="B29" t="s">
        <v>297</v>
      </c>
      <c r="C29" t="s">
        <v>297</v>
      </c>
      <c r="D29" t="s">
        <v>469</v>
      </c>
    </row>
    <row r="30" spans="1:7">
      <c r="A30" t="s">
        <v>470</v>
      </c>
      <c r="B30" t="s">
        <v>298</v>
      </c>
      <c r="C30" t="s">
        <v>298</v>
      </c>
      <c r="D30" t="s">
        <v>469</v>
      </c>
      <c r="E30">
        <v>1061</v>
      </c>
      <c r="F30">
        <v>87267</v>
      </c>
      <c r="G30">
        <v>30920</v>
      </c>
    </row>
    <row r="31" spans="1:7">
      <c r="A31" t="s">
        <v>471</v>
      </c>
      <c r="D31" t="s">
        <v>461</v>
      </c>
      <c r="F31">
        <v>-5469</v>
      </c>
      <c r="G31">
        <v>-1143</v>
      </c>
    </row>
    <row r="32" spans="1:7">
      <c r="A32" t="s">
        <v>472</v>
      </c>
      <c r="B32" t="s">
        <v>302</v>
      </c>
      <c r="C32" t="s">
        <v>302</v>
      </c>
      <c r="D32" t="s">
        <v>461</v>
      </c>
      <c r="E32">
        <v>-92</v>
      </c>
      <c r="F32">
        <v>-7848</v>
      </c>
      <c r="G32">
        <v>-40</v>
      </c>
    </row>
    <row r="33" spans="1:7">
      <c r="A33" t="s">
        <v>299</v>
      </c>
      <c r="B33" t="s">
        <v>299</v>
      </c>
      <c r="C33" t="s">
        <v>299</v>
      </c>
      <c r="D33" t="s">
        <v>469</v>
      </c>
      <c r="E33">
        <v>7098</v>
      </c>
      <c r="F33">
        <v>15000</v>
      </c>
      <c r="G33">
        <v>10000</v>
      </c>
    </row>
    <row r="34" spans="1:7">
      <c r="A34" t="s">
        <v>473</v>
      </c>
      <c r="D34" t="s">
        <v>469</v>
      </c>
      <c r="E34">
        <v>-20</v>
      </c>
      <c r="F34">
        <v>-187</v>
      </c>
      <c r="G34">
        <v>-90</v>
      </c>
    </row>
    <row r="35" spans="1:7">
      <c r="A35" t="s">
        <v>474</v>
      </c>
      <c r="B35" t="s">
        <v>298</v>
      </c>
      <c r="C35" t="s">
        <v>298</v>
      </c>
      <c r="D35" t="s">
        <v>469</v>
      </c>
      <c r="E35">
        <v>22</v>
      </c>
      <c r="F35">
        <v>287</v>
      </c>
      <c r="G35">
        <v>712</v>
      </c>
    </row>
    <row r="36" spans="1:7">
      <c r="A36" t="s">
        <v>475</v>
      </c>
      <c r="B36" t="s">
        <v>311</v>
      </c>
      <c r="C36" t="s">
        <v>311</v>
      </c>
      <c r="D36" t="s">
        <v>469</v>
      </c>
      <c r="E36">
        <v>8069</v>
      </c>
      <c r="F36">
        <v>89050</v>
      </c>
      <c r="G36">
        <v>40359</v>
      </c>
    </row>
    <row r="37" spans="1:7">
      <c r="A37" t="s">
        <v>476</v>
      </c>
      <c r="B37" t="s">
        <v>313</v>
      </c>
      <c r="C37" t="s">
        <v>313</v>
      </c>
      <c r="D37" t="s">
        <v>469</v>
      </c>
      <c r="E37">
        <v>28</v>
      </c>
      <c r="F37">
        <v>75</v>
      </c>
      <c r="G37">
        <v>-25</v>
      </c>
    </row>
    <row r="38" spans="1:7">
      <c r="A38" t="s">
        <v>477</v>
      </c>
      <c r="B38" t="s">
        <v>477</v>
      </c>
      <c r="C38" t="s">
        <v>312</v>
      </c>
      <c r="D38" t="s">
        <v>469</v>
      </c>
      <c r="E38">
        <v>9532</v>
      </c>
      <c r="F38">
        <v>10795</v>
      </c>
      <c r="G38">
        <v>-19426</v>
      </c>
    </row>
    <row r="39" spans="1:7">
      <c r="A39" t="s">
        <v>478</v>
      </c>
      <c r="B39" t="s">
        <v>479</v>
      </c>
      <c r="C39" t="s">
        <v>315</v>
      </c>
      <c r="D39" t="s">
        <v>469</v>
      </c>
      <c r="E39">
        <v>27512</v>
      </c>
      <c r="F39">
        <v>16717</v>
      </c>
      <c r="G39">
        <v>36143</v>
      </c>
    </row>
    <row r="40" spans="1:7">
      <c r="A40" t="s">
        <v>480</v>
      </c>
      <c r="B40" t="s">
        <v>316</v>
      </c>
      <c r="C40" t="s">
        <v>316</v>
      </c>
      <c r="D40" t="s">
        <v>469</v>
      </c>
      <c r="E40">
        <v>37044</v>
      </c>
      <c r="F40">
        <v>27512</v>
      </c>
      <c r="G40">
        <v>16717</v>
      </c>
    </row>
    <row r="41" spans="1:7">
      <c r="A41" t="s">
        <v>481</v>
      </c>
      <c r="B41" t="s">
        <v>311</v>
      </c>
      <c r="C41" t="s">
        <v>311</v>
      </c>
      <c r="D41" t="s">
        <v>469</v>
      </c>
    </row>
    <row r="42" spans="1:7">
      <c r="A42" t="s">
        <v>482</v>
      </c>
      <c r="D42" t="s">
        <v>469</v>
      </c>
      <c r="E42">
        <v>1689</v>
      </c>
      <c r="F42">
        <v>4885</v>
      </c>
      <c r="G42">
        <v>263</v>
      </c>
    </row>
    <row r="43" spans="1:7">
      <c r="A43" t="s">
        <v>483</v>
      </c>
      <c r="B43" t="s">
        <v>287</v>
      </c>
      <c r="C43" t="s">
        <v>287</v>
      </c>
      <c r="D43" t="s">
        <v>461</v>
      </c>
      <c r="E43">
        <v>372</v>
      </c>
      <c r="F43">
        <v>227</v>
      </c>
      <c r="G43">
        <v>1159</v>
      </c>
    </row>
    <row r="44" spans="1:7">
      <c r="A44" t="s">
        <v>484</v>
      </c>
      <c r="D44" t="s">
        <v>469</v>
      </c>
    </row>
    <row r="45" spans="1:7">
      <c r="A45" t="s">
        <v>485</v>
      </c>
      <c r="D45" t="s">
        <v>469</v>
      </c>
      <c r="E45">
        <v>2028</v>
      </c>
      <c r="F45">
        <v>1643</v>
      </c>
      <c r="G45">
        <v>1130</v>
      </c>
    </row>
    <row r="46" spans="1:7">
      <c r="A46" t="s">
        <v>486</v>
      </c>
      <c r="B46" t="s">
        <v>487</v>
      </c>
      <c r="C46" t="s">
        <v>247</v>
      </c>
      <c r="D46" t="s">
        <v>445</v>
      </c>
      <c r="E46">
        <v>165</v>
      </c>
      <c r="F46">
        <v>61</v>
      </c>
      <c r="G46">
        <v>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0B3880-8497-4348-A806-1DD0A13D5F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BB7B80-DB3C-4C52-BF26-77BECC82A1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07B496-68EE-48E4-BDF2-B3B0652A1C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2021-11-01T06:45:20Z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