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78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F52" i="1" l="1"/>
  <c r="G31" i="1"/>
  <c r="F31" i="1"/>
  <c r="G36" i="1"/>
  <c r="F36" i="1"/>
  <c r="G215" i="1"/>
  <c r="G212" i="1"/>
  <c r="F212" i="1"/>
  <c r="G183" i="1"/>
  <c r="F183" i="1"/>
  <c r="G184" i="1"/>
  <c r="F184" i="1"/>
  <c r="G113" i="1"/>
  <c r="F113" i="1"/>
  <c r="G24" i="1"/>
  <c r="F24" i="1"/>
  <c r="G433" i="1" l="1"/>
  <c r="F433" i="1"/>
  <c r="G432" i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F381" i="1"/>
  <c r="J377" i="1"/>
  <c r="L376" i="1"/>
  <c r="O375" i="1"/>
  <c r="N375" i="1"/>
  <c r="M375" i="1"/>
  <c r="L375" i="1"/>
  <c r="K375" i="1"/>
  <c r="J375" i="1"/>
  <c r="F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83" i="1" l="1"/>
  <c r="G12" i="1"/>
  <c r="G376" i="1" s="1"/>
  <c r="F161" i="1"/>
  <c r="F8" i="1" s="1"/>
  <c r="F12" i="1" s="1"/>
  <c r="F384" i="1"/>
  <c r="F13" i="1"/>
  <c r="F377" i="1"/>
  <c r="F353" i="1"/>
  <c r="F355" i="1" s="1"/>
  <c r="F357" i="1" s="1"/>
  <c r="F385" i="1"/>
  <c r="G326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G382" i="1"/>
  <c r="O382" i="1"/>
  <c r="K384" i="1"/>
  <c r="H384" i="1"/>
  <c r="F363" i="1"/>
  <c r="N368" i="1"/>
  <c r="N372" i="1"/>
  <c r="H376" i="1"/>
  <c r="N377" i="1"/>
  <c r="L378" i="1"/>
  <c r="H382" i="1"/>
  <c r="J383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G14" i="1" l="1"/>
  <c r="G366" i="1"/>
  <c r="F382" i="1"/>
  <c r="F383" i="1"/>
  <c r="F14" i="1"/>
  <c r="F366" i="1"/>
  <c r="F376" i="1"/>
  <c r="G353" i="1"/>
  <c r="G355" i="1" s="1"/>
  <c r="G357" i="1" s="1"/>
  <c r="G385" i="1"/>
  <c r="G378" i="1"/>
  <c r="G370" i="1"/>
  <c r="G59" i="1"/>
  <c r="G67" i="1" s="1"/>
  <c r="G71" i="1" s="1"/>
  <c r="F378" i="1"/>
  <c r="F59" i="1"/>
  <c r="F67" i="1" s="1"/>
  <c r="F71" i="1" s="1"/>
  <c r="F370" i="1"/>
  <c r="F373" i="1" l="1"/>
  <c r="F83" i="1"/>
  <c r="F6" i="1"/>
  <c r="F372" i="1"/>
  <c r="G373" i="1"/>
  <c r="G83" i="1"/>
  <c r="G372" i="1"/>
  <c r="G6" i="1"/>
  <c r="F365" i="1" l="1"/>
  <c r="F371" i="1"/>
  <c r="G371" i="1"/>
  <c r="G365" i="1"/>
</calcChain>
</file>

<file path=xl/sharedStrings.xml><?xml version="1.0" encoding="utf-8"?>
<sst xmlns="http://schemas.openxmlformats.org/spreadsheetml/2006/main" count="824" uniqueCount="514">
  <si>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</si>
  <si>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</si>
  <si>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</si>
  <si>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</si>
  <si>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</si>
  <si>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</si>
  <si>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</si>
  <si>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</si>
  <si>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</si>
  <si>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</si>
  <si>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</si>
  <si>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</si>
  <si>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</si>
  <si>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</si>
  <si>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</si>
  <si>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</si>
  <si>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</si>
  <si>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</si>
  <si>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</si>
  <si>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</si>
  <si>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</si>
  <si>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</si>
  <si>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</si>
  <si>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</si>
  <si>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</si>
  <si>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</si>
  <si>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</si>
  <si>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</si>
  <si>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</si>
  <si>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</si>
  <si>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</si>
  <si>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</si>
  <si>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</si>
  <si>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</si>
  <si>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</si>
  <si>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</si>
  <si>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</si>
  <si>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</si>
  <si>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</si>
  <si>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</si>
  <si>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</si>
  <si>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</si>
  <si>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</si>
  <si>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</si>
  <si>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</si>
  <si>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</si>
  <si>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</si>
  <si>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</si>
  <si>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</si>
  <si>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</si>
  <si>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</si>
  <si>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</si>
  <si>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</si>
  <si>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</si>
  <si>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</si>
  <si>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</si>
  <si>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</si>
  <si>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</si>
  <si>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</si>
  <si>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</si>
  <si>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</si>
  <si>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</si>
  <si>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</si>
  <si>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</si>
  <si>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</si>
  <si>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</si>
  <si>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</si>
  <si>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</si>
  <si>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</si>
  <si>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</si>
  <si>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</si>
  <si>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</si>
  <si>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</si>
  <si>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</si>
  <si>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</si>
  <si>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</si>
  <si>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</si>
  <si>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</si>
  <si>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</si>
  <si>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</si>
  <si>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</si>
  <si>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</si>
  <si>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</si>
  <si>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</si>
  <si>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</si>
  <si>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</si>
  <si>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</si>
  <si>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</si>
  <si>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</si>
  <si>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</si>
  <si>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</si>
  <si>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</si>
  <si>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</si>
  <si>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</si>
  <si>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</si>
  <si>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</si>
  <si>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</si>
  <si>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</si>
  <si>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</si>
  <si>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</si>
  <si>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</si>
  <si>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</si>
  <si>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</si>
  <si>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</si>
  <si>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</si>
  <si>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</si>
  <si>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</si>
  <si>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</si>
  <si>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</si>
  <si>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</si>
  <si>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</si>
  <si>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</si>
  <si>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</si>
  <si>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</si>
  <si>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</si>
  <si>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</si>
  <si>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</si>
  <si>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</si>
  <si>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</si>
  <si>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</si>
  <si>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</si>
  <si>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</si>
  <si>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</si>
  <si>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</si>
  <si>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</si>
  <si>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</si>
  <si>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</si>
  <si>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</si>
  <si>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</si>
  <si>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</si>
  <si>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</si>
  <si>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</si>
  <si>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</si>
  <si>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</si>
  <si>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</si>
  <si>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</si>
  <si>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</si>
  <si>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</si>
  <si>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</si>
  <si>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</si>
  <si>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</si>
  <si>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</si>
  <si>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</si>
  <si>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</si>
  <si>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</si>
  <si>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</si>
  <si>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</si>
  <si>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</si>
  <si>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</si>
  <si>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</si>
  <si>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</si>
  <si>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</si>
  <si>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</si>
  <si>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</si>
  <si>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</si>
  <si>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</si>
  <si>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</si>
  <si>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</si>
  <si>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</si>
  <si>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</si>
  <si>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</si>
  <si>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</si>
  <si>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</si>
  <si>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</si>
  <si>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</si>
  <si>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</si>
  <si>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</si>
  <si>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</si>
  <si>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</si>
  <si>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</si>
  <si>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</si>
  <si>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</si>
  <si>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</si>
  <si>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</si>
  <si>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</si>
  <si>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</si>
  <si>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</si>
  <si>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</si>
  <si>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</si>
  <si>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</si>
  <si>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</si>
  <si>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</si>
  <si>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</si>
  <si>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</si>
  <si>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</si>
  <si>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</si>
  <si>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</si>
  <si>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</si>
  <si>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</si>
  <si>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</si>
  <si>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</si>
  <si>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</si>
  <si>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</si>
  <si>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</si>
  <si>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</si>
  <si>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</si>
  <si>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</si>
  <si>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</si>
  <si>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</si>
  <si>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</si>
  <si>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</si>
  <si>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</si>
  <si>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</si>
  <si>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</si>
  <si>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</si>
  <si>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</si>
  <si>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</si>
  <si>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</si>
  <si>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</si>
  <si>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</si>
  <si>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</si>
  <si>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</si>
  <si>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</si>
  <si>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</si>
  <si>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</si>
  <si>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</si>
  <si>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</si>
  <si>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</si>
  <si>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</si>
  <si>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</si>
  <si>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</si>
  <si>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</si>
  <si>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</si>
  <si>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</si>
  <si>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</si>
  <si>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</si>
  <si>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</si>
  <si>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</si>
  <si>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</si>
  <si>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</si>
  <si>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</si>
  <si>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</si>
  <si>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</si>
  <si>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</si>
  <si>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</si>
  <si>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</si>
  <si>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</si>
  <si>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</si>
  <si>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</si>
  <si>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</si>
  <si>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</si>
  <si>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</si>
  <si>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</si>
  <si>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</si>
  <si>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</si>
  <si>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</si>
  <si>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</si>
  <si>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</si>
  <si>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</si>
  <si>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</si>
  <si>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</si>
  <si>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</si>
  <si>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</si>
  <si>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</si>
  <si>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</si>
  <si>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</si>
  <si>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</si>
  <si>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</si>
  <si>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</si>
  <si>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</si>
  <si>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</si>
  <si>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</si>
  <si>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</si>
  <si>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</si>
  <si>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</si>
  <si>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</si>
  <si>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</si>
  <si>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</si>
  <si>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</si>
  <si>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</si>
  <si>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</si>
  <si>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</si>
  <si>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</si>
  <si>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</si>
  <si>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</si>
  <si>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</si>
  <si>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</si>
  <si>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</si>
  <si>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</si>
  <si>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</si>
  <si>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</si>
  <si>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</si>
  <si>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</si>
  <si>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</si>
  <si>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</si>
  <si>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</si>
  <si>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</si>
  <si>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</si>
  <si>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</si>
  <si>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</si>
  <si>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</si>
  <si>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</si>
  <si>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</si>
  <si>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</si>
  <si>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</si>
  <si>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</si>
  <si>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</si>
  <si>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</si>
  <si>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</si>
  <si>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</si>
  <si>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</si>
  <si>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</si>
  <si>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</si>
  <si>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</si>
  <si>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</si>
  <si>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</si>
  <si>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</si>
  <si>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</si>
  <si>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</si>
  <si>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</si>
  <si>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</si>
  <si>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</si>
  <si>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</si>
  <si>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</si>
  <si>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</si>
  <si>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</si>
  <si>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</si>
  <si>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</si>
  <si>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</si>
  <si>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</si>
  <si>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</si>
  <si>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</si>
  <si>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</si>
  <si>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</si>
  <si>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</si>
  <si>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</si>
  <si>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</si>
  <si>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</si>
  <si>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</si>
  <si>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</si>
  <si>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</si>
  <si>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</si>
  <si>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</si>
  <si>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</si>
  <si>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</si>
  <si>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</si>
  <si>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</si>
  <si>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</si>
  <si>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</si>
  <si>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</si>
  <si>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</si>
  <si>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</si>
  <si>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</si>
  <si>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</si>
  <si>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</si>
  <si>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</si>
  <si>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</si>
  <si>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</si>
  <si>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</si>
  <si>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</si>
  <si>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</si>
  <si>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</si>
  <si>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</si>
  <si>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</si>
  <si>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</si>
  <si>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</si>
  <si>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</si>
  <si>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</si>
  <si>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</si>
  <si>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</si>
  <si>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</si>
  <si>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</si>
  <si>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</si>
  <si>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</si>
  <si>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</si>
  <si>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</si>
  <si>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</si>
  <si>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</si>
  <si>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</si>
  <si>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</si>
  <si>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</si>
  <si>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</si>
  <si>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</si>
  <si>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</si>
  <si>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CASH FLOWS FROM OPERATING ACTIVITIES</t>
  </si>
  <si>
    <t>Net increase in net assets resulting from operations</t>
  </si>
  <si>
    <t>Adjustments to reconcile net increase in net assets resulting from operations to net cash (used in) provided</t>
  </si>
  <si>
    <t>by operating activities:</t>
  </si>
  <si>
    <t>Purchase of investments</t>
  </si>
  <si>
    <t>Principal repayments on investments</t>
  </si>
  <si>
    <t>Net proceeds from sale of investments</t>
  </si>
  <si>
    <t>Increase in investments due to paid-in-kind interest or other</t>
  </si>
  <si>
    <t>Net change in premiums, discounts and amortization</t>
  </si>
  <si>
    <t>Cost adjustments on non-accrual loans</t>
  </si>
  <si>
    <t>Net realized loss (gain) on investments</t>
  </si>
  <si>
    <t>Net unrealized (appreciation) depreciation of investments</t>
  </si>
  <si>
    <t>Net realized loss on other</t>
  </si>
  <si>
    <t>Net unrealized (depreciation) appreciation of other</t>
  </si>
  <si>
    <t>Changes in assets and liabilities:</t>
  </si>
  <si>
    <t>Decrease (increase) in restricted cash and cash equivalents</t>
  </si>
  <si>
    <t>(Increase) decrease in interest receivable, net</t>
  </si>
  <si>
    <t>Decrease (increase) in funds due from administrative agent</t>
  </si>
  <si>
    <t>Amortization of deferred financing fees</t>
  </si>
  <si>
    <t>Decrease (increase) in other assets, net</t>
  </si>
  <si>
    <t>(Decrease) increase in accounts payable and accrued expenses</t>
  </si>
  <si>
    <t>Accruals</t>
  </si>
  <si>
    <t>Increase (decrease) in interest payable</t>
  </si>
  <si>
    <t>(Decrease) increase in fees due to Adviser(A)</t>
  </si>
  <si>
    <t>Increase (decrease) in fee due to Administrator(A)</t>
  </si>
  <si>
    <t>(Decrease) increase in other liabilities</t>
  </si>
  <si>
    <t>Net cash (used in) provided by operating activities</t>
  </si>
  <si>
    <t>CASH FLOWS FROM FINANCING ACTIVITIES</t>
  </si>
  <si>
    <t>Repayments on borrowings</t>
  </si>
  <si>
    <t>Borrowings</t>
  </si>
  <si>
    <t>Proceeds from issuance of mandatorily redeemable preferred stock</t>
  </si>
  <si>
    <t>Redemption of mandatorily redeemable preferred stock</t>
  </si>
  <si>
    <t>Repurchase of common stock</t>
  </si>
  <si>
    <t>Deferred financing fees</t>
  </si>
  <si>
    <t>Proceeds from issuance of common stock</t>
  </si>
  <si>
    <t>Offering costs for issuance of common stock</t>
  </si>
  <si>
    <t>Distributions paid to common stockholders</t>
  </si>
  <si>
    <t>Net cash provided by (used in) financing activities</t>
  </si>
  <si>
    <t>NET (DECREASE) INCREASE IN CASH AND CASH EQUIVALENTS</t>
  </si>
  <si>
    <t>CASH AND CASH EQUIVALENTS, BEGINNING OF YEAR</t>
  </si>
  <si>
    <t>CASH AND CASH EQUIVALENTS, END OF YEAR</t>
  </si>
  <si>
    <t>CASH PAID DURING YEAR FOR INTEREST</t>
  </si>
  <si>
    <t>INVESTMENT INCOME</t>
  </si>
  <si>
    <t>Revenue</t>
  </si>
  <si>
    <t>Interest income</t>
  </si>
  <si>
    <t>Other income</t>
  </si>
  <si>
    <t>Total investment income</t>
  </si>
  <si>
    <t>EXPENSES</t>
  </si>
  <si>
    <t>Base management fee</t>
  </si>
  <si>
    <t>Loan servicing fee</t>
  </si>
  <si>
    <t>Incentive fee</t>
  </si>
  <si>
    <t>Administration fee</t>
  </si>
  <si>
    <t>Interest expense on borrowings</t>
  </si>
  <si>
    <t>Dividend expense on mandatorily redeemable preferred stock</t>
  </si>
  <si>
    <t>Amortisation of charges</t>
  </si>
  <si>
    <t>Other expenses</t>
  </si>
  <si>
    <t>Other Expenses</t>
  </si>
  <si>
    <t>Expenses, before credits from Adviser</t>
  </si>
  <si>
    <t>Credit to base management fee  loan servicing fee</t>
  </si>
  <si>
    <t>Credit to fees from Adviser  other</t>
  </si>
  <si>
    <t>Total expenses, net of credits</t>
  </si>
  <si>
    <t>NET INVESTMENT INCOME</t>
  </si>
  <si>
    <t>NET REALIZED AND UNREALIZED (LOSS) GAIN</t>
  </si>
  <si>
    <t>Net realized loss on investments</t>
  </si>
  <si>
    <t>Gain on Disposals</t>
  </si>
  <si>
    <t>Net unrealized appreciation of investments</t>
  </si>
  <si>
    <t>Net unrealized appreciation (depreciation) of other</t>
  </si>
  <si>
    <t>Net loss from investments and other</t>
  </si>
  <si>
    <t>NET INCREASE IN NET ASSETS RESULTING</t>
  </si>
  <si>
    <t>FROM OPERATIONS</t>
  </si>
  <si>
    <t>PER BASIC AND DILUTED COMMON SHARE</t>
  </si>
  <si>
    <t>Net investment income</t>
  </si>
  <si>
    <t>Investment Income</t>
  </si>
  <si>
    <t>Interest income increased by 18.6% for the year ended September 30, 2018, as compared to the prior year. This</t>
  </si>
  <si>
    <t>increase was due primarily to an increase in the weighted average balance outstanding on our interest-bearing</t>
  </si>
  <si>
    <t>Operating Activities</t>
  </si>
  <si>
    <t>Investing Activities</t>
  </si>
  <si>
    <t>Net increase (decrease) in cash and cash equivalents</t>
  </si>
  <si>
    <t>Financing Activities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</si>
  <si>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</si>
  <si>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</si>
  <si>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</si>
  <si>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</si>
  <si>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</si>
  <si>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</si>
  <si>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</si>
  <si>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turnover</t>
  </si>
  <si>
    <t>interest income</t>
  </si>
  <si>
    <t>other income</t>
  </si>
  <si>
    <t>changed sign</t>
  </si>
  <si>
    <t>administration fee</t>
  </si>
  <si>
    <t>administrative expenses</t>
  </si>
  <si>
    <t>added value</t>
  </si>
  <si>
    <t>other operating expenses</t>
  </si>
  <si>
    <t>base management fee</t>
  </si>
  <si>
    <t>loan servicing fee</t>
  </si>
  <si>
    <t>incentive fee</t>
  </si>
  <si>
    <t>other expenses</t>
  </si>
  <si>
    <t>interest expense on borrowings</t>
  </si>
  <si>
    <t>deleted value</t>
  </si>
  <si>
    <t>Credit to base management fee — loan servicing fee</t>
  </si>
  <si>
    <t>Credit to fees from Adviser — other</t>
  </si>
  <si>
    <t>net realized loss on investments</t>
  </si>
  <si>
    <t>net realized loss on other</t>
  </si>
  <si>
    <t>net unrealized appreciation of investments</t>
  </si>
  <si>
    <t>net unrealized appreciation (depreciation) of other</t>
  </si>
  <si>
    <t>unrealized gain or loss</t>
  </si>
  <si>
    <t>other non-operating current assets</t>
  </si>
  <si>
    <t>restricted cash and cash equivalents</t>
  </si>
  <si>
    <t>notes receivable</t>
  </si>
  <si>
    <t>interest receivable, net</t>
  </si>
  <si>
    <t>long term investments</t>
  </si>
  <si>
    <t>Non-Control/Non-Affiliate investments</t>
  </si>
  <si>
    <t>Affiliate investments</t>
  </si>
  <si>
    <t>Control investments</t>
  </si>
  <si>
    <t>trade debtors</t>
  </si>
  <si>
    <t>due from administrative agent</t>
  </si>
  <si>
    <t>deferred financing fees</t>
  </si>
  <si>
    <t>other assets, net</t>
  </si>
  <si>
    <t>other operating current assets</t>
  </si>
  <si>
    <t>dividends payable</t>
  </si>
  <si>
    <t>Mandatorily redeemable preferred stock, $0.001 par value per share</t>
  </si>
  <si>
    <t>borrowings at fair value</t>
  </si>
  <si>
    <t>accounts payable and accrued expenses</t>
  </si>
  <si>
    <t>interest payable</t>
  </si>
  <si>
    <t>fees due to adviser</t>
  </si>
  <si>
    <t>fee due to administrator</t>
  </si>
  <si>
    <t>other liabilities</t>
  </si>
  <si>
    <t>other creditors</t>
  </si>
  <si>
    <t>other non-current liabilities</t>
  </si>
  <si>
    <t>ordinary shares</t>
  </si>
  <si>
    <t>common stock, $0.001 par value</t>
  </si>
  <si>
    <t>capital in excess of par value</t>
  </si>
  <si>
    <t>Cumulative net unrealized depreciation of investments</t>
  </si>
  <si>
    <t>Cumulative net unrealized depreciation of other</t>
  </si>
  <si>
    <t>overdistributed net investment income</t>
  </si>
  <si>
    <t>partners current account</t>
  </si>
  <si>
    <t>retained earnings</t>
  </si>
  <si>
    <t>accumulated net realized losses</t>
  </si>
  <si>
    <t>directors remuneration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</si>
</sst>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90-4635-8617-21C898A7E1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CF-44DF-AF9A-1E025E9D4F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48-4A04-BA89-EB2D3F07F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C9-4434-843E-EDD6CB6D91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89-4853-B722-53305503B6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5D-4E62-9A55-BD9B720CD2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A3-4A46-BBC3-654CDED4FB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C1-489E-B476-EDE031DD4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ED-43D4-BC5C-C5F1EB50BB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B0-41F4-8A5E-AF0A7076C2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8C-4B8B-986C-96FAC5586B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9C5-4FC2-B2A8-664A30C4E9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F4-4508-A0FC-4985C19CCD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B5-4645-A26E-9F602BF3BE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F3-4FBA-B199-45677D78AB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4.1406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18648</v>
      </c>
      <c r="G6" s="7">
        <f t="shared" ref="G6:O6" si="1">IF(G4=$BF$1,"",G71)</f>
        <v>16555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391409</v>
      </c>
      <c r="G7" s="7">
        <f t="shared" ref="G7:O7" si="2">IF(G4=$BF$1,"",G128)</f>
        <v>353226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8099</v>
      </c>
      <c r="G8" s="7">
        <f t="shared" ref="G8:O8" si="3">IF(G4=$BF$1,"",G161)</f>
        <v>12634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52098</v>
      </c>
      <c r="G9" s="7">
        <f t="shared" ref="G9:O9" si="4">IF(G4=$BF$1,"",G189)</f>
        <v>52171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110318</v>
      </c>
      <c r="G10" s="7">
        <f t="shared" ref="G10:O10" si="5">IF(G4=$BF$1,"",G210)</f>
        <v>94039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237092</v>
      </c>
      <c r="G11" s="7">
        <f t="shared" ref="G11:O11" si="6">IF(G4=$BF$1,"",G227)</f>
        <v>219650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399508</v>
      </c>
      <c r="G12" s="35">
        <f t="shared" ref="G12:O12" si="7">IF(G4=$BF$1,"",SUM(G7:G8))</f>
        <v>365860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399508</v>
      </c>
      <c r="G13" s="35">
        <f t="shared" ref="G13:O13" si="8">IF(G4=$BF$1,"",SUM(G9:G11))</f>
        <v>365860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43958+1623</f>
        <v>45581</v>
      </c>
      <c r="G24">
        <f>37073+2160</f>
        <v>39233</v>
      </c>
      <c r="H24">
        <v>931</v>
      </c>
      <c r="I24">
        <v>-164</v>
      </c>
      <c r="P24" s="50" t="s">
        <v>459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45581</v>
      </c>
      <c r="G30" s="7">
        <f>IF(G4=$BF$1,"",G24-G25+ABS(G26)-G27-G28-G29)</f>
        <v>39233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1"/>
    </row>
    <row r="31" spans="5:16">
      <c r="E31" s="12" t="s">
        <v>33</v>
      </c>
      <c r="F31" s="38">
        <f>5042+3081</f>
        <v>8123</v>
      </c>
      <c r="G31" s="38">
        <f>4146+4126</f>
        <v>8272</v>
      </c>
      <c r="P31" s="50" t="s">
        <v>466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1250</v>
      </c>
      <c r="G34">
        <v>1102</v>
      </c>
      <c r="H34">
        <v>148</v>
      </c>
      <c r="I34">
        <v>134</v>
      </c>
      <c r="P34" s="50" t="s">
        <v>463</v>
      </c>
    </row>
    <row r="35" spans="5:16">
      <c r="E35" s="1" t="s">
        <v>37</v>
      </c>
    </row>
    <row r="36" spans="5:16">
      <c r="E36" s="1" t="s">
        <v>38</v>
      </c>
      <c r="F36" s="38">
        <f>7033+5042+5348+1966+5858</f>
        <v>25247</v>
      </c>
      <c r="G36" s="38">
        <f>5781+4146+4779+1945+3073</f>
        <v>19724</v>
      </c>
      <c r="P36" s="50" t="s">
        <v>466</v>
      </c>
    </row>
    <row r="37" spans="5:16">
      <c r="E37" s="1" t="s">
        <v>39</v>
      </c>
      <c r="F37" s="38">
        <v>3105</v>
      </c>
      <c r="G37" s="38">
        <v>4152</v>
      </c>
      <c r="P37" s="50" t="s">
        <v>466</v>
      </c>
    </row>
    <row r="38" spans="5:16">
      <c r="E38" s="1" t="s">
        <v>40</v>
      </c>
    </row>
    <row r="39" spans="5:16">
      <c r="E39" s="1" t="s">
        <v>41</v>
      </c>
      <c r="F39">
        <v>0</v>
      </c>
      <c r="G39">
        <v>0</v>
      </c>
      <c r="H39">
        <v>0</v>
      </c>
      <c r="I39">
        <v>0</v>
      </c>
    </row>
    <row r="40" spans="5:16">
      <c r="E40" s="1" t="s">
        <v>42</v>
      </c>
      <c r="P40" s="52"/>
    </row>
    <row r="41" spans="5:16">
      <c r="E41" s="1" t="s">
        <v>43</v>
      </c>
      <c r="F41">
        <v>1014</v>
      </c>
      <c r="G41">
        <v>1094</v>
      </c>
      <c r="H41">
        <v>-80</v>
      </c>
      <c r="I41">
        <v>-73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30616</v>
      </c>
      <c r="G43" s="7">
        <f>G32+G33+G34+G35+G36+G37+G38+G39+G40+G41+G42</f>
        <v>26072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23088</v>
      </c>
      <c r="G44" s="7">
        <f>IF(G4=$BF$1,"",G30+G31-G43)</f>
        <v>21433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  <c r="F45"/>
      <c r="G45"/>
      <c r="H45">
        <v>-1572</v>
      </c>
      <c r="I45">
        <v>40126</v>
      </c>
      <c r="P45" s="50" t="s">
        <v>473</v>
      </c>
    </row>
    <row r="46" spans="5:16">
      <c r="E46" s="1" t="s">
        <v>48</v>
      </c>
      <c r="F46" s="38">
        <v>-133</v>
      </c>
      <c r="G46" s="38">
        <v>-1288</v>
      </c>
      <c r="P46" s="50" t="s">
        <v>466</v>
      </c>
    </row>
    <row r="47" spans="5:16">
      <c r="E47" s="1" t="s">
        <v>49</v>
      </c>
      <c r="F47" s="38">
        <v>115</v>
      </c>
      <c r="G47" s="38">
        <v>-115</v>
      </c>
      <c r="P47" s="50" t="s">
        <v>466</v>
      </c>
    </row>
    <row r="48" spans="5:16" ht="25.5">
      <c r="E48" s="1" t="s">
        <v>50</v>
      </c>
    </row>
    <row r="49" spans="5:16">
      <c r="E49" s="1" t="s">
        <v>51</v>
      </c>
      <c r="P49" s="50" t="s">
        <v>473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f>-26063+21641</f>
        <v>-4422</v>
      </c>
      <c r="G52">
        <v>-3475</v>
      </c>
      <c r="H52">
        <v>14889</v>
      </c>
      <c r="I52">
        <v>437</v>
      </c>
      <c r="P52" s="50" t="s">
        <v>459</v>
      </c>
    </row>
    <row r="53" spans="5:16">
      <c r="E53" s="1" t="s">
        <v>55</v>
      </c>
    </row>
    <row r="54" spans="5:16">
      <c r="E54" s="1" t="s">
        <v>56</v>
      </c>
      <c r="F54"/>
      <c r="G54"/>
      <c r="H54">
        <v>-187</v>
      </c>
      <c r="I54">
        <v>44</v>
      </c>
      <c r="P54" s="50" t="s">
        <v>473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21</v>
      </c>
      <c r="I56">
        <v>11</v>
      </c>
      <c r="P56" s="52"/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18648</v>
      </c>
      <c r="G59" s="7">
        <f>IF(G4=$BF$1,"",G44+G45+G46+G47+G48-G49-G50-G51+G52-G53+G54+G55-G56+G57+G58)</f>
        <v>16555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18648</v>
      </c>
      <c r="G67" s="7">
        <f>IF(G4=$BF$1,"",SUM(G59,-G60,-ABS(G61),-G62,-G66))</f>
        <v>16555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18648</v>
      </c>
      <c r="G71" s="7">
        <f t="shared" ref="G71:O71" si="14">IF(G4=$BF$1,"",SUM(G67:G70))</f>
        <v>16555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 ht="25.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6">
      <c r="E81" s="1" t="s">
        <v>75</v>
      </c>
    </row>
    <row r="82" spans="5:16">
      <c r="E82" s="1" t="s">
        <v>76</v>
      </c>
      <c r="P82" s="52"/>
    </row>
    <row r="83" spans="5:16">
      <c r="E83" s="6" t="s">
        <v>77</v>
      </c>
      <c r="F83" s="7">
        <f>SUM(F71:F82)</f>
        <v>18648</v>
      </c>
      <c r="G83" s="7">
        <f t="shared" ref="G83:O83" si="15">IF(G4=$BF$1,"",SUM(G71:G82))</f>
        <v>16555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2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 ht="25.5">
      <c r="E99" s="1" t="s">
        <v>89</v>
      </c>
    </row>
    <row r="100" spans="5:16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91</v>
      </c>
    </row>
    <row r="102" spans="5:16">
      <c r="E102" s="1" t="s">
        <v>92</v>
      </c>
    </row>
    <row r="103" spans="5:16" ht="25.5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  <c r="F106" s="38">
        <v>1363</v>
      </c>
      <c r="G106" s="38">
        <v>853</v>
      </c>
      <c r="P106" s="50" t="s">
        <v>466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f>325567+48856+15623</f>
        <v>390046</v>
      </c>
      <c r="G113">
        <f>290860+42648+18865</f>
        <v>352373</v>
      </c>
      <c r="H113">
        <v>-5002</v>
      </c>
      <c r="P113" s="50" t="s">
        <v>459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 ht="25.5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391409</v>
      </c>
      <c r="G128" s="7">
        <f t="shared" ref="G128:O128" si="19">IF(G4=$BF$1,"",G100+SUM(G104:G126))</f>
        <v>353226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1971</v>
      </c>
      <c r="G130">
        <v>5012</v>
      </c>
      <c r="H130">
        <v>6152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 s="38">
        <v>2807</v>
      </c>
      <c r="G133" s="38">
        <v>3086</v>
      </c>
      <c r="P133" s="50" t="s">
        <v>466</v>
      </c>
    </row>
    <row r="134" spans="5:16">
      <c r="E134" s="1" t="s">
        <v>95</v>
      </c>
    </row>
    <row r="135" spans="5:16">
      <c r="E135" s="1" t="s">
        <v>96</v>
      </c>
      <c r="F135" s="38">
        <v>2601</v>
      </c>
      <c r="G135" s="38">
        <v>1699</v>
      </c>
      <c r="P135" s="50" t="s">
        <v>466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7379</v>
      </c>
      <c r="G140" s="7">
        <f t="shared" ref="G140:O140" si="20">IF(G4=$BF$1,"",G130+G131+G132+G133+G134+G135+G136+G139)</f>
        <v>9797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 ht="25.5">
      <c r="E157" s="12" t="s">
        <v>137</v>
      </c>
    </row>
    <row r="158" spans="5:16">
      <c r="E158" s="1" t="s">
        <v>138</v>
      </c>
      <c r="F158" s="38">
        <v>687</v>
      </c>
      <c r="G158" s="38">
        <v>2579</v>
      </c>
      <c r="P158" s="50" t="s">
        <v>466</v>
      </c>
    </row>
    <row r="159" spans="5:16">
      <c r="E159" s="1" t="s">
        <v>139</v>
      </c>
      <c r="F159" s="38">
        <v>33</v>
      </c>
      <c r="G159" s="38">
        <v>258</v>
      </c>
      <c r="P159" s="50" t="s">
        <v>466</v>
      </c>
    </row>
    <row r="160" spans="5:16">
      <c r="E160" s="6" t="s">
        <v>140</v>
      </c>
      <c r="F160" s="7">
        <f>F146+F147+F148+F149+F150+F151+F152+F153+F154+F155+F156+F157+F158+F159</f>
        <v>720</v>
      </c>
      <c r="G160" s="7">
        <f>IF(G4=$BF$1,"",G146+G147+G148+G149+G150+G151+G152+G153+G154+G155+G156+G157+G158+G159)</f>
        <v>2837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8099</v>
      </c>
      <c r="G161" s="7">
        <f t="shared" ref="G161:O161" si="22">IF(G4=$BF$1,"",G140+G145+G160)</f>
        <v>12634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  <c r="F176" s="38">
        <v>50077</v>
      </c>
      <c r="G176" s="38">
        <v>49849</v>
      </c>
      <c r="P176" s="50" t="s">
        <v>466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  <c r="F183" s="38">
        <f>1084+317</f>
        <v>1401</v>
      </c>
      <c r="G183" s="38">
        <f>1292+244</f>
        <v>1536</v>
      </c>
      <c r="P183" s="50" t="s">
        <v>466</v>
      </c>
    </row>
    <row r="184" spans="5:16" ht="25.5">
      <c r="E184" s="12" t="s">
        <v>161</v>
      </c>
      <c r="F184">
        <f>290+330</f>
        <v>620</v>
      </c>
      <c r="G184">
        <f>522+264</f>
        <v>786</v>
      </c>
      <c r="H184">
        <v>422</v>
      </c>
      <c r="P184" s="50" t="s">
        <v>459</v>
      </c>
    </row>
    <row r="185" spans="5:16" ht="25.5">
      <c r="E185" s="12" t="s">
        <v>162</v>
      </c>
    </row>
    <row r="187" spans="5:16">
      <c r="E187" s="1" t="s">
        <v>163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52098</v>
      </c>
      <c r="G189" s="7">
        <f t="shared" ref="G189:O189" si="23">IF(G4=$BF$1,"",SUM(G163:G188))</f>
        <v>52171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110000</v>
      </c>
      <c r="G193" s="38">
        <v>93115</v>
      </c>
      <c r="P193" s="50" t="s">
        <v>466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 s="38">
        <v>318</v>
      </c>
      <c r="G209" s="38">
        <v>924</v>
      </c>
      <c r="P209" s="50" t="s">
        <v>466</v>
      </c>
    </row>
    <row r="210" spans="5:16">
      <c r="E210" s="6" t="s">
        <v>14</v>
      </c>
      <c r="F210" s="7">
        <f>SUM(F191:F209)</f>
        <v>110318</v>
      </c>
      <c r="G210" s="7">
        <f t="shared" ref="G210:O210" si="24">IF(G4=$BF$1,"",SUM(G191:G209))</f>
        <v>94039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29+343076</f>
        <v>343105</v>
      </c>
      <c r="G212">
        <f>26+348248</f>
        <v>348274</v>
      </c>
      <c r="H212">
        <v>-572</v>
      </c>
      <c r="P212" s="50" t="s">
        <v>466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  <c r="F215" s="38">
        <v>-37421</v>
      </c>
      <c r="G215" s="38">
        <f>-59062-115</f>
        <v>-59177</v>
      </c>
      <c r="P215" s="50" t="s">
        <v>466</v>
      </c>
    </row>
    <row r="216" spans="5:16">
      <c r="E216" s="1" t="s">
        <v>186</v>
      </c>
      <c r="F216" s="38">
        <v>-219</v>
      </c>
      <c r="G216" s="38">
        <v>-139</v>
      </c>
      <c r="P216" s="50" t="s">
        <v>466</v>
      </c>
    </row>
    <row r="217" spans="5:16">
      <c r="E217" s="1" t="s">
        <v>187</v>
      </c>
      <c r="F217" s="38">
        <v>-68373</v>
      </c>
      <c r="G217" s="38">
        <v>-69308</v>
      </c>
      <c r="P217" s="50" t="s">
        <v>466</v>
      </c>
    </row>
    <row r="218" spans="5:16">
      <c r="E218" s="1" t="s">
        <v>188</v>
      </c>
    </row>
    <row r="219" spans="5:16">
      <c r="E219" s="1" t="s">
        <v>189</v>
      </c>
    </row>
    <row r="220" spans="5:16" ht="25.5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 ht="25.5">
      <c r="E227" s="6" t="s">
        <v>195</v>
      </c>
      <c r="F227" s="7">
        <f>SUM(F212:F226)</f>
        <v>237092</v>
      </c>
      <c r="G227" s="7">
        <f t="shared" ref="G227:O227" si="25">IF(G4=$BF$1,"",SUM(G212:G226))</f>
        <v>219650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 ht="25.5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 ht="25.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 ht="25.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 ht="25.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 ht="25.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 ht="25.5">
      <c r="E274" s="1" t="s">
        <v>239</v>
      </c>
    </row>
    <row r="275" spans="5:8" ht="25.5" customHeight="1">
      <c r="E275" s="1" t="s">
        <v>240</v>
      </c>
      <c r="F275">
        <v>1014</v>
      </c>
      <c r="G275">
        <v>1094</v>
      </c>
      <c r="H275">
        <v>1075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  <c r="F279">
        <v>26063</v>
      </c>
      <c r="G279">
        <v>3475</v>
      </c>
      <c r="H279">
        <v>-7216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 ht="25.5">
      <c r="E284" s="1" t="s">
        <v>247</v>
      </c>
    </row>
    <row r="285" spans="5:8" ht="25.5">
      <c r="E285" s="1" t="s">
        <v>248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</row>
    <row r="289" spans="5:15" ht="25.5">
      <c r="E289" s="12" t="s">
        <v>252</v>
      </c>
    </row>
    <row r="290" spans="5:15" ht="25.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27077</v>
      </c>
      <c r="G296" s="7">
        <f>IF(G4=$BF$1,"",G271+G272+G273+G274+G275+G276+G277+G278+G279+G280+G281+G282+G283+G284+G285+G286+G287+G288+G289+G290+G291+G292+G293+G294+G295)</f>
        <v>4569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27077</v>
      </c>
      <c r="G297" s="7">
        <f t="shared" ref="G297:O297" si="27">IF(G4=$BF$1,"",MIN(F267,F268,F269)+F296)</f>
        <v>27077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 ht="25.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18648</v>
      </c>
      <c r="G299">
        <v>17180</v>
      </c>
      <c r="H299">
        <v>11367</v>
      </c>
    </row>
    <row r="300" spans="5:15" ht="25.5">
      <c r="E300" s="1" t="s">
        <v>262</v>
      </c>
    </row>
    <row r="301" spans="5:15" ht="25.5">
      <c r="E301" s="1" t="s">
        <v>263</v>
      </c>
      <c r="F301">
        <v>-902</v>
      </c>
      <c r="G301">
        <v>634</v>
      </c>
      <c r="H301">
        <v>3248</v>
      </c>
    </row>
    <row r="302" spans="5:15" ht="25.5" customHeight="1">
      <c r="E302" s="1" t="s">
        <v>264</v>
      </c>
    </row>
    <row r="303" spans="5:15" ht="25.5">
      <c r="E303" s="1" t="s">
        <v>265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  <c r="F312">
        <v>66</v>
      </c>
      <c r="G312">
        <v>63</v>
      </c>
      <c r="H312">
        <v>-72</v>
      </c>
    </row>
    <row r="313" spans="5:15" ht="25.5">
      <c r="E313" s="1" t="s">
        <v>273</v>
      </c>
    </row>
    <row r="314" spans="5:15" ht="25.5">
      <c r="E314" s="1" t="s">
        <v>274</v>
      </c>
    </row>
    <row r="315" spans="5:15" ht="25.5">
      <c r="E315" s="1" t="s">
        <v>275</v>
      </c>
    </row>
    <row r="316" spans="5:15">
      <c r="E316" s="1" t="s">
        <v>276</v>
      </c>
      <c r="F316">
        <v>-2203</v>
      </c>
      <c r="G316">
        <v>-6460</v>
      </c>
      <c r="H316">
        <v>-4279</v>
      </c>
    </row>
    <row r="317" spans="5:15">
      <c r="E317" s="1" t="s">
        <v>277</v>
      </c>
      <c r="F317">
        <v>-119</v>
      </c>
      <c r="G317">
        <v>-61</v>
      </c>
      <c r="H317">
        <v>264</v>
      </c>
    </row>
    <row r="318" spans="5:15" ht="25.5">
      <c r="E318" s="6" t="s">
        <v>278</v>
      </c>
      <c r="F318" s="7">
        <f>F299+F300+F301+F302+F303+F304+F305+F306+F307+F308+F309+F310+F311+F312+F313+F314+F315+F316+F317</f>
        <v>15490</v>
      </c>
      <c r="G318" s="7">
        <f>IF(G4=$BF$1,"",G299+G300+G301+G302+G303+G304+G305+G306+G307+G308+G309+G310+G311+G312+G313+G314+G315+G316+G317)</f>
        <v>11356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 ht="25.5">
      <c r="E319" s="6" t="s">
        <v>279</v>
      </c>
      <c r="F319" s="7">
        <f>F297+F318</f>
        <v>42567</v>
      </c>
      <c r="G319" s="7">
        <f t="shared" ref="G319:O319" si="28">IF(G4=$BF$1,"",G297+G318)</f>
        <v>38433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 ht="25.5">
      <c r="E321" s="1" t="s">
        <v>281</v>
      </c>
    </row>
    <row r="322" spans="5:15" ht="25.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42567</v>
      </c>
      <c r="G326" s="7">
        <f t="shared" ref="G326:O326" si="30">IF(G4=$BF$1,"",G325+G319)</f>
        <v>38433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 ht="25.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 ht="25.5">
      <c r="E328" s="1" t="s">
        <v>287</v>
      </c>
    </row>
    <row r="329" spans="5:15" ht="25.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  <c r="F331">
        <v>-106115</v>
      </c>
      <c r="G331">
        <v>-112092</v>
      </c>
      <c r="H331">
        <v>-80024</v>
      </c>
    </row>
    <row r="332" spans="5:15" ht="25.5">
      <c r="E332" s="12" t="s">
        <v>291</v>
      </c>
      <c r="F332">
        <v>2892</v>
      </c>
      <c r="G332">
        <v>8240</v>
      </c>
      <c r="H332">
        <v>21439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-103223</v>
      </c>
      <c r="G337" s="7">
        <f>IF(G4=$BF$1,"",SUM(G328:G336))</f>
        <v>-103852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 ht="25.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21660</v>
      </c>
      <c r="G339">
        <v>74446</v>
      </c>
      <c r="H339">
        <v>17883</v>
      </c>
    </row>
    <row r="340" spans="5:15">
      <c r="E340" s="1" t="s">
        <v>299</v>
      </c>
      <c r="F340">
        <v>118900</v>
      </c>
      <c r="G340">
        <v>138700</v>
      </c>
      <c r="H340">
        <v>103000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-101900</v>
      </c>
      <c r="G343">
        <v>-117000</v>
      </c>
      <c r="H343">
        <v>-159000</v>
      </c>
    </row>
    <row r="344" spans="5:15">
      <c r="E344" s="1" t="s">
        <v>303</v>
      </c>
    </row>
    <row r="345" spans="5:15" ht="25.5">
      <c r="E345" s="1" t="s">
        <v>304</v>
      </c>
    </row>
    <row r="346" spans="5:15" ht="25.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38660</v>
      </c>
      <c r="G352" s="7">
        <f>IF(G4=$BF$1,"",SUM(G339:G351))</f>
        <v>96146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-21996</v>
      </c>
      <c r="G353" s="7">
        <f t="shared" ref="G353:O353" si="33">IF(G4=$BF$1,"",G326+G337+G352)</f>
        <v>30727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-21996</v>
      </c>
      <c r="G355" s="7">
        <f t="shared" ref="G355:O355" si="34">IF(G4=$BF$1,"",G353+G354)</f>
        <v>30727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5012</v>
      </c>
      <c r="G356">
        <v>6152</v>
      </c>
      <c r="H356">
        <v>3808</v>
      </c>
    </row>
    <row r="357" spans="5:15" ht="25.5">
      <c r="E357" s="6" t="s">
        <v>316</v>
      </c>
      <c r="F357" s="7">
        <f>F355+F356</f>
        <v>-16984</v>
      </c>
      <c r="G357" s="7">
        <f t="shared" ref="G357:O357" si="35">IF(G4=$BF$1,"",G355+G356)</f>
        <v>36879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0.16180256416791985</v>
      </c>
      <c r="G364" s="24">
        <f t="shared" si="37"/>
        <v>41.140708915145005</v>
      </c>
      <c r="H364" s="24">
        <f t="shared" si="37"/>
        <v>-6.6768292682926829</v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0.12642706131078224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9.1969605860165088E-2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0.50652684232465284</v>
      </c>
      <c r="G370" s="27">
        <f t="shared" si="42"/>
        <v>0.54630030841383526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0.40911783418529651</v>
      </c>
      <c r="G371" s="28">
        <f t="shared" si="43"/>
        <v>0.42196620192185152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4.6677413218258461E-2</v>
      </c>
      <c r="G372" s="27">
        <f t="shared" si="44"/>
        <v>4.5249549007817198E-2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7.8653012332765337E-2</v>
      </c>
      <c r="G373" s="27">
        <f t="shared" si="45"/>
        <v>7.5369906669701794E-2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0.40654004425443296</v>
      </c>
      <c r="G376" s="30">
        <f t="shared" si="47"/>
        <v>0.39963373968184551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0.68503365782059289</v>
      </c>
      <c r="G377" s="30">
        <f t="shared" si="48"/>
        <v>0.66564989756430681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0.1554570233022381</v>
      </c>
      <c r="G382" s="32">
        <f t="shared" si="51"/>
        <v>0.24216518755630523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0.1554570233022381</v>
      </c>
      <c r="G383" s="32">
        <f t="shared" si="52"/>
        <v>0.24216518755630523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3.7832546354946449E-2</v>
      </c>
      <c r="G384" s="32">
        <f t="shared" si="53"/>
        <v>9.6068697168925271E-2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0.81705631694114933</v>
      </c>
      <c r="G385" s="32">
        <f t="shared" si="54"/>
        <v>0.73667363094439442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 ht="25.5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1971</v>
      </c>
      <c r="G418" s="17">
        <f>G130-G417</f>
        <v>5012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 ht="25.5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454</v>
      </c>
      <c r="B1" s="39" t="s">
        <v>455</v>
      </c>
      <c r="C1" s="39" t="s">
        <v>456</v>
      </c>
      <c r="D1" s="39" t="s">
        <v>457</v>
      </c>
      <c r="E1" s="39"/>
    </row>
    <row r="2" spans="1:5">
      <c r="A2" s="41" t="s">
        <v>461</v>
      </c>
      <c r="B2" s="42" t="s">
        <v>460</v>
      </c>
      <c r="C2" s="39">
        <v>1</v>
      </c>
      <c r="D2" s="39" t="s">
        <v>458</v>
      </c>
      <c r="E2" s="39"/>
    </row>
    <row r="3" spans="1:5">
      <c r="A3" s="41" t="s">
        <v>462</v>
      </c>
      <c r="B3" s="41" t="s">
        <v>460</v>
      </c>
      <c r="C3" s="39">
        <v>1</v>
      </c>
      <c r="D3" s="39" t="s">
        <v>458</v>
      </c>
    </row>
    <row r="4" spans="1:5">
      <c r="A4" s="42" t="s">
        <v>464</v>
      </c>
      <c r="B4" s="42" t="s">
        <v>465</v>
      </c>
      <c r="C4" s="39">
        <v>0</v>
      </c>
      <c r="D4" s="39" t="s">
        <v>458</v>
      </c>
    </row>
    <row r="5" spans="1:5">
      <c r="A5" s="41" t="s">
        <v>468</v>
      </c>
      <c r="B5" s="43" t="s">
        <v>467</v>
      </c>
      <c r="C5" s="39">
        <v>0</v>
      </c>
      <c r="D5" s="39" t="s">
        <v>458</v>
      </c>
    </row>
    <row r="6" spans="1:5">
      <c r="A6" s="43" t="s">
        <v>469</v>
      </c>
      <c r="B6" s="43" t="s">
        <v>467</v>
      </c>
      <c r="C6" s="39">
        <v>0</v>
      </c>
      <c r="D6" s="39" t="s">
        <v>458</v>
      </c>
    </row>
    <row r="7" spans="1:5">
      <c r="A7" s="41" t="s">
        <v>470</v>
      </c>
      <c r="B7" s="42" t="s">
        <v>467</v>
      </c>
      <c r="C7" s="39">
        <v>0</v>
      </c>
      <c r="D7" s="39" t="s">
        <v>458</v>
      </c>
    </row>
    <row r="8" spans="1:5">
      <c r="A8" s="41" t="s">
        <v>471</v>
      </c>
      <c r="B8" s="41" t="s">
        <v>467</v>
      </c>
      <c r="C8" s="39">
        <v>0</v>
      </c>
      <c r="D8" s="39" t="s">
        <v>458</v>
      </c>
    </row>
    <row r="9" spans="1:5">
      <c r="A9" s="44" t="s">
        <v>472</v>
      </c>
      <c r="B9" s="41" t="s">
        <v>467</v>
      </c>
      <c r="C9" s="39">
        <v>0</v>
      </c>
      <c r="D9" s="39" t="s">
        <v>458</v>
      </c>
    </row>
    <row r="10" spans="1:5">
      <c r="A10" t="s">
        <v>474</v>
      </c>
      <c r="B10" s="41" t="s">
        <v>33</v>
      </c>
      <c r="C10" s="39">
        <v>0</v>
      </c>
      <c r="D10" s="39" t="s">
        <v>458</v>
      </c>
    </row>
    <row r="11" spans="1:5">
      <c r="A11" t="s">
        <v>475</v>
      </c>
      <c r="B11" s="41" t="s">
        <v>33</v>
      </c>
      <c r="C11" s="39">
        <v>0</v>
      </c>
      <c r="D11" s="39" t="s">
        <v>458</v>
      </c>
    </row>
    <row r="12" spans="1:5">
      <c r="A12" t="s">
        <v>427</v>
      </c>
      <c r="B12" s="44" t="s">
        <v>513</v>
      </c>
      <c r="C12" s="39">
        <v>2</v>
      </c>
      <c r="D12" s="39" t="s">
        <v>458</v>
      </c>
    </row>
    <row r="13" spans="1:5">
      <c r="A13" s="44" t="s">
        <v>476</v>
      </c>
      <c r="B13" s="44" t="s">
        <v>54</v>
      </c>
      <c r="C13" s="39">
        <v>1</v>
      </c>
      <c r="D13" s="39" t="s">
        <v>458</v>
      </c>
    </row>
    <row r="14" spans="1:5">
      <c r="A14" s="45" t="s">
        <v>477</v>
      </c>
      <c r="B14" s="45" t="s">
        <v>480</v>
      </c>
      <c r="C14" s="39">
        <v>1</v>
      </c>
      <c r="D14" s="39" t="s">
        <v>458</v>
      </c>
    </row>
    <row r="15" spans="1:5">
      <c r="A15" s="45" t="s">
        <v>478</v>
      </c>
      <c r="B15" s="45" t="s">
        <v>54</v>
      </c>
      <c r="C15" s="39">
        <v>1</v>
      </c>
      <c r="D15" s="39" t="s">
        <v>458</v>
      </c>
    </row>
    <row r="16" spans="1:5" ht="25.5">
      <c r="A16" s="43" t="s">
        <v>479</v>
      </c>
      <c r="B16" s="43" t="s">
        <v>49</v>
      </c>
      <c r="C16" s="39">
        <v>1</v>
      </c>
      <c r="D16" s="39" t="s">
        <v>458</v>
      </c>
    </row>
    <row r="17" spans="1:4">
      <c r="A17" s="46" t="s">
        <v>482</v>
      </c>
      <c r="B17" s="47" t="s">
        <v>481</v>
      </c>
      <c r="C17" s="39">
        <v>1</v>
      </c>
      <c r="D17" s="39" t="s">
        <v>458</v>
      </c>
    </row>
    <row r="18" spans="1:4">
      <c r="A18" s="46" t="s">
        <v>484</v>
      </c>
      <c r="B18" s="43" t="s">
        <v>483</v>
      </c>
      <c r="C18" s="39">
        <v>1</v>
      </c>
      <c r="D18" s="39" t="s">
        <v>458</v>
      </c>
    </row>
    <row r="19" spans="1:4">
      <c r="A19" t="s">
        <v>486</v>
      </c>
      <c r="B19" s="46" t="s">
        <v>485</v>
      </c>
      <c r="C19" s="48">
        <v>1</v>
      </c>
      <c r="D19" s="39" t="s">
        <v>458</v>
      </c>
    </row>
    <row r="20" spans="1:4">
      <c r="A20" t="s">
        <v>487</v>
      </c>
      <c r="B20" s="43" t="s">
        <v>485</v>
      </c>
      <c r="C20" s="48">
        <v>1</v>
      </c>
      <c r="D20" s="39" t="s">
        <v>458</v>
      </c>
    </row>
    <row r="21" spans="1:4">
      <c r="A21" t="s">
        <v>488</v>
      </c>
      <c r="B21" s="49" t="s">
        <v>485</v>
      </c>
      <c r="C21" s="48">
        <v>1</v>
      </c>
      <c r="D21" s="39" t="s">
        <v>458</v>
      </c>
    </row>
    <row r="22" spans="1:4">
      <c r="A22" s="46" t="s">
        <v>490</v>
      </c>
      <c r="B22" s="49" t="s">
        <v>489</v>
      </c>
      <c r="C22" s="48">
        <v>1</v>
      </c>
      <c r="D22" s="39" t="s">
        <v>458</v>
      </c>
    </row>
    <row r="23" spans="1:4">
      <c r="A23" s="43" t="s">
        <v>491</v>
      </c>
      <c r="B23" s="49" t="s">
        <v>483</v>
      </c>
      <c r="C23" s="48">
        <v>1</v>
      </c>
      <c r="D23" s="39" t="s">
        <v>458</v>
      </c>
    </row>
    <row r="24" spans="1:4">
      <c r="A24" s="41" t="s">
        <v>492</v>
      </c>
      <c r="B24" s="41" t="s">
        <v>493</v>
      </c>
      <c r="C24" s="48">
        <v>1</v>
      </c>
      <c r="D24" s="39" t="s">
        <v>458</v>
      </c>
    </row>
    <row r="25" spans="1:4">
      <c r="A25" t="s">
        <v>495</v>
      </c>
      <c r="B25" s="49" t="s">
        <v>494</v>
      </c>
      <c r="C25" s="48">
        <v>1</v>
      </c>
      <c r="D25" s="39" t="s">
        <v>458</v>
      </c>
    </row>
    <row r="26" spans="1:4">
      <c r="A26" s="44" t="s">
        <v>496</v>
      </c>
      <c r="B26" s="49" t="s">
        <v>168</v>
      </c>
      <c r="C26" s="48">
        <v>1</v>
      </c>
      <c r="D26" s="39" t="s">
        <v>458</v>
      </c>
    </row>
    <row r="27" spans="1:4" ht="25.5">
      <c r="A27" s="44" t="s">
        <v>497</v>
      </c>
      <c r="B27" s="49" t="s">
        <v>161</v>
      </c>
      <c r="C27" s="48">
        <v>1</v>
      </c>
      <c r="D27" s="39" t="s">
        <v>458</v>
      </c>
    </row>
    <row r="28" spans="1:4" ht="25.5">
      <c r="A28" s="44" t="s">
        <v>498</v>
      </c>
      <c r="B28" s="49" t="s">
        <v>161</v>
      </c>
      <c r="C28" s="48">
        <v>1</v>
      </c>
      <c r="D28" s="39" t="s">
        <v>458</v>
      </c>
    </row>
    <row r="29" spans="1:4">
      <c r="A29" s="49" t="s">
        <v>499</v>
      </c>
      <c r="B29" s="49" t="s">
        <v>502</v>
      </c>
      <c r="C29" s="48">
        <v>1</v>
      </c>
      <c r="D29" s="39" t="s">
        <v>458</v>
      </c>
    </row>
    <row r="30" spans="1:4">
      <c r="A30" s="45" t="s">
        <v>500</v>
      </c>
      <c r="B30" s="49" t="s">
        <v>502</v>
      </c>
      <c r="C30" s="48">
        <v>1</v>
      </c>
      <c r="D30" s="39" t="s">
        <v>458</v>
      </c>
    </row>
    <row r="31" spans="1:4">
      <c r="A31" s="44" t="s">
        <v>501</v>
      </c>
      <c r="B31" s="49" t="s">
        <v>503</v>
      </c>
      <c r="C31" s="48">
        <v>1</v>
      </c>
      <c r="D31" s="39" t="s">
        <v>458</v>
      </c>
    </row>
    <row r="32" spans="1:4">
      <c r="A32" s="44" t="s">
        <v>505</v>
      </c>
      <c r="B32" s="49" t="s">
        <v>504</v>
      </c>
      <c r="C32" s="48">
        <v>1</v>
      </c>
      <c r="D32" s="39" t="s">
        <v>458</v>
      </c>
    </row>
    <row r="33" spans="1:4">
      <c r="A33" s="44" t="s">
        <v>506</v>
      </c>
      <c r="B33" s="49" t="s">
        <v>504</v>
      </c>
      <c r="C33" s="48">
        <v>1</v>
      </c>
      <c r="D33" s="39" t="s">
        <v>458</v>
      </c>
    </row>
    <row r="34" spans="1:4" ht="25.5">
      <c r="A34" t="s">
        <v>507</v>
      </c>
      <c r="B34" s="49" t="s">
        <v>185</v>
      </c>
      <c r="C34" s="48">
        <v>1</v>
      </c>
      <c r="D34" s="39" t="s">
        <v>458</v>
      </c>
    </row>
    <row r="35" spans="1:4" ht="25.5">
      <c r="A35" t="s">
        <v>508</v>
      </c>
      <c r="B35" s="49" t="s">
        <v>185</v>
      </c>
      <c r="C35" s="48">
        <v>1</v>
      </c>
      <c r="D35" s="39" t="s">
        <v>458</v>
      </c>
    </row>
    <row r="36" spans="1:4">
      <c r="A36" s="41" t="s">
        <v>509</v>
      </c>
      <c r="B36" s="49" t="s">
        <v>510</v>
      </c>
      <c r="C36" s="48">
        <v>1</v>
      </c>
      <c r="D36" s="39" t="s">
        <v>458</v>
      </c>
    </row>
    <row r="37" spans="1:4">
      <c r="A37" s="41" t="s">
        <v>512</v>
      </c>
      <c r="B37" s="41" t="s">
        <v>511</v>
      </c>
      <c r="C37" s="48">
        <v>1</v>
      </c>
      <c r="D37" s="39" t="s">
        <v>458</v>
      </c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>
      <selection activeCell="C11" sqref="C11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374</v>
      </c>
    </row>
    <row r="4" spans="1:7">
      <c r="A4" t="s">
        <v>375</v>
      </c>
      <c r="E4">
        <v>18648</v>
      </c>
      <c r="F4">
        <v>17180</v>
      </c>
      <c r="G4">
        <v>11367</v>
      </c>
    </row>
    <row r="5" spans="1:7">
      <c r="A5" t="s">
        <v>376</v>
      </c>
    </row>
    <row r="6" spans="1:7">
      <c r="A6" t="s">
        <v>377</v>
      </c>
    </row>
    <row r="7" spans="1:7">
      <c r="A7" t="s">
        <v>378</v>
      </c>
      <c r="B7" t="s">
        <v>84</v>
      </c>
      <c r="C7" t="s">
        <v>84</v>
      </c>
      <c r="E7">
        <v>-106115</v>
      </c>
      <c r="F7">
        <v>-112092</v>
      </c>
      <c r="G7">
        <v>-80024</v>
      </c>
    </row>
    <row r="8" spans="1:7">
      <c r="A8" t="s">
        <v>379</v>
      </c>
      <c r="E8">
        <v>64896</v>
      </c>
      <c r="F8">
        <v>75204</v>
      </c>
      <c r="G8">
        <v>99705</v>
      </c>
    </row>
    <row r="9" spans="1:7">
      <c r="A9" t="s">
        <v>380</v>
      </c>
      <c r="E9">
        <v>2892</v>
      </c>
      <c r="F9">
        <v>8240</v>
      </c>
      <c r="G9">
        <v>21439</v>
      </c>
    </row>
    <row r="10" spans="1:7">
      <c r="A10" t="s">
        <v>381</v>
      </c>
      <c r="B10" t="s">
        <v>103</v>
      </c>
      <c r="C10" t="s">
        <v>103</v>
      </c>
      <c r="D10" t="s">
        <v>80</v>
      </c>
      <c r="E10">
        <v>-4060</v>
      </c>
      <c r="F10">
        <v>-4729</v>
      </c>
      <c r="G10">
        <v>-5002</v>
      </c>
    </row>
    <row r="11" spans="1:7">
      <c r="A11" t="s">
        <v>382</v>
      </c>
      <c r="E11">
        <v>-119</v>
      </c>
      <c r="F11">
        <v>268</v>
      </c>
      <c r="G11">
        <v>-70</v>
      </c>
    </row>
    <row r="12" spans="1:7">
      <c r="A12" t="s">
        <v>383</v>
      </c>
      <c r="G12">
        <v>-388</v>
      </c>
    </row>
    <row r="13" spans="1:7">
      <c r="A13" t="s">
        <v>384</v>
      </c>
      <c r="E13">
        <v>26063</v>
      </c>
      <c r="F13">
        <v>3475</v>
      </c>
      <c r="G13">
        <v>-7216</v>
      </c>
    </row>
    <row r="14" spans="1:7">
      <c r="A14" t="s">
        <v>385</v>
      </c>
      <c r="E14">
        <v>-21641</v>
      </c>
      <c r="F14">
        <v>-625</v>
      </c>
      <c r="G14">
        <v>15333</v>
      </c>
    </row>
    <row r="15" spans="1:7">
      <c r="A15" t="s">
        <v>386</v>
      </c>
      <c r="F15">
        <v>1288</v>
      </c>
      <c r="G15">
        <v>64</v>
      </c>
    </row>
    <row r="16" spans="1:7">
      <c r="A16" t="s">
        <v>387</v>
      </c>
      <c r="E16">
        <v>-115</v>
      </c>
      <c r="F16">
        <v>115</v>
      </c>
      <c r="G16">
        <v>-62</v>
      </c>
    </row>
    <row r="17" spans="1:7">
      <c r="A17" t="s">
        <v>388</v>
      </c>
    </row>
    <row r="18" spans="1:7">
      <c r="A18" t="s">
        <v>389</v>
      </c>
      <c r="E18">
        <v>225</v>
      </c>
      <c r="F18">
        <v>148</v>
      </c>
      <c r="G18">
        <v>-123</v>
      </c>
    </row>
    <row r="19" spans="1:7">
      <c r="A19" t="s">
        <v>390</v>
      </c>
      <c r="E19">
        <v>-902</v>
      </c>
      <c r="F19">
        <v>634</v>
      </c>
      <c r="G19">
        <v>3248</v>
      </c>
    </row>
    <row r="20" spans="1:7">
      <c r="A20" t="s">
        <v>391</v>
      </c>
      <c r="E20">
        <v>279</v>
      </c>
      <c r="F20">
        <v>-922</v>
      </c>
      <c r="G20">
        <v>-978</v>
      </c>
    </row>
    <row r="21" spans="1:7">
      <c r="A21" t="s">
        <v>392</v>
      </c>
      <c r="E21">
        <v>1014</v>
      </c>
      <c r="F21">
        <v>1094</v>
      </c>
      <c r="G21">
        <v>1075</v>
      </c>
    </row>
    <row r="22" spans="1:7">
      <c r="A22" t="s">
        <v>393</v>
      </c>
      <c r="E22">
        <v>1857</v>
      </c>
      <c r="F22">
        <v>-1731</v>
      </c>
      <c r="G22">
        <v>723</v>
      </c>
    </row>
    <row r="23" spans="1:7">
      <c r="A23" t="s">
        <v>394</v>
      </c>
      <c r="B23" t="s">
        <v>395</v>
      </c>
      <c r="C23" t="s">
        <v>161</v>
      </c>
      <c r="D23" t="s">
        <v>141</v>
      </c>
      <c r="E23">
        <v>-232</v>
      </c>
      <c r="F23">
        <v>-497</v>
      </c>
      <c r="G23">
        <v>422</v>
      </c>
    </row>
    <row r="24" spans="1:7">
      <c r="A24" t="s">
        <v>396</v>
      </c>
      <c r="E24">
        <v>66</v>
      </c>
      <c r="F24">
        <v>63</v>
      </c>
      <c r="G24">
        <v>-72</v>
      </c>
    </row>
    <row r="25" spans="1:7">
      <c r="A25" t="s">
        <v>397</v>
      </c>
      <c r="E25">
        <v>-208</v>
      </c>
      <c r="F25">
        <v>70</v>
      </c>
      <c r="G25">
        <v>318</v>
      </c>
    </row>
    <row r="26" spans="1:7">
      <c r="A26" t="s">
        <v>398</v>
      </c>
      <c r="E26">
        <v>73</v>
      </c>
      <c r="F26">
        <v>-38</v>
      </c>
      <c r="G26">
        <v>32</v>
      </c>
    </row>
    <row r="27" spans="1:7">
      <c r="A27" t="s">
        <v>399</v>
      </c>
      <c r="E27">
        <v>-192</v>
      </c>
      <c r="F27">
        <v>-23</v>
      </c>
      <c r="G27">
        <v>232</v>
      </c>
    </row>
    <row r="28" spans="1:7">
      <c r="A28" t="s">
        <v>400</v>
      </c>
      <c r="E28">
        <v>-17571</v>
      </c>
      <c r="F28">
        <v>-12878</v>
      </c>
      <c r="G28">
        <v>60023</v>
      </c>
    </row>
    <row r="29" spans="1:7">
      <c r="A29" t="s">
        <v>401</v>
      </c>
    </row>
    <row r="30" spans="1:7">
      <c r="A30" t="s">
        <v>299</v>
      </c>
      <c r="E30">
        <v>118900</v>
      </c>
      <c r="F30">
        <v>138700</v>
      </c>
      <c r="G30">
        <v>103000</v>
      </c>
    </row>
    <row r="31" spans="1:7">
      <c r="A31" t="s">
        <v>402</v>
      </c>
      <c r="B31" t="s">
        <v>403</v>
      </c>
      <c r="C31" t="s">
        <v>147</v>
      </c>
      <c r="E31">
        <v>-101900</v>
      </c>
      <c r="F31">
        <v>-117000</v>
      </c>
      <c r="G31">
        <v>-159000</v>
      </c>
    </row>
    <row r="32" spans="1:7">
      <c r="A32" t="s">
        <v>404</v>
      </c>
      <c r="F32">
        <v>51750</v>
      </c>
    </row>
    <row r="33" spans="1:7">
      <c r="A33" t="s">
        <v>405</v>
      </c>
      <c r="F33">
        <v>-61000</v>
      </c>
    </row>
    <row r="34" spans="1:7">
      <c r="A34" t="s">
        <v>406</v>
      </c>
      <c r="B34" t="s">
        <v>182</v>
      </c>
      <c r="C34" t="s">
        <v>182</v>
      </c>
      <c r="D34" t="s">
        <v>181</v>
      </c>
      <c r="G34">
        <v>-572</v>
      </c>
    </row>
    <row r="35" spans="1:7">
      <c r="A35" t="s">
        <v>407</v>
      </c>
      <c r="E35">
        <v>-1329</v>
      </c>
      <c r="F35">
        <v>-1975</v>
      </c>
      <c r="G35">
        <v>-75</v>
      </c>
    </row>
    <row r="36" spans="1:7">
      <c r="A36" t="s">
        <v>408</v>
      </c>
      <c r="E36">
        <v>21991</v>
      </c>
      <c r="F36">
        <v>23695</v>
      </c>
      <c r="G36">
        <v>19665</v>
      </c>
    </row>
    <row r="37" spans="1:7">
      <c r="A37" t="s">
        <v>409</v>
      </c>
      <c r="E37">
        <v>-331</v>
      </c>
      <c r="F37">
        <v>-999</v>
      </c>
      <c r="G37">
        <v>-1210</v>
      </c>
    </row>
    <row r="38" spans="1:7">
      <c r="A38" t="s">
        <v>410</v>
      </c>
      <c r="E38">
        <v>-22801</v>
      </c>
      <c r="F38">
        <v>-21433</v>
      </c>
      <c r="G38">
        <v>-19487</v>
      </c>
    </row>
    <row r="39" spans="1:7">
      <c r="A39" t="s">
        <v>411</v>
      </c>
      <c r="E39">
        <v>14530</v>
      </c>
      <c r="F39">
        <v>11738</v>
      </c>
      <c r="G39">
        <v>-57679</v>
      </c>
    </row>
    <row r="40" spans="1:7">
      <c r="A40" t="s">
        <v>412</v>
      </c>
      <c r="E40">
        <v>-3041</v>
      </c>
      <c r="F40">
        <v>-1140</v>
      </c>
      <c r="G40">
        <v>2344</v>
      </c>
    </row>
    <row r="41" spans="1:7">
      <c r="A41" t="s">
        <v>413</v>
      </c>
      <c r="E41">
        <v>5012</v>
      </c>
      <c r="F41">
        <v>6152</v>
      </c>
      <c r="G41">
        <v>3808</v>
      </c>
    </row>
    <row r="42" spans="1:7">
      <c r="A42" t="s">
        <v>414</v>
      </c>
      <c r="B42" t="s">
        <v>117</v>
      </c>
      <c r="C42" t="s">
        <v>117</v>
      </c>
      <c r="D42" t="s">
        <v>116</v>
      </c>
      <c r="E42">
        <v>1971</v>
      </c>
      <c r="F42">
        <v>5012</v>
      </c>
      <c r="G42">
        <v>6152</v>
      </c>
    </row>
    <row r="43" spans="1:7">
      <c r="A43" t="s">
        <v>415</v>
      </c>
      <c r="E43">
        <v>5792</v>
      </c>
      <c r="F43">
        <v>3010</v>
      </c>
      <c r="G43">
        <v>2971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2.75"/>
  <cols>
    <col min="1" max="4" width="25.7109375" customWidth="1"/>
  </cols>
  <sheetData>
    <row r="1" spans="1:8">
      <c r="F1">
        <v>30</v>
      </c>
    </row>
    <row r="2" spans="1:8">
      <c r="E2">
        <v>2018</v>
      </c>
      <c r="F2">
        <v>2017</v>
      </c>
    </row>
    <row r="3" spans="1:8">
      <c r="A3" t="s">
        <v>416</v>
      </c>
      <c r="B3" t="s">
        <v>54</v>
      </c>
      <c r="C3" t="s">
        <v>54</v>
      </c>
      <c r="D3" t="s">
        <v>417</v>
      </c>
    </row>
    <row r="4" spans="1:8">
      <c r="A4" t="s">
        <v>418</v>
      </c>
      <c r="B4" t="s">
        <v>54</v>
      </c>
      <c r="C4" t="s">
        <v>54</v>
      </c>
      <c r="D4" t="s">
        <v>417</v>
      </c>
      <c r="E4">
        <v>43958</v>
      </c>
      <c r="F4">
        <v>37073</v>
      </c>
      <c r="G4">
        <v>6885</v>
      </c>
      <c r="H4">
        <v>186</v>
      </c>
    </row>
    <row r="5" spans="1:8">
      <c r="A5" t="s">
        <v>419</v>
      </c>
      <c r="B5" t="s">
        <v>417</v>
      </c>
      <c r="C5" t="s">
        <v>26</v>
      </c>
      <c r="D5" t="s">
        <v>417</v>
      </c>
      <c r="E5">
        <v>1623</v>
      </c>
      <c r="F5">
        <v>2160</v>
      </c>
      <c r="G5">
        <v>-537</v>
      </c>
      <c r="H5">
        <v>-249</v>
      </c>
    </row>
    <row r="6" spans="1:8">
      <c r="A6" t="s">
        <v>420</v>
      </c>
      <c r="B6" t="s">
        <v>54</v>
      </c>
      <c r="C6" t="s">
        <v>54</v>
      </c>
      <c r="D6" t="s">
        <v>417</v>
      </c>
      <c r="E6">
        <v>45581</v>
      </c>
      <c r="F6">
        <v>39233</v>
      </c>
      <c r="G6">
        <v>6348</v>
      </c>
      <c r="H6">
        <v>162</v>
      </c>
    </row>
    <row r="7" spans="1:8">
      <c r="A7" t="s">
        <v>421</v>
      </c>
      <c r="B7" t="s">
        <v>41</v>
      </c>
      <c r="C7" t="s">
        <v>41</v>
      </c>
      <c r="D7" t="s">
        <v>417</v>
      </c>
    </row>
    <row r="8" spans="1:8">
      <c r="A8" t="s">
        <v>422</v>
      </c>
      <c r="D8" t="s">
        <v>417</v>
      </c>
      <c r="E8">
        <v>7033</v>
      </c>
      <c r="F8">
        <v>5781</v>
      </c>
      <c r="G8">
        <v>1252</v>
      </c>
      <c r="H8">
        <v>217</v>
      </c>
    </row>
    <row r="9" spans="1:8">
      <c r="A9" t="s">
        <v>423</v>
      </c>
      <c r="D9" t="s">
        <v>417</v>
      </c>
      <c r="E9">
        <v>5042</v>
      </c>
      <c r="F9">
        <v>4146</v>
      </c>
      <c r="G9">
        <v>896</v>
      </c>
      <c r="H9">
        <v>216</v>
      </c>
    </row>
    <row r="10" spans="1:8">
      <c r="A10" t="s">
        <v>424</v>
      </c>
      <c r="D10" t="s">
        <v>417</v>
      </c>
      <c r="E10">
        <v>5348</v>
      </c>
      <c r="F10">
        <v>4779</v>
      </c>
      <c r="G10">
        <v>569</v>
      </c>
      <c r="H10">
        <v>119</v>
      </c>
    </row>
    <row r="11" spans="1:8">
      <c r="A11" t="s">
        <v>425</v>
      </c>
      <c r="B11" t="s">
        <v>36</v>
      </c>
      <c r="C11" t="s">
        <v>36</v>
      </c>
      <c r="D11" t="s">
        <v>417</v>
      </c>
      <c r="E11">
        <v>-1250</v>
      </c>
      <c r="F11">
        <v>-1102</v>
      </c>
      <c r="G11">
        <v>148</v>
      </c>
      <c r="H11">
        <v>134</v>
      </c>
    </row>
    <row r="12" spans="1:8">
      <c r="A12" t="s">
        <v>426</v>
      </c>
      <c r="D12" t="s">
        <v>417</v>
      </c>
      <c r="E12">
        <v>5858</v>
      </c>
      <c r="F12">
        <v>3073</v>
      </c>
      <c r="G12">
        <v>2785</v>
      </c>
      <c r="H12">
        <v>906</v>
      </c>
    </row>
    <row r="13" spans="1:8">
      <c r="A13" t="s">
        <v>427</v>
      </c>
      <c r="D13" t="s">
        <v>417</v>
      </c>
      <c r="E13">
        <v>3105</v>
      </c>
      <c r="F13">
        <v>4152</v>
      </c>
      <c r="G13">
        <v>-1047</v>
      </c>
      <c r="H13">
        <v>-252</v>
      </c>
    </row>
    <row r="14" spans="1:8">
      <c r="A14" t="s">
        <v>392</v>
      </c>
      <c r="B14" t="s">
        <v>428</v>
      </c>
      <c r="C14" t="s">
        <v>43</v>
      </c>
      <c r="D14" t="s">
        <v>417</v>
      </c>
      <c r="E14">
        <v>1014</v>
      </c>
      <c r="F14">
        <v>1094</v>
      </c>
      <c r="G14">
        <v>-80</v>
      </c>
      <c r="H14">
        <v>-73</v>
      </c>
    </row>
    <row r="15" spans="1:8">
      <c r="A15" t="s">
        <v>429</v>
      </c>
      <c r="B15" t="s">
        <v>430</v>
      </c>
      <c r="C15" t="s">
        <v>58</v>
      </c>
      <c r="D15" t="s">
        <v>417</v>
      </c>
      <c r="E15">
        <v>1966</v>
      </c>
      <c r="F15">
        <v>1945</v>
      </c>
      <c r="G15">
        <v>21</v>
      </c>
      <c r="H15">
        <v>11</v>
      </c>
    </row>
    <row r="16" spans="1:8">
      <c r="A16" t="s">
        <v>431</v>
      </c>
      <c r="D16" t="s">
        <v>417</v>
      </c>
      <c r="E16">
        <v>30616</v>
      </c>
      <c r="F16">
        <v>26072</v>
      </c>
      <c r="G16">
        <v>4544</v>
      </c>
      <c r="H16">
        <v>174</v>
      </c>
    </row>
    <row r="17" spans="1:8">
      <c r="A17" t="s">
        <v>432</v>
      </c>
      <c r="D17" t="s">
        <v>417</v>
      </c>
      <c r="E17">
        <v>-5042</v>
      </c>
      <c r="F17">
        <v>-4146</v>
      </c>
      <c r="G17">
        <v>-896</v>
      </c>
      <c r="H17">
        <v>216</v>
      </c>
    </row>
    <row r="18" spans="1:8">
      <c r="A18" t="s">
        <v>433</v>
      </c>
      <c r="D18" t="s">
        <v>417</v>
      </c>
      <c r="E18">
        <v>-3081</v>
      </c>
      <c r="F18">
        <v>-4126</v>
      </c>
      <c r="G18">
        <v>1045</v>
      </c>
      <c r="H18">
        <v>-253</v>
      </c>
    </row>
    <row r="19" spans="1:8">
      <c r="A19" t="s">
        <v>434</v>
      </c>
      <c r="B19" t="s">
        <v>45</v>
      </c>
      <c r="C19" t="s">
        <v>45</v>
      </c>
      <c r="D19" t="s">
        <v>417</v>
      </c>
      <c r="E19">
        <v>22493</v>
      </c>
      <c r="F19">
        <v>17800</v>
      </c>
      <c r="G19">
        <v>4693</v>
      </c>
      <c r="H19">
        <v>264</v>
      </c>
    </row>
    <row r="20" spans="1:8">
      <c r="A20" t="s">
        <v>435</v>
      </c>
      <c r="B20" t="s">
        <v>54</v>
      </c>
      <c r="C20" t="s">
        <v>54</v>
      </c>
      <c r="D20" t="s">
        <v>417</v>
      </c>
      <c r="E20">
        <v>23088</v>
      </c>
      <c r="F20">
        <v>21433</v>
      </c>
      <c r="G20">
        <v>1655</v>
      </c>
      <c r="H20">
        <v>77</v>
      </c>
    </row>
    <row r="21" spans="1:8">
      <c r="A21" t="s">
        <v>436</v>
      </c>
      <c r="D21" t="s">
        <v>417</v>
      </c>
    </row>
    <row r="22" spans="1:8">
      <c r="A22" t="s">
        <v>437</v>
      </c>
      <c r="B22" t="s">
        <v>438</v>
      </c>
      <c r="C22" t="s">
        <v>47</v>
      </c>
      <c r="D22" t="s">
        <v>417</v>
      </c>
      <c r="E22">
        <v>-26063</v>
      </c>
      <c r="F22">
        <v>-3475</v>
      </c>
      <c r="G22">
        <v>-22588</v>
      </c>
      <c r="H22">
        <v>6500</v>
      </c>
    </row>
    <row r="23" spans="1:8">
      <c r="A23" t="s">
        <v>386</v>
      </c>
      <c r="D23" t="s">
        <v>417</v>
      </c>
      <c r="E23">
        <v>-133</v>
      </c>
      <c r="F23">
        <v>-1288</v>
      </c>
      <c r="G23">
        <v>1155</v>
      </c>
      <c r="H23">
        <v>-897</v>
      </c>
    </row>
    <row r="24" spans="1:8">
      <c r="A24" t="s">
        <v>439</v>
      </c>
      <c r="B24" t="s">
        <v>438</v>
      </c>
      <c r="C24" t="s">
        <v>47</v>
      </c>
      <c r="D24" t="s">
        <v>417</v>
      </c>
      <c r="E24">
        <v>21641</v>
      </c>
      <c r="F24">
        <v>625</v>
      </c>
      <c r="G24">
        <v>21016</v>
      </c>
      <c r="H24">
        <v>33626</v>
      </c>
    </row>
    <row r="25" spans="1:8">
      <c r="A25" t="s">
        <v>440</v>
      </c>
      <c r="D25" t="s">
        <v>417</v>
      </c>
      <c r="E25">
        <v>115</v>
      </c>
      <c r="F25">
        <v>-115</v>
      </c>
      <c r="G25">
        <v>230</v>
      </c>
      <c r="H25">
        <v>-2000</v>
      </c>
    </row>
    <row r="26" spans="1:8">
      <c r="A26" t="s">
        <v>441</v>
      </c>
      <c r="B26" t="s">
        <v>56</v>
      </c>
      <c r="C26" t="s">
        <v>56</v>
      </c>
      <c r="D26" t="s">
        <v>417</v>
      </c>
      <c r="E26">
        <v>-4440</v>
      </c>
      <c r="F26">
        <v>-4253</v>
      </c>
      <c r="G26">
        <v>-187</v>
      </c>
      <c r="H26">
        <v>44</v>
      </c>
    </row>
    <row r="27" spans="1:8">
      <c r="A27" t="s">
        <v>442</v>
      </c>
      <c r="D27" t="s">
        <v>417</v>
      </c>
    </row>
    <row r="28" spans="1:8">
      <c r="A28" t="s">
        <v>443</v>
      </c>
      <c r="B28" t="s">
        <v>417</v>
      </c>
      <c r="C28" t="s">
        <v>26</v>
      </c>
      <c r="D28" t="s">
        <v>417</v>
      </c>
      <c r="E28">
        <v>18648</v>
      </c>
      <c r="F28">
        <v>17180</v>
      </c>
      <c r="G28">
        <v>1468</v>
      </c>
      <c r="H28">
        <v>85</v>
      </c>
    </row>
    <row r="29" spans="1:8">
      <c r="A29" t="s">
        <v>444</v>
      </c>
      <c r="D29" t="s">
        <v>417</v>
      </c>
    </row>
    <row r="30" spans="1:8">
      <c r="A30" t="s">
        <v>445</v>
      </c>
      <c r="B30" t="s">
        <v>54</v>
      </c>
      <c r="C30" t="s">
        <v>54</v>
      </c>
      <c r="D30" t="s">
        <v>417</v>
      </c>
      <c r="E30">
        <v>85</v>
      </c>
      <c r="F30">
        <v>84</v>
      </c>
      <c r="G30">
        <v>1</v>
      </c>
      <c r="H30">
        <v>12</v>
      </c>
    </row>
    <row r="31" spans="1:8">
      <c r="A31" t="s">
        <v>375</v>
      </c>
      <c r="D31" t="s">
        <v>417</v>
      </c>
      <c r="E31">
        <v>69</v>
      </c>
      <c r="F31">
        <v>67</v>
      </c>
      <c r="G31">
        <v>2</v>
      </c>
      <c r="H31">
        <v>30</v>
      </c>
    </row>
    <row r="32" spans="1:8">
      <c r="A32" t="s">
        <v>446</v>
      </c>
      <c r="B32" t="s">
        <v>54</v>
      </c>
      <c r="C32" t="s">
        <v>54</v>
      </c>
      <c r="D32" t="s">
        <v>417</v>
      </c>
    </row>
    <row r="33" spans="1:4">
      <c r="A33" t="s">
        <v>447</v>
      </c>
      <c r="D33" t="s">
        <v>417</v>
      </c>
    </row>
    <row r="34" spans="1:4">
      <c r="A34" t="s">
        <v>448</v>
      </c>
      <c r="D34" t="s">
        <v>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374</v>
      </c>
      <c r="B3" t="s">
        <v>231</v>
      </c>
      <c r="C3" t="s">
        <v>231</v>
      </c>
      <c r="D3" t="s">
        <v>449</v>
      </c>
    </row>
    <row r="4" spans="1:7">
      <c r="A4" t="s">
        <v>375</v>
      </c>
      <c r="B4" t="s">
        <v>261</v>
      </c>
      <c r="C4" t="s">
        <v>261</v>
      </c>
      <c r="D4" t="s">
        <v>449</v>
      </c>
      <c r="E4">
        <v>18648</v>
      </c>
      <c r="F4">
        <v>17180</v>
      </c>
      <c r="G4">
        <v>11367</v>
      </c>
    </row>
    <row r="5" spans="1:7">
      <c r="A5" t="s">
        <v>376</v>
      </c>
    </row>
    <row r="6" spans="1:7">
      <c r="A6" t="s">
        <v>377</v>
      </c>
      <c r="B6" t="s">
        <v>231</v>
      </c>
      <c r="C6" t="s">
        <v>231</v>
      </c>
      <c r="D6" t="s">
        <v>449</v>
      </c>
    </row>
    <row r="7" spans="1:7">
      <c r="A7" t="s">
        <v>378</v>
      </c>
      <c r="B7" t="s">
        <v>290</v>
      </c>
      <c r="C7" t="s">
        <v>290</v>
      </c>
      <c r="D7" t="s">
        <v>450</v>
      </c>
      <c r="E7">
        <v>-106115</v>
      </c>
      <c r="F7">
        <v>-112092</v>
      </c>
      <c r="G7">
        <v>-80024</v>
      </c>
    </row>
    <row r="8" spans="1:7">
      <c r="A8" t="s">
        <v>379</v>
      </c>
      <c r="D8" t="s">
        <v>450</v>
      </c>
      <c r="E8">
        <v>64896</v>
      </c>
      <c r="F8">
        <v>75204</v>
      </c>
      <c r="G8">
        <v>99705</v>
      </c>
    </row>
    <row r="9" spans="1:7">
      <c r="A9" t="s">
        <v>380</v>
      </c>
      <c r="B9" t="s">
        <v>291</v>
      </c>
      <c r="C9" t="s">
        <v>291</v>
      </c>
      <c r="D9" t="s">
        <v>450</v>
      </c>
      <c r="E9">
        <v>2892</v>
      </c>
      <c r="F9">
        <v>8240</v>
      </c>
      <c r="G9">
        <v>21439</v>
      </c>
    </row>
    <row r="10" spans="1:7">
      <c r="A10" t="s">
        <v>381</v>
      </c>
      <c r="B10" t="s">
        <v>276</v>
      </c>
      <c r="C10" t="s">
        <v>276</v>
      </c>
      <c r="D10" t="s">
        <v>449</v>
      </c>
      <c r="E10">
        <v>-4060</v>
      </c>
      <c r="F10">
        <v>-4729</v>
      </c>
      <c r="G10">
        <v>-5002</v>
      </c>
    </row>
    <row r="11" spans="1:7">
      <c r="A11" t="s">
        <v>382</v>
      </c>
      <c r="B11" t="s">
        <v>240</v>
      </c>
      <c r="C11" t="s">
        <v>240</v>
      </c>
      <c r="D11" t="s">
        <v>450</v>
      </c>
      <c r="E11">
        <v>-119</v>
      </c>
      <c r="F11">
        <v>268</v>
      </c>
      <c r="G11">
        <v>-70</v>
      </c>
    </row>
    <row r="12" spans="1:7">
      <c r="A12" t="s">
        <v>383</v>
      </c>
      <c r="D12" t="s">
        <v>450</v>
      </c>
      <c r="G12">
        <v>-388</v>
      </c>
    </row>
    <row r="13" spans="1:7">
      <c r="A13" t="s">
        <v>384</v>
      </c>
      <c r="B13" t="s">
        <v>244</v>
      </c>
      <c r="C13" t="s">
        <v>244</v>
      </c>
      <c r="D13" t="s">
        <v>449</v>
      </c>
      <c r="E13">
        <v>26063</v>
      </c>
      <c r="F13">
        <v>3475</v>
      </c>
      <c r="G13">
        <v>-7216</v>
      </c>
    </row>
    <row r="14" spans="1:7">
      <c r="A14" t="s">
        <v>385</v>
      </c>
      <c r="D14" t="s">
        <v>450</v>
      </c>
      <c r="E14">
        <v>-21641</v>
      </c>
      <c r="F14">
        <v>-625</v>
      </c>
      <c r="G14">
        <v>15333</v>
      </c>
    </row>
    <row r="15" spans="1:7">
      <c r="A15" t="s">
        <v>386</v>
      </c>
      <c r="D15" t="s">
        <v>450</v>
      </c>
      <c r="F15">
        <v>1288</v>
      </c>
      <c r="G15">
        <v>64</v>
      </c>
    </row>
    <row r="16" spans="1:7">
      <c r="A16" t="s">
        <v>387</v>
      </c>
      <c r="D16" t="s">
        <v>450</v>
      </c>
      <c r="E16">
        <v>-115</v>
      </c>
      <c r="F16">
        <v>115</v>
      </c>
      <c r="G16">
        <v>-62</v>
      </c>
    </row>
    <row r="17" spans="1:7">
      <c r="A17" t="s">
        <v>388</v>
      </c>
      <c r="D17" t="s">
        <v>450</v>
      </c>
    </row>
    <row r="18" spans="1:7">
      <c r="A18" t="s">
        <v>389</v>
      </c>
      <c r="B18" t="s">
        <v>451</v>
      </c>
      <c r="C18" t="s">
        <v>312</v>
      </c>
      <c r="D18" t="s">
        <v>452</v>
      </c>
      <c r="E18">
        <v>225</v>
      </c>
      <c r="F18">
        <v>148</v>
      </c>
      <c r="G18">
        <v>-123</v>
      </c>
    </row>
    <row r="19" spans="1:7">
      <c r="A19" t="s">
        <v>390</v>
      </c>
      <c r="B19" t="s">
        <v>263</v>
      </c>
      <c r="C19" t="s">
        <v>263</v>
      </c>
      <c r="D19" t="s">
        <v>449</v>
      </c>
      <c r="E19">
        <v>-902</v>
      </c>
      <c r="F19">
        <v>634</v>
      </c>
      <c r="G19">
        <v>3248</v>
      </c>
    </row>
    <row r="20" spans="1:7">
      <c r="A20" t="s">
        <v>391</v>
      </c>
      <c r="D20" t="s">
        <v>449</v>
      </c>
      <c r="E20">
        <v>279</v>
      </c>
      <c r="F20">
        <v>-922</v>
      </c>
      <c r="G20">
        <v>-978</v>
      </c>
    </row>
    <row r="21" spans="1:7">
      <c r="A21" t="s">
        <v>392</v>
      </c>
      <c r="B21" t="s">
        <v>240</v>
      </c>
      <c r="C21" t="s">
        <v>240</v>
      </c>
      <c r="D21" t="s">
        <v>449</v>
      </c>
      <c r="E21">
        <v>1014</v>
      </c>
      <c r="F21">
        <v>1094</v>
      </c>
      <c r="G21">
        <v>1075</v>
      </c>
    </row>
    <row r="22" spans="1:7">
      <c r="A22" t="s">
        <v>393</v>
      </c>
      <c r="B22" t="s">
        <v>276</v>
      </c>
      <c r="C22" t="s">
        <v>276</v>
      </c>
      <c r="D22" t="s">
        <v>449</v>
      </c>
      <c r="E22">
        <v>1857</v>
      </c>
      <c r="F22">
        <v>-1731</v>
      </c>
      <c r="G22">
        <v>723</v>
      </c>
    </row>
    <row r="23" spans="1:7">
      <c r="A23" t="s">
        <v>394</v>
      </c>
      <c r="D23" t="s">
        <v>449</v>
      </c>
      <c r="E23">
        <v>-232</v>
      </c>
      <c r="F23">
        <v>-497</v>
      </c>
      <c r="G23">
        <v>422</v>
      </c>
    </row>
    <row r="24" spans="1:7">
      <c r="A24" t="s">
        <v>396</v>
      </c>
      <c r="B24" t="s">
        <v>272</v>
      </c>
      <c r="C24" t="s">
        <v>272</v>
      </c>
      <c r="D24" t="s">
        <v>449</v>
      </c>
      <c r="E24">
        <v>66</v>
      </c>
      <c r="F24">
        <v>63</v>
      </c>
      <c r="G24">
        <v>-72</v>
      </c>
    </row>
    <row r="25" spans="1:7">
      <c r="A25" t="s">
        <v>397</v>
      </c>
      <c r="D25" t="s">
        <v>449</v>
      </c>
      <c r="E25">
        <v>-208</v>
      </c>
      <c r="F25">
        <v>70</v>
      </c>
      <c r="G25">
        <v>318</v>
      </c>
    </row>
    <row r="26" spans="1:7">
      <c r="A26" t="s">
        <v>398</v>
      </c>
      <c r="B26" t="s">
        <v>277</v>
      </c>
      <c r="C26" t="s">
        <v>277</v>
      </c>
      <c r="D26" t="s">
        <v>449</v>
      </c>
      <c r="E26">
        <v>73</v>
      </c>
      <c r="F26">
        <v>-38</v>
      </c>
      <c r="G26">
        <v>32</v>
      </c>
    </row>
    <row r="27" spans="1:7">
      <c r="A27" t="s">
        <v>399</v>
      </c>
      <c r="B27" t="s">
        <v>277</v>
      </c>
      <c r="C27" t="s">
        <v>277</v>
      </c>
      <c r="D27" t="s">
        <v>449</v>
      </c>
      <c r="E27">
        <v>-192</v>
      </c>
      <c r="F27">
        <v>-23</v>
      </c>
      <c r="G27">
        <v>232</v>
      </c>
    </row>
    <row r="28" spans="1:7">
      <c r="A28" t="s">
        <v>400</v>
      </c>
      <c r="B28" t="s">
        <v>285</v>
      </c>
      <c r="C28" t="s">
        <v>285</v>
      </c>
      <c r="D28" t="s">
        <v>449</v>
      </c>
      <c r="E28">
        <v>-17571</v>
      </c>
      <c r="F28">
        <v>-12878</v>
      </c>
      <c r="G28">
        <v>60023</v>
      </c>
    </row>
    <row r="29" spans="1:7">
      <c r="A29" t="s">
        <v>401</v>
      </c>
      <c r="B29" t="s">
        <v>297</v>
      </c>
      <c r="C29" t="s">
        <v>297</v>
      </c>
      <c r="D29" t="s">
        <v>452</v>
      </c>
    </row>
    <row r="30" spans="1:7">
      <c r="A30" t="s">
        <v>299</v>
      </c>
      <c r="B30" t="s">
        <v>299</v>
      </c>
      <c r="C30" t="s">
        <v>299</v>
      </c>
      <c r="D30" t="s">
        <v>452</v>
      </c>
      <c r="E30">
        <v>118900</v>
      </c>
      <c r="F30">
        <v>138700</v>
      </c>
      <c r="G30">
        <v>103000</v>
      </c>
    </row>
    <row r="31" spans="1:7">
      <c r="A31" t="s">
        <v>402</v>
      </c>
      <c r="B31" t="s">
        <v>302</v>
      </c>
      <c r="C31" t="s">
        <v>302</v>
      </c>
      <c r="D31" t="s">
        <v>452</v>
      </c>
      <c r="E31">
        <v>-101900</v>
      </c>
      <c r="F31">
        <v>-117000</v>
      </c>
      <c r="G31">
        <v>-159000</v>
      </c>
    </row>
    <row r="32" spans="1:7">
      <c r="A32" t="s">
        <v>404</v>
      </c>
      <c r="B32" t="s">
        <v>298</v>
      </c>
      <c r="C32" t="s">
        <v>298</v>
      </c>
      <c r="D32" t="s">
        <v>452</v>
      </c>
      <c r="F32">
        <v>51750</v>
      </c>
    </row>
    <row r="33" spans="1:7">
      <c r="A33" t="s">
        <v>405</v>
      </c>
      <c r="D33" t="s">
        <v>452</v>
      </c>
      <c r="F33">
        <v>-61000</v>
      </c>
    </row>
    <row r="34" spans="1:7">
      <c r="A34" t="s">
        <v>406</v>
      </c>
      <c r="B34" t="s">
        <v>298</v>
      </c>
      <c r="C34" t="s">
        <v>298</v>
      </c>
      <c r="D34" t="s">
        <v>452</v>
      </c>
      <c r="G34">
        <v>-572</v>
      </c>
    </row>
    <row r="35" spans="1:7">
      <c r="A35" t="s">
        <v>407</v>
      </c>
      <c r="D35" t="s">
        <v>452</v>
      </c>
      <c r="E35">
        <v>-1329</v>
      </c>
      <c r="F35">
        <v>-1975</v>
      </c>
      <c r="G35">
        <v>-75</v>
      </c>
    </row>
    <row r="36" spans="1:7">
      <c r="A36" t="s">
        <v>408</v>
      </c>
      <c r="B36" t="s">
        <v>298</v>
      </c>
      <c r="C36" t="s">
        <v>298</v>
      </c>
      <c r="D36" t="s">
        <v>452</v>
      </c>
      <c r="E36">
        <v>21991</v>
      </c>
      <c r="F36">
        <v>23695</v>
      </c>
      <c r="G36">
        <v>19665</v>
      </c>
    </row>
    <row r="37" spans="1:7">
      <c r="A37" t="s">
        <v>409</v>
      </c>
      <c r="B37" t="s">
        <v>298</v>
      </c>
      <c r="C37" t="s">
        <v>298</v>
      </c>
      <c r="D37" t="s">
        <v>452</v>
      </c>
      <c r="E37">
        <v>-331</v>
      </c>
      <c r="F37">
        <v>-999</v>
      </c>
      <c r="G37">
        <v>-1210</v>
      </c>
    </row>
    <row r="38" spans="1:7">
      <c r="A38" t="s">
        <v>410</v>
      </c>
      <c r="D38" t="s">
        <v>452</v>
      </c>
      <c r="E38">
        <v>-22801</v>
      </c>
      <c r="F38">
        <v>-21433</v>
      </c>
      <c r="G38">
        <v>-19487</v>
      </c>
    </row>
    <row r="39" spans="1:7">
      <c r="A39" t="s">
        <v>411</v>
      </c>
      <c r="B39" t="s">
        <v>311</v>
      </c>
      <c r="C39" t="s">
        <v>311</v>
      </c>
      <c r="D39" t="s">
        <v>452</v>
      </c>
      <c r="E39">
        <v>14530</v>
      </c>
      <c r="F39">
        <v>11738</v>
      </c>
      <c r="G39">
        <v>-57679</v>
      </c>
    </row>
    <row r="40" spans="1:7">
      <c r="A40" t="s">
        <v>412</v>
      </c>
      <c r="B40" t="s">
        <v>451</v>
      </c>
      <c r="C40" t="s">
        <v>312</v>
      </c>
      <c r="D40" t="s">
        <v>452</v>
      </c>
      <c r="E40">
        <v>-3041</v>
      </c>
      <c r="F40">
        <v>-1140</v>
      </c>
      <c r="G40">
        <v>2344</v>
      </c>
    </row>
    <row r="41" spans="1:7">
      <c r="A41" t="s">
        <v>413</v>
      </c>
      <c r="B41" t="s">
        <v>453</v>
      </c>
      <c r="C41" t="s">
        <v>315</v>
      </c>
      <c r="D41" t="s">
        <v>452</v>
      </c>
      <c r="E41">
        <v>5012</v>
      </c>
      <c r="F41">
        <v>6152</v>
      </c>
      <c r="G41">
        <v>3808</v>
      </c>
    </row>
    <row r="42" spans="1:7">
      <c r="A42" t="s">
        <v>414</v>
      </c>
      <c r="B42" t="s">
        <v>316</v>
      </c>
      <c r="C42" t="s">
        <v>316</v>
      </c>
      <c r="D42" t="s">
        <v>452</v>
      </c>
      <c r="E42">
        <v>1971</v>
      </c>
      <c r="F42">
        <v>5012</v>
      </c>
      <c r="G42">
        <v>6152</v>
      </c>
    </row>
    <row r="43" spans="1:7">
      <c r="A43" t="s">
        <v>415</v>
      </c>
      <c r="D43" t="s">
        <v>452</v>
      </c>
      <c r="E43">
        <v>5792</v>
      </c>
      <c r="F43">
        <v>3010</v>
      </c>
      <c r="G43">
        <v>2971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C3ADD4-9267-4D7F-87E0-720FAC68A9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F91ABA-C89B-49B5-9322-5C4984AA9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E5E714-E9EE-4C4C-B1B2-E4B8C3F006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2021-11-09T04:52:48Z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