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215" i="1" l="1"/>
  <c r="F227" i="1" s="1"/>
  <c r="F11" i="1" s="1"/>
  <c r="G212" i="1"/>
  <c r="F212" i="1"/>
  <c r="G183" i="1"/>
  <c r="G189" i="1" s="1"/>
  <c r="G9" i="1" s="1"/>
  <c r="G384" i="1" s="1"/>
  <c r="F183" i="1"/>
  <c r="F189" i="1" s="1"/>
  <c r="F9" i="1" s="1"/>
  <c r="G184" i="1"/>
  <c r="F184" i="1"/>
  <c r="G113" i="1"/>
  <c r="F113" i="1"/>
  <c r="G46" i="1"/>
  <c r="G52" i="1"/>
  <c r="F52" i="1"/>
  <c r="G36" i="1"/>
  <c r="F36" i="1"/>
  <c r="F43" i="1" s="1"/>
  <c r="G24" i="1"/>
  <c r="G364" i="1" s="1"/>
  <c r="F24" i="1"/>
  <c r="F30" i="1" s="1"/>
  <c r="F369" i="1" s="1"/>
  <c r="G432" i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O381" i="1"/>
  <c r="N381" i="1"/>
  <c r="M381" i="1"/>
  <c r="L381" i="1"/>
  <c r="K381" i="1"/>
  <c r="J381" i="1"/>
  <c r="J377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O98" i="1"/>
  <c r="N98" i="1"/>
  <c r="M98" i="1"/>
  <c r="L98" i="1"/>
  <c r="K98" i="1"/>
  <c r="J98" i="1"/>
  <c r="I98" i="1"/>
  <c r="H98" i="1"/>
  <c r="G98" i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383" i="1" s="1"/>
  <c r="G128" i="1"/>
  <c r="G7" i="1" s="1"/>
  <c r="G12" i="1" s="1"/>
  <c r="G366" i="1" s="1"/>
  <c r="F128" i="1"/>
  <c r="F7" i="1" s="1"/>
  <c r="G44" i="1"/>
  <c r="G378" i="1" s="1"/>
  <c r="F364" i="1"/>
  <c r="G353" i="1"/>
  <c r="G355" i="1" s="1"/>
  <c r="G357" i="1" s="1"/>
  <c r="G385" i="1"/>
  <c r="G383" i="1"/>
  <c r="G382" i="1"/>
  <c r="F384" i="1"/>
  <c r="F13" i="1"/>
  <c r="F377" i="1"/>
  <c r="F353" i="1"/>
  <c r="F355" i="1" s="1"/>
  <c r="F357" i="1" s="1"/>
  <c r="F385" i="1"/>
  <c r="F375" i="1"/>
  <c r="L376" i="1"/>
  <c r="H378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72" i="1"/>
  <c r="H384" i="1"/>
  <c r="H365" i="1"/>
  <c r="L368" i="1"/>
  <c r="L372" i="1"/>
  <c r="H375" i="1"/>
  <c r="N376" i="1"/>
  <c r="L377" i="1"/>
  <c r="J378" i="1"/>
  <c r="H381" i="1"/>
  <c r="N382" i="1"/>
  <c r="J384" i="1"/>
  <c r="F381" i="1"/>
  <c r="L382" i="1"/>
  <c r="J383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F382" i="1" l="1"/>
  <c r="F12" i="1"/>
  <c r="F376" i="1" s="1"/>
  <c r="G14" i="1"/>
  <c r="G376" i="1"/>
  <c r="G59" i="1"/>
  <c r="G67" i="1" s="1"/>
  <c r="G71" i="1" s="1"/>
  <c r="G373" i="1" s="1"/>
  <c r="G370" i="1"/>
  <c r="F378" i="1"/>
  <c r="F59" i="1"/>
  <c r="F67" i="1" s="1"/>
  <c r="F71" i="1" s="1"/>
  <c r="F370" i="1"/>
  <c r="F366" i="1" l="1"/>
  <c r="F14" i="1"/>
  <c r="G6" i="1"/>
  <c r="G365" i="1" s="1"/>
  <c r="G83" i="1"/>
  <c r="G372" i="1"/>
  <c r="F373" i="1"/>
  <c r="F83" i="1"/>
  <c r="F372" i="1"/>
  <c r="F6" i="1"/>
  <c r="G371" i="1" l="1"/>
  <c r="F371" i="1"/>
  <c r="F365" i="1"/>
</calcChain>
</file>

<file path=xl/sharedStrings.xml><?xml version="1.0" encoding="utf-8"?>
<sst xmlns="http://schemas.openxmlformats.org/spreadsheetml/2006/main" count="894" uniqueCount="552">
  <si>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</si>
  <si>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</si>
  <si>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</si>
  <si>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</si>
  <si>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</si>
  <si>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</si>
  <si>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</si>
  <si>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</si>
  <si>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</si>
  <si>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</si>
  <si>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</si>
  <si>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</si>
  <si>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</si>
  <si>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</si>
  <si>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</si>
  <si>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</si>
  <si>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</si>
  <si>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</si>
  <si>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</si>
  <si>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</si>
  <si>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</si>
  <si>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</si>
  <si>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</si>
  <si>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</si>
  <si>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</si>
  <si>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</si>
  <si>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</si>
  <si>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</si>
  <si>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</si>
  <si>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</si>
  <si>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</si>
  <si>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</si>
  <si>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</si>
  <si>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</si>
  <si>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</si>
  <si>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</si>
  <si>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</si>
  <si>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</si>
  <si>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</si>
  <si>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</si>
  <si>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</si>
  <si>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</si>
  <si>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</si>
  <si>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</si>
  <si>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</si>
  <si>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</si>
  <si>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</si>
  <si>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</si>
  <si>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</si>
  <si>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</si>
  <si>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</si>
  <si>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</si>
  <si>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</si>
  <si>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</si>
  <si>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</si>
  <si>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</si>
  <si>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</si>
  <si>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</si>
  <si>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</si>
  <si>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</si>
  <si>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</si>
  <si>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</si>
  <si>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</si>
  <si>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</si>
  <si>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</si>
  <si>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</si>
  <si>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</si>
  <si>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</si>
  <si>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</si>
  <si>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</si>
  <si>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</si>
  <si>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</si>
  <si>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</si>
  <si>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</si>
  <si>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</si>
  <si>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</si>
  <si>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</si>
  <si>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</si>
  <si>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</si>
  <si>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</si>
  <si>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</si>
  <si>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</si>
  <si>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</si>
  <si>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</si>
  <si>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</si>
  <si>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</si>
  <si>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</si>
  <si>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</si>
  <si>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</si>
  <si>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</si>
  <si>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</si>
  <si>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</si>
  <si>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</si>
  <si>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</si>
  <si>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</si>
  <si>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</si>
  <si>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</si>
  <si>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</si>
  <si>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</si>
  <si>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</si>
  <si>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</si>
  <si>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</si>
  <si>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</si>
  <si>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</si>
  <si>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</si>
  <si>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</si>
  <si>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</si>
  <si>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</si>
  <si>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</si>
  <si>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</si>
  <si>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</si>
  <si>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</si>
  <si>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</si>
  <si>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</si>
  <si>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</si>
  <si>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</si>
  <si>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</si>
  <si>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</si>
  <si>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</si>
  <si>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</si>
  <si>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</si>
  <si>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</si>
  <si>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</si>
  <si>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</si>
  <si>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</si>
  <si>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</si>
  <si>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</si>
  <si>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</si>
  <si>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</si>
  <si>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</si>
  <si>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</si>
  <si>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</si>
  <si>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</si>
  <si>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</si>
  <si>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</si>
  <si>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</si>
  <si>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</si>
  <si>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</si>
  <si>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</si>
  <si>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</si>
  <si>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</si>
  <si>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</si>
  <si>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</si>
  <si>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</si>
  <si>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</si>
  <si>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</si>
  <si>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</si>
  <si>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</si>
  <si>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</si>
  <si>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</si>
  <si>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</si>
  <si>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</si>
  <si>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</si>
  <si>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</si>
  <si>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</si>
  <si>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</si>
  <si>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</si>
  <si>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</si>
  <si>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</si>
  <si>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</si>
  <si>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</si>
  <si>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</si>
  <si>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</si>
  <si>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</si>
  <si>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</si>
  <si>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</si>
  <si>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</si>
  <si>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</si>
  <si>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</si>
  <si>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</si>
  <si>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</si>
  <si>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</si>
  <si>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</si>
  <si>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</si>
  <si>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</si>
  <si>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</si>
  <si>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</si>
  <si>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</si>
  <si>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</si>
  <si>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</si>
  <si>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</si>
  <si>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</si>
  <si>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</si>
  <si>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</si>
  <si>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</si>
  <si>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</si>
  <si>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</si>
  <si>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</si>
  <si>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</si>
  <si>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</si>
  <si>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</si>
  <si>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</si>
  <si>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</si>
  <si>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</si>
  <si>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</si>
  <si>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</si>
  <si>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</si>
  <si>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</si>
  <si>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</si>
  <si>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</si>
  <si>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</si>
  <si>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</si>
  <si>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</si>
  <si>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</si>
  <si>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</si>
  <si>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</si>
  <si>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</si>
  <si>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</si>
  <si>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</si>
  <si>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</si>
  <si>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</si>
  <si>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</si>
  <si>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</si>
  <si>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</si>
  <si>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</si>
  <si>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</si>
  <si>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</si>
  <si>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</si>
  <si>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</si>
  <si>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</si>
  <si>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</si>
  <si>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</si>
  <si>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</si>
  <si>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</si>
  <si>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</si>
  <si>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</si>
  <si>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</si>
  <si>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</si>
  <si>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</si>
  <si>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</si>
  <si>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</si>
  <si>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</si>
  <si>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</si>
  <si>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</si>
  <si>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</si>
  <si>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</si>
  <si>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</si>
  <si>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</si>
  <si>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</si>
  <si>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</si>
  <si>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</si>
  <si>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</si>
  <si>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</si>
  <si>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</si>
  <si>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</si>
  <si>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</si>
  <si>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</si>
  <si>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</si>
  <si>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</si>
  <si>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</si>
  <si>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</si>
  <si>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</si>
  <si>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</si>
  <si>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</si>
  <si>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</si>
  <si>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</si>
  <si>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</si>
  <si>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</si>
  <si>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</si>
  <si>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</si>
  <si>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</si>
  <si>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</si>
  <si>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</si>
  <si>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</si>
  <si>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</si>
  <si>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</si>
  <si>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</si>
  <si>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</si>
  <si>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</si>
  <si>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</si>
  <si>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</si>
  <si>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</si>
  <si>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</si>
  <si>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</si>
  <si>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</si>
  <si>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</si>
  <si>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</si>
  <si>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</si>
  <si>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</si>
  <si>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</si>
  <si>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</si>
  <si>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</si>
  <si>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</si>
  <si>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</si>
  <si>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</si>
  <si>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</si>
  <si>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</si>
  <si>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</si>
  <si>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</si>
  <si>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</si>
  <si>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</si>
  <si>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</si>
  <si>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</si>
  <si>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</si>
  <si>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</si>
  <si>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</si>
  <si>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</si>
  <si>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</si>
  <si>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</si>
  <si>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</si>
  <si>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</si>
  <si>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</si>
  <si>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</si>
  <si>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</si>
  <si>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</si>
  <si>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</si>
  <si>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</si>
  <si>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</si>
  <si>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</si>
  <si>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</si>
  <si>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</si>
  <si>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</si>
  <si>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</si>
  <si>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</si>
  <si>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</si>
  <si>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</si>
  <si>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</si>
  <si>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</si>
  <si>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</si>
  <si>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</si>
  <si>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</si>
  <si>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</si>
  <si>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</si>
  <si>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</si>
  <si>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</si>
  <si>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</si>
  <si>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</si>
  <si>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</si>
  <si>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</si>
  <si>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</si>
  <si>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</si>
  <si>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</si>
  <si>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</si>
  <si>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</si>
  <si>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</si>
  <si>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</si>
  <si>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</si>
  <si>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</si>
  <si>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</si>
  <si>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</si>
  <si>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</si>
  <si>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</si>
  <si>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</si>
  <si>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</si>
  <si>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</si>
  <si>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</si>
  <si>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</si>
  <si>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</si>
  <si>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</si>
  <si>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</si>
  <si>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</si>
  <si>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</si>
  <si>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</si>
  <si>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</si>
  <si>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</si>
  <si>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</si>
  <si>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</si>
  <si>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</si>
  <si>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</si>
  <si>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</si>
  <si>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</si>
  <si>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</si>
  <si>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</si>
  <si>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</si>
  <si>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</si>
  <si>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</si>
  <si>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</si>
  <si>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</si>
  <si>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</si>
  <si>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</si>
  <si>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</si>
  <si>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</si>
  <si>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</si>
  <si>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</si>
  <si>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</si>
  <si>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Investments at fair value</t>
  </si>
  <si>
    <t>Non-Control/Non-Affiliate investments (Cost of $220,087 and $225,046, respectively)</t>
  </si>
  <si>
    <t>Affiliate investments (Cost of $343,247 and $278,811, respectively)</t>
  </si>
  <si>
    <t>Control investments (Cost of $21,512 and $21,312, respectively)</t>
  </si>
  <si>
    <t>Cash and cash equivalents</t>
  </si>
  <si>
    <t>Restricted cash and cash equivalents</t>
  </si>
  <si>
    <t>Interest receivable</t>
  </si>
  <si>
    <t>Due from custodian</t>
  </si>
  <si>
    <t>Deferred financing costs, net</t>
  </si>
  <si>
    <t>Other assets, net</t>
  </si>
  <si>
    <t>TOTAL ASSETS</t>
  </si>
  <si>
    <t>LIABILITIES</t>
  </si>
  <si>
    <t>Borrowings:</t>
  </si>
  <si>
    <t>Borrowings</t>
  </si>
  <si>
    <t>Line of credit at fair value (Cost of $107,000 and $69,700, respectively)</t>
  </si>
  <si>
    <t>Secured borrowing</t>
  </si>
  <si>
    <t>Total borrowings</t>
  </si>
  <si>
    <t>Mandatorily redeemable preferred stock, $0.001 par value, $25 liquidation preference; 6,356,000 shares authorized; 5,566,000 shares issued and outstanding, net</t>
  </si>
  <si>
    <t>Accounts payable and accrued expenses</t>
  </si>
  <si>
    <t>Accruals</t>
  </si>
  <si>
    <t>Fees due to Adviser(A)</t>
  </si>
  <si>
    <t>Fee due to Administrator(A)</t>
  </si>
  <si>
    <t>Other liabilities</t>
  </si>
  <si>
    <t>TOTAL LIABILITIES</t>
  </si>
  <si>
    <t>Commitments and contingencies(B)</t>
  </si>
  <si>
    <t>NET ASSETS</t>
  </si>
  <si>
    <t>ANALYSIS OF NET ASSETS</t>
  </si>
  <si>
    <t>Common stock, $0.001 par value per share, 100,000,000 shares authorized; 32,653,635 and 30,270,958 shares issued and outstanding, respectively</t>
  </si>
  <si>
    <t>Capital in excess of par value</t>
  </si>
  <si>
    <t>Cumulative net unrealized depreciation of investments</t>
  </si>
  <si>
    <t>Cumulative net unrealized appreciation of other</t>
  </si>
  <si>
    <t>Net investment income in excess of distributions</t>
  </si>
  <si>
    <t>Accumulated net realized gain in excess of distributions</t>
  </si>
  <si>
    <t>TOTAL NET ASSETS</t>
  </si>
  <si>
    <t>INVESTMENT INCOME</t>
  </si>
  <si>
    <t>Revenue</t>
  </si>
  <si>
    <t>Interest income:</t>
  </si>
  <si>
    <t>Non-Control/Non-Affiliate investments</t>
  </si>
  <si>
    <t>Affiliate investments</t>
  </si>
  <si>
    <t>Control investments</t>
  </si>
  <si>
    <t>Total interest income</t>
  </si>
  <si>
    <t>Dividend income:</t>
  </si>
  <si>
    <t>Total dividend income</t>
  </si>
  <si>
    <t>Success fee income:</t>
  </si>
  <si>
    <t>Total success fee income</t>
  </si>
  <si>
    <t>Other income</t>
  </si>
  <si>
    <t>Total investment income</t>
  </si>
  <si>
    <t>EXPENSES</t>
  </si>
  <si>
    <t>Base management fee(A)</t>
  </si>
  <si>
    <t>Loan servicing fee(A)</t>
  </si>
  <si>
    <t>Incentive fee(A)</t>
  </si>
  <si>
    <t>Administration fee(A)</t>
  </si>
  <si>
    <t>Interest expense on borrowings</t>
  </si>
  <si>
    <t>Dividends on mandatorily redeemable preferred stock</t>
  </si>
  <si>
    <t>Amortization of deferred financing costs and discounts</t>
  </si>
  <si>
    <t>Amortisation of charges</t>
  </si>
  <si>
    <t>Professional fees</t>
  </si>
  <si>
    <t>Other general and administrative expenses</t>
  </si>
  <si>
    <t>Expenses before credits from Adviser</t>
  </si>
  <si>
    <t>Credits to base management fee  loan servicing fee(A)</t>
  </si>
  <si>
    <t>Credits to fees from Adviser - other(A)</t>
  </si>
  <si>
    <t>Total expenses, net of credits to fees</t>
  </si>
  <si>
    <t>NET INVESTMENT INCOME</t>
  </si>
  <si>
    <t>REALIZED AND UNREALIZED GAIN (LOSS)</t>
  </si>
  <si>
    <t>Net realized gain (loss):</t>
  </si>
  <si>
    <t>Other</t>
  </si>
  <si>
    <t>Total net realized gain (loss)</t>
  </si>
  <si>
    <t>Net unrealized appreciation (depreciation):</t>
  </si>
  <si>
    <t>Total net unrealized appreciation</t>
  </si>
  <si>
    <t>Net realized and unrealized gain</t>
  </si>
  <si>
    <t>GLADSTONE INVESTMENT CORPORATION</t>
  </si>
  <si>
    <t>CONSOLIDATED STATEMENTS OF OPERATIONS (Continued)</t>
  </si>
  <si>
    <t>(DOLLAR AMOUNTS IN THOUSANDS EXCEPT PER SHARE AMOUNTS)</t>
  </si>
  <si>
    <t>Net investment income</t>
  </si>
  <si>
    <t>Net increase in net assets resulting from operations</t>
  </si>
  <si>
    <t>Distributions</t>
  </si>
  <si>
    <t>WEIGHTED AVERAGE SHARES OF COMMON STOCK OUTSTANDING:</t>
  </si>
  <si>
    <t>Basic and diluted</t>
  </si>
  <si>
    <t>Refer to Note 4  Related Party Transactions in the accompanying Notes to Consolidated Financial Statements for additional information</t>
  </si>
  <si>
    <t>THE ACCOMPANYING NOTES ARE AN INTEGRAL PART OF THESE CONSOLIDATED FINANCIAL STATEMENTS</t>
  </si>
  <si>
    <t>CASH FLOWS FROM OPERATING ACTIVITIES</t>
  </si>
  <si>
    <t>Operating Activities</t>
  </si>
  <si>
    <t>Adjustments to reconcile net increase in net assets resulting from operations to</t>
  </si>
  <si>
    <t>net cash (used in) provided by operating activities:</t>
  </si>
  <si>
    <t>Purchase of investments</t>
  </si>
  <si>
    <t>Investing Activities</t>
  </si>
  <si>
    <t>Principal repayments of investments</t>
  </si>
  <si>
    <t>Net proceeds from the sale of investments</t>
  </si>
  <si>
    <t>Net realized (gain) loss on investments</t>
  </si>
  <si>
    <t>Net realized loss on other</t>
  </si>
  <si>
    <t>Net unrealized appreciation of investments</t>
  </si>
  <si>
    <t>Net unrealized appreciation of other</t>
  </si>
  <si>
    <t>Amortization of premiums, discounts, and acquisition costs, net</t>
  </si>
  <si>
    <t>Bad debt expense, net of recoveries</t>
  </si>
  <si>
    <t>Changes in assets and liabilities:</t>
  </si>
  <si>
    <t>Decrease (increase) in restricted cash and cash equivalents</t>
  </si>
  <si>
    <t>Net increase (decrease) in cash and cash equivalents</t>
  </si>
  <si>
    <t>Financing Activities</t>
  </si>
  <si>
    <t>Increase in interest receivable</t>
  </si>
  <si>
    <t>(Increase) decrease in due from custodian</t>
  </si>
  <si>
    <t>Decrease (increase) in other assets, net</t>
  </si>
  <si>
    <t>Increase (decrease) in accounts payable and accrued expenses</t>
  </si>
  <si>
    <t>Increase (decrease) in fees due to Adviser(A)</t>
  </si>
  <si>
    <t>Increase (decrease) in fee due to Administrator(A)</t>
  </si>
  <si>
    <t>(Decrease) increase in other liabilities</t>
  </si>
  <si>
    <t>Net cash (used in) provided by operating activities</t>
  </si>
  <si>
    <t>CASH FLOWS FROM FINANCING ACTIVITIES</t>
  </si>
  <si>
    <t>Proceeds from issuance of common stock</t>
  </si>
  <si>
    <t>Discounts, commissions, and offering costs for issuance of common stock</t>
  </si>
  <si>
    <t>Proceeds from line of credit</t>
  </si>
  <si>
    <t>Repayments on line of credit</t>
  </si>
  <si>
    <t>Proceeds from issuance of mandatorily redeemable preferred stock</t>
  </si>
  <si>
    <t>Redemption of mandatorily redeemable preferred stock</t>
  </si>
  <si>
    <t>Deferred financing and offering costs</t>
  </si>
  <si>
    <t>Finance Costs</t>
  </si>
  <si>
    <t>Distributions paid to common stockholders</t>
  </si>
  <si>
    <t>Net cash provided by (used in) financing activities</t>
  </si>
  <si>
    <t>NET 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</si>
  <si>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</si>
  <si>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</si>
  <si>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</si>
  <si>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CASH PAID FOR INTEREST</t>
  </si>
  <si>
    <t>NON-CASH ACTIVITIES(B)</t>
  </si>
  <si>
    <t>(B)</t>
  </si>
  <si>
    <t>2018: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</si>
  <si>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</si>
  <si>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</si>
  <si>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</si>
  <si>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</si>
  <si>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interest income</t>
  </si>
  <si>
    <t>turnover</t>
  </si>
  <si>
    <t>Niyoshi Aithal</t>
  </si>
  <si>
    <t>other income</t>
  </si>
  <si>
    <t>administration fee</t>
  </si>
  <si>
    <t>administrative expenses</t>
  </si>
  <si>
    <t>base management fee</t>
  </si>
  <si>
    <t>other operating expenses</t>
  </si>
  <si>
    <t>loan servicing fee</t>
  </si>
  <si>
    <t>incentive fee</t>
  </si>
  <si>
    <t>net realized loss on other</t>
  </si>
  <si>
    <t>unrealized gain or loss</t>
  </si>
  <si>
    <t>net unrealized appreciation of investments</t>
  </si>
  <si>
    <t>long term investments</t>
  </si>
  <si>
    <t>accounts payable and accrued expenses</t>
  </si>
  <si>
    <t>fees due to adviser</t>
  </si>
  <si>
    <t>other creditors</t>
  </si>
  <si>
    <t>fee due to administrator</t>
  </si>
  <si>
    <t>other liabilities</t>
  </si>
  <si>
    <t>other non-current liabilities</t>
  </si>
  <si>
    <t>common stock, $0.001 par value</t>
  </si>
  <si>
    <t>ordinary shares</t>
  </si>
  <si>
    <t>capital in excess of par value</t>
  </si>
  <si>
    <t>partners current account</t>
  </si>
  <si>
    <t>retained earnings</t>
  </si>
  <si>
    <t>changed value</t>
  </si>
  <si>
    <t>added value</t>
  </si>
  <si>
    <t>salaries and wages</t>
  </si>
  <si>
    <t>changed value and sign</t>
  </si>
  <si>
    <t>interest and dividend expense</t>
  </si>
  <si>
    <t>other</t>
  </si>
  <si>
    <t>credit to fees from adviser</t>
  </si>
  <si>
    <t>other operating income (expenses)</t>
  </si>
  <si>
    <t>net realized gain on investments</t>
  </si>
  <si>
    <t>net unrealized appreciation of other</t>
  </si>
  <si>
    <t>deleted value</t>
  </si>
  <si>
    <t>cash and bank balance</t>
  </si>
  <si>
    <t>cash and cash equivalents</t>
  </si>
  <si>
    <t>other debtors</t>
  </si>
  <si>
    <t>due from custodian</t>
  </si>
  <si>
    <t>financial lease receivables</t>
  </si>
  <si>
    <t>deferred financing costs, net</t>
  </si>
  <si>
    <t>secured borrowings</t>
  </si>
  <si>
    <t>line of credit at fair value</t>
  </si>
  <si>
    <t>current portion - borrowings</t>
  </si>
  <si>
    <t>Mandatorily redeemable preferred stock, $0.001 par value</t>
  </si>
  <si>
    <t>accumulated net realized gain in excess of distributions</t>
  </si>
  <si>
    <t>net investment income in excess of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</si>
</sst>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CF-4C2C-8FAA-DB55B46494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2C-41FD-9B2B-3546B2D1D8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BA-49FC-8C93-2243E984F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9D-4335-A543-40F66B9A47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11-4E30-8A3D-314981F430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29-45AB-BB06-8F0D53C0CD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56-425A-9437-57FC03A71F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98-4DC3-9819-DC21E60F5B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B2-4BED-B4DE-FEE7E950FC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9D-4420-B0A2-B1E8B3D1F2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23-4356-8980-B574CF3AB8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CC-41D8-93A0-344C9FBF1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8A-4038-8351-1FE292E584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B9-4B40-95A0-C72832F5D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0F-4D03-B232-A36CDDF72A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42578125" style="1" customWidth="1"/>
    <col min="6" max="6" width="13.7109375" style="38" customWidth="1"/>
    <col min="7" max="7" width="13.57031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60687</v>
      </c>
      <c r="G6" s="7">
        <f t="shared" ref="G6:O6" si="1">IF(G4=$BF$1,"",G71)</f>
        <v>44763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603632</v>
      </c>
      <c r="G7" s="7">
        <f t="shared" ref="G7:O7" si="2">IF(G4=$BF$1,"",G128)</f>
        <v>507270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7267</v>
      </c>
      <c r="G8" s="7">
        <f t="shared" ref="G8:O8" si="3">IF(G4=$BF$1,"",G161)</f>
        <v>7925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256115</v>
      </c>
      <c r="G9" s="7">
        <f t="shared" ref="G9:O9" si="4">IF(G4=$BF$1,"",G189)</f>
        <v>212176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584</v>
      </c>
      <c r="G10" s="7">
        <f t="shared" ref="G10:O10" si="5">IF(G4=$BF$1,"",G210)</f>
        <v>1937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354200</v>
      </c>
      <c r="G11" s="7">
        <f t="shared" ref="G11:O11" si="6">IF(G4=$BF$1,"",G227)</f>
        <v>301082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610899</v>
      </c>
      <c r="G12" s="35">
        <f t="shared" ref="G12:O12" si="7">IF(G4=$BF$1,"",SUM(G7:G8))</f>
        <v>515195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610899</v>
      </c>
      <c r="G13" s="35">
        <f t="shared" ref="G13:O13" si="8">IF(G4=$BF$1,"",SUM(G9:G11))</f>
        <v>515195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48799+9556</f>
        <v>58355</v>
      </c>
      <c r="G24">
        <f>46147+5728</f>
        <v>51875</v>
      </c>
      <c r="H24">
        <v>77</v>
      </c>
      <c r="P24" s="50" t="s">
        <v>529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58355</v>
      </c>
      <c r="G30" s="7">
        <f>IF(G4=$BF$1,"",G24-G25+ABS(G26)-G27-G28-G29)</f>
        <v>51875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 s="38">
        <v>9951</v>
      </c>
      <c r="G31" s="38">
        <v>10112</v>
      </c>
      <c r="P31" s="50" t="s">
        <v>530</v>
      </c>
    </row>
    <row r="32" spans="5:16">
      <c r="E32" s="1" t="s">
        <v>34</v>
      </c>
      <c r="F32" s="38">
        <v>10796</v>
      </c>
      <c r="G32" s="38">
        <v>9925</v>
      </c>
      <c r="P32" s="50" t="s">
        <v>530</v>
      </c>
    </row>
    <row r="33" spans="5:16">
      <c r="E33" s="1" t="s">
        <v>35</v>
      </c>
    </row>
    <row r="34" spans="5:16">
      <c r="E34" s="1" t="s">
        <v>36</v>
      </c>
      <c r="F34">
        <v>1087</v>
      </c>
      <c r="G34">
        <v>1120</v>
      </c>
      <c r="H34">
        <v>12971</v>
      </c>
      <c r="P34" s="50" t="s">
        <v>532</v>
      </c>
    </row>
    <row r="35" spans="5:16">
      <c r="E35" s="1" t="s">
        <v>37</v>
      </c>
    </row>
    <row r="36" spans="5:16">
      <c r="E36" s="1" t="s">
        <v>38</v>
      </c>
      <c r="F36" s="38">
        <f>6277+10648+13039+3031</f>
        <v>32995</v>
      </c>
      <c r="G36" s="38">
        <f>6606+4750+12223+3066</f>
        <v>26645</v>
      </c>
      <c r="P36" s="50" t="s">
        <v>530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>
        <v>0</v>
      </c>
      <c r="G39">
        <v>0</v>
      </c>
      <c r="H39">
        <v>0</v>
      </c>
    </row>
    <row r="40" spans="5:16">
      <c r="E40" s="1" t="s">
        <v>42</v>
      </c>
    </row>
    <row r="41" spans="5:16">
      <c r="E41" s="1" t="s">
        <v>43</v>
      </c>
      <c r="F41">
        <v>1468</v>
      </c>
      <c r="G41">
        <v>1875</v>
      </c>
      <c r="H41">
        <v>1908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46346</v>
      </c>
      <c r="G43" s="7">
        <f>G32+G33+G34+G35+G36+G37+G38+G39+G40+G41+G42</f>
        <v>39565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21960</v>
      </c>
      <c r="G44" s="7">
        <f>IF(G4=$BF$1,"",G30+G31-G43)</f>
        <v>22422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  <c r="F46">
        <v>-500</v>
      </c>
      <c r="G46">
        <f>75-254</f>
        <v>-179</v>
      </c>
      <c r="H46">
        <v>0</v>
      </c>
      <c r="P46" s="50" t="s">
        <v>530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f>1336+37891</f>
        <v>39227</v>
      </c>
      <c r="G52">
        <f>15641+6879</f>
        <v>22520</v>
      </c>
      <c r="H52">
        <v>118136</v>
      </c>
      <c r="P52" s="50" t="s">
        <v>529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60687</v>
      </c>
      <c r="G59" s="7">
        <f>IF(G4=$BF$1,"",G44+G45+G46+G47+G48-G49-G50-G51+G52-G53+G54+G55-G56+G57+G58)</f>
        <v>44763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60687</v>
      </c>
      <c r="G67" s="7">
        <f>IF(G4=$BF$1,"",SUM(G59,-G60,-ABS(G61),-G62,-G66))</f>
        <v>44763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/>
      <c r="G68"/>
      <c r="H68">
        <v>2895</v>
      </c>
      <c r="P68" s="50" t="s">
        <v>539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60687</v>
      </c>
      <c r="G71" s="7">
        <f t="shared" ref="G71:O71" si="14">IF(G4=$BF$1,"",SUM(G67:G70))</f>
        <v>44763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60687</v>
      </c>
      <c r="G83" s="7">
        <f t="shared" ref="G83:O83" si="15">IF(G4=$BF$1,"",SUM(G71:G82))</f>
        <v>44763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  <c r="F106">
        <v>3532</v>
      </c>
      <c r="G106">
        <v>2305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>
        <f>247297+339393+12457</f>
        <v>599147</v>
      </c>
      <c r="G113">
        <f>223451+262086+16042</f>
        <v>501579</v>
      </c>
      <c r="P113" s="50" t="s">
        <v>530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953</v>
      </c>
      <c r="G126">
        <v>3386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603632</v>
      </c>
      <c r="G128" s="7">
        <f t="shared" ref="G128:O128" si="19">IF(G4=$BF$1,"",G100+SUM(G104:G126))</f>
        <v>507270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3639</v>
      </c>
      <c r="G130">
        <v>2868</v>
      </c>
      <c r="P130" s="50" t="s">
        <v>529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  <c r="F134" s="38">
        <v>976</v>
      </c>
      <c r="G134" s="38">
        <v>1588</v>
      </c>
      <c r="P134" s="50" t="s">
        <v>530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4615</v>
      </c>
      <c r="G140" s="7">
        <f t="shared" ref="G140:O140" si="20">IF(G4=$BF$1,"",G130+G131+G132+G133+G134+G135+G136+G139)</f>
        <v>4456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  <c r="F150" s="38">
        <v>2324</v>
      </c>
      <c r="G150" s="38">
        <v>2238</v>
      </c>
      <c r="P150" s="50" t="s">
        <v>530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  <c r="F159">
        <v>328</v>
      </c>
      <c r="G159">
        <v>1231</v>
      </c>
    </row>
    <row r="160" spans="5:16">
      <c r="E160" s="6" t="s">
        <v>140</v>
      </c>
      <c r="F160" s="7">
        <f>F146+F147+F148+F149+F150+F151+F152+F153+F154+F155+F156+F157+F158+F159</f>
        <v>2652</v>
      </c>
      <c r="G160" s="7">
        <f>IF(G4=$BF$1,"",G146+G147+G148+G149+G150+G151+G152+G153+G154+G155+G156+G157+G158+G159)</f>
        <v>3469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7267</v>
      </c>
      <c r="G161" s="7">
        <f t="shared" ref="G161:O161" si="22">IF(G4=$BF$1,"",G140+G145+G160)</f>
        <v>7925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  <c r="F164" s="38">
        <v>5096</v>
      </c>
      <c r="G164" s="38">
        <v>5096</v>
      </c>
      <c r="P164" s="50" t="s">
        <v>530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107500</v>
      </c>
      <c r="G168">
        <v>69700</v>
      </c>
      <c r="P168" s="50" t="s">
        <v>529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  <c r="F183" s="38">
        <f>6671+317</f>
        <v>6988</v>
      </c>
      <c r="G183" s="38">
        <f>1671+296</f>
        <v>1967</v>
      </c>
      <c r="P183" s="50" t="s">
        <v>530</v>
      </c>
    </row>
    <row r="184" spans="5:16">
      <c r="E184" s="12" t="s">
        <v>161</v>
      </c>
      <c r="F184">
        <f>135615+916</f>
        <v>136531</v>
      </c>
      <c r="G184">
        <f>134835+578</f>
        <v>135413</v>
      </c>
      <c r="P184" s="50" t="s">
        <v>529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50" t="s">
        <v>539</v>
      </c>
    </row>
    <row r="189" spans="5:16">
      <c r="E189" s="6" t="s">
        <v>13</v>
      </c>
      <c r="F189" s="7">
        <f>SUM(F163:F188)</f>
        <v>256115</v>
      </c>
      <c r="G189" s="7">
        <f t="shared" ref="G189:O189" si="23">IF(G4=$BF$1,"",SUM(G163:G188))</f>
        <v>212176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584</v>
      </c>
      <c r="G209">
        <v>1937</v>
      </c>
      <c r="P209" s="50" t="s">
        <v>530</v>
      </c>
    </row>
    <row r="210" spans="5:16">
      <c r="E210" s="6" t="s">
        <v>14</v>
      </c>
      <c r="F210" s="7">
        <f>SUM(F191:F209)</f>
        <v>584</v>
      </c>
      <c r="G210" s="7">
        <f t="shared" ref="G210:O210" si="24">IF(G4=$BF$1,"",SUM(G191:G209))</f>
        <v>1937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33+330661</f>
        <v>330694</v>
      </c>
      <c r="G212">
        <f>30+310332</f>
        <v>310362</v>
      </c>
      <c r="P212" s="50" t="s">
        <v>529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  <c r="F215" s="38">
        <f>14301-500</f>
        <v>13801</v>
      </c>
      <c r="G215" s="38">
        <v>-23590</v>
      </c>
      <c r="P215" s="50" t="s">
        <v>530</v>
      </c>
    </row>
    <row r="216" spans="5:16">
      <c r="E216" s="1" t="s">
        <v>186</v>
      </c>
      <c r="F216" s="38">
        <v>3660</v>
      </c>
      <c r="G216" s="38">
        <v>7283</v>
      </c>
      <c r="P216" s="50" t="s">
        <v>530</v>
      </c>
    </row>
    <row r="217" spans="5:16">
      <c r="E217" s="1" t="s">
        <v>187</v>
      </c>
      <c r="F217" s="38">
        <v>6045</v>
      </c>
      <c r="G217" s="38">
        <v>7027</v>
      </c>
      <c r="P217" s="50" t="s">
        <v>530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354200</v>
      </c>
      <c r="G227" s="7">
        <f t="shared" ref="G227:O227" si="25">IF(G4=$BF$1,"",SUM(G212:G226))</f>
        <v>301082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1453</v>
      </c>
      <c r="G275">
        <v>1875</v>
      </c>
      <c r="H275">
        <v>1908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308</v>
      </c>
      <c r="G278">
        <v>650</v>
      </c>
      <c r="H278">
        <v>267</v>
      </c>
    </row>
    <row r="279" spans="5:8">
      <c r="E279" s="1" t="s">
        <v>244</v>
      </c>
      <c r="F279">
        <v>-37891</v>
      </c>
      <c r="G279">
        <v>-6879</v>
      </c>
      <c r="H279">
        <v>-8737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-36130</v>
      </c>
      <c r="G296" s="7">
        <f>IF(G4=$BF$1,"",G271+G272+G273+G274+G275+G276+G277+G278+G279+G280+G281+G282+G283+G284+G285+G286+G287+G288+G289+G290+G291+G292+G293+G294+G295)</f>
        <v>-4354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-36130</v>
      </c>
      <c r="G297" s="7">
        <f t="shared" ref="G297:O297" si="27">IF(G4=$BF$1,"",MIN(F267,F268,F269)+F296)</f>
        <v>-36130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60687</v>
      </c>
      <c r="G299">
        <v>44763</v>
      </c>
      <c r="H299">
        <v>24854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  <c r="F312">
        <v>259</v>
      </c>
      <c r="G312">
        <v>-476</v>
      </c>
      <c r="H312">
        <v>-217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2879</v>
      </c>
      <c r="G316">
        <v>3065</v>
      </c>
      <c r="H316">
        <v>-2934</v>
      </c>
    </row>
    <row r="317" spans="5:15">
      <c r="E317" s="1" t="s">
        <v>277</v>
      </c>
      <c r="F317">
        <v>-1053</v>
      </c>
      <c r="G317">
        <v>-943</v>
      </c>
      <c r="H317">
        <v>503</v>
      </c>
    </row>
    <row r="318" spans="5:15">
      <c r="E318" s="6" t="s">
        <v>278</v>
      </c>
      <c r="F318" s="7">
        <f>F299+F300+F301+F302+F303+F304+F305+F306+F307+F308+F309+F310+F311+F312+F313+F314+F315+F316+F317</f>
        <v>62772</v>
      </c>
      <c r="G318" s="7">
        <f>IF(G4=$BF$1,"",G299+G300+G301+G302+G303+G304+G305+G306+G307+G308+G309+G310+G311+G312+G313+G314+G315+G316+G317)</f>
        <v>46409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26642</v>
      </c>
      <c r="G319" s="7">
        <f t="shared" ref="G319:O319" si="28">IF(G4=$BF$1,"",G297+G318)</f>
        <v>10279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26642</v>
      </c>
      <c r="G326" s="7">
        <f t="shared" ref="G326:O326" si="30">IF(G4=$BF$1,"",G325+G319)</f>
        <v>10279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-98539</v>
      </c>
      <c r="G331">
        <v>-62446</v>
      </c>
      <c r="H331">
        <v>-61896</v>
      </c>
    </row>
    <row r="332" spans="5:15">
      <c r="E332" s="12" t="s">
        <v>291</v>
      </c>
      <c r="F332">
        <v>7651</v>
      </c>
      <c r="G332">
        <v>36939</v>
      </c>
      <c r="H332">
        <v>20377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-90888</v>
      </c>
      <c r="G337" s="7">
        <f>IF(G4=$BF$1,"",SUM(G328:G336))</f>
        <v>-25507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154585</v>
      </c>
      <c r="G339">
        <v>140900</v>
      </c>
      <c r="H339">
        <v>148913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-147</v>
      </c>
      <c r="G349">
        <v>-3589</v>
      </c>
      <c r="H349">
        <v>-1711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154438</v>
      </c>
      <c r="G352" s="7">
        <f>IF(G4=$BF$1,"",SUM(G339:G351))</f>
        <v>137311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90192</v>
      </c>
      <c r="G353" s="7">
        <f t="shared" ref="G353:O353" si="33">IF(G4=$BF$1,"",G326+G337+G352)</f>
        <v>122083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90192</v>
      </c>
      <c r="G355" s="7">
        <f t="shared" ref="G355:O355" si="34">IF(G4=$BF$1,"",G353+G354)</f>
        <v>122083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2868</v>
      </c>
      <c r="G356">
        <v>4481</v>
      </c>
      <c r="H356">
        <v>4921</v>
      </c>
    </row>
    <row r="357" spans="5:15">
      <c r="E357" s="6" t="s">
        <v>316</v>
      </c>
      <c r="F357" s="7">
        <f>F355+F356</f>
        <v>93060</v>
      </c>
      <c r="G357" s="7">
        <f t="shared" ref="G357:O357" si="35">IF(G4=$BF$1,"",G355+G356)</f>
        <v>126564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0.12491566265060242</v>
      </c>
      <c r="G364" s="24">
        <f t="shared" si="37"/>
        <v>672.7012987012987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0.35574023188794318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0.18576267238618388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0.37631736783480424</v>
      </c>
      <c r="G370" s="27">
        <f t="shared" si="42"/>
        <v>0.43223132530120484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1.039962299717248</v>
      </c>
      <c r="G371" s="28">
        <f t="shared" si="43"/>
        <v>0.86290120481927712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9.9340480177574367E-2</v>
      </c>
      <c r="G372" s="27">
        <f t="shared" si="44"/>
        <v>8.6885548190490977E-2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0.17133540372670808</v>
      </c>
      <c r="G373" s="27">
        <f t="shared" si="45"/>
        <v>0.14867378322184654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0.42019875625921799</v>
      </c>
      <c r="G376" s="30">
        <f t="shared" si="47"/>
        <v>0.4155960364522171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0.72472896668548847</v>
      </c>
      <c r="G377" s="30">
        <f t="shared" si="48"/>
        <v>0.71114513654087586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2.8373972629482849E-2</v>
      </c>
      <c r="G382" s="32">
        <f t="shared" si="51"/>
        <v>3.7351067038684863E-2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2.8373972629482849E-2</v>
      </c>
      <c r="G383" s="32">
        <f t="shared" si="52"/>
        <v>3.7351067038684863E-2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1.4208461042890889E-2</v>
      </c>
      <c r="G384" s="32">
        <f t="shared" si="53"/>
        <v>1.351708015986728E-2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0.10402358315600414</v>
      </c>
      <c r="G385" s="32">
        <f t="shared" si="54"/>
        <v>4.8445630042983183E-2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3639</v>
      </c>
      <c r="G418" s="17">
        <f>G130-G417</f>
        <v>2868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500</v>
      </c>
      <c r="B1" s="39" t="s">
        <v>501</v>
      </c>
      <c r="C1" s="39" t="s">
        <v>502</v>
      </c>
      <c r="D1" s="39" t="s">
        <v>503</v>
      </c>
      <c r="E1" s="39"/>
    </row>
    <row r="2" spans="1:5">
      <c r="A2" s="41" t="s">
        <v>504</v>
      </c>
      <c r="B2" s="42" t="s">
        <v>505</v>
      </c>
      <c r="C2" s="39">
        <v>1</v>
      </c>
      <c r="D2" s="39" t="s">
        <v>506</v>
      </c>
      <c r="E2" s="39"/>
    </row>
    <row r="3" spans="1:5">
      <c r="A3" s="41" t="s">
        <v>507</v>
      </c>
      <c r="B3" s="41" t="s">
        <v>505</v>
      </c>
      <c r="C3" s="39">
        <v>1</v>
      </c>
      <c r="D3" s="39" t="s">
        <v>506</v>
      </c>
    </row>
    <row r="4" spans="1:5">
      <c r="A4" s="42" t="s">
        <v>510</v>
      </c>
      <c r="B4" s="42" t="s">
        <v>531</v>
      </c>
      <c r="C4" s="39">
        <v>0</v>
      </c>
      <c r="D4" s="39" t="s">
        <v>506</v>
      </c>
    </row>
    <row r="5" spans="1:5">
      <c r="A5" s="41" t="s">
        <v>508</v>
      </c>
      <c r="B5" s="43" t="s">
        <v>509</v>
      </c>
      <c r="C5" s="39">
        <v>0</v>
      </c>
      <c r="D5" s="39" t="s">
        <v>506</v>
      </c>
    </row>
    <row r="6" spans="1:5">
      <c r="A6" s="43" t="s">
        <v>512</v>
      </c>
      <c r="B6" s="43" t="s">
        <v>511</v>
      </c>
      <c r="C6" s="39">
        <v>0</v>
      </c>
      <c r="D6" s="39" t="s">
        <v>506</v>
      </c>
    </row>
    <row r="7" spans="1:5">
      <c r="A7" s="41" t="s">
        <v>513</v>
      </c>
      <c r="B7" s="42" t="s">
        <v>511</v>
      </c>
      <c r="C7" s="39">
        <v>0</v>
      </c>
      <c r="D7" s="39" t="s">
        <v>506</v>
      </c>
    </row>
    <row r="8" spans="1:5">
      <c r="A8" s="41" t="s">
        <v>533</v>
      </c>
      <c r="B8" s="41" t="s">
        <v>511</v>
      </c>
      <c r="C8" s="39">
        <v>0</v>
      </c>
      <c r="D8" s="39" t="s">
        <v>506</v>
      </c>
    </row>
    <row r="9" spans="1:5">
      <c r="A9" s="44" t="s">
        <v>534</v>
      </c>
      <c r="B9" s="41" t="s">
        <v>511</v>
      </c>
      <c r="C9" s="39">
        <v>0</v>
      </c>
      <c r="D9" s="39" t="s">
        <v>506</v>
      </c>
    </row>
    <row r="10" spans="1:5">
      <c r="A10" s="44" t="s">
        <v>535</v>
      </c>
      <c r="B10" s="41" t="s">
        <v>536</v>
      </c>
      <c r="C10" s="39">
        <v>0</v>
      </c>
      <c r="D10" s="39" t="s">
        <v>506</v>
      </c>
    </row>
    <row r="11" spans="1:5">
      <c r="A11" s="44" t="s">
        <v>537</v>
      </c>
      <c r="B11" s="41" t="s">
        <v>54</v>
      </c>
      <c r="C11" s="39">
        <v>1</v>
      </c>
      <c r="D11" s="39" t="s">
        <v>506</v>
      </c>
    </row>
    <row r="12" spans="1:5">
      <c r="A12" s="44" t="s">
        <v>516</v>
      </c>
      <c r="B12" s="44" t="s">
        <v>54</v>
      </c>
      <c r="C12" s="39">
        <v>1</v>
      </c>
      <c r="D12" s="39" t="s">
        <v>506</v>
      </c>
    </row>
    <row r="13" spans="1:5">
      <c r="A13" s="44" t="s">
        <v>514</v>
      </c>
      <c r="B13" s="44" t="s">
        <v>515</v>
      </c>
      <c r="C13" s="39">
        <v>1</v>
      </c>
      <c r="D13" s="39" t="s">
        <v>506</v>
      </c>
    </row>
    <row r="14" spans="1:5">
      <c r="A14" s="45" t="s">
        <v>538</v>
      </c>
      <c r="B14" s="45" t="s">
        <v>515</v>
      </c>
      <c r="C14" s="39">
        <v>1</v>
      </c>
      <c r="D14" s="39" t="s">
        <v>506</v>
      </c>
    </row>
    <row r="15" spans="1:5">
      <c r="A15" t="s">
        <v>376</v>
      </c>
      <c r="B15" s="45" t="s">
        <v>517</v>
      </c>
      <c r="C15" s="39">
        <v>1</v>
      </c>
      <c r="D15" s="39" t="s">
        <v>506</v>
      </c>
    </row>
    <row r="16" spans="1:5">
      <c r="A16" t="s">
        <v>377</v>
      </c>
      <c r="B16" s="43" t="s">
        <v>517</v>
      </c>
      <c r="C16" s="39">
        <v>1</v>
      </c>
      <c r="D16" s="39" t="s">
        <v>506</v>
      </c>
    </row>
    <row r="17" spans="1:4">
      <c r="A17" t="s">
        <v>378</v>
      </c>
      <c r="B17" s="47" t="s">
        <v>517</v>
      </c>
      <c r="C17" s="39">
        <v>1</v>
      </c>
      <c r="D17" s="39" t="s">
        <v>506</v>
      </c>
    </row>
    <row r="18" spans="1:4">
      <c r="A18" s="46" t="s">
        <v>541</v>
      </c>
      <c r="B18" s="43" t="s">
        <v>540</v>
      </c>
      <c r="C18" s="39">
        <v>1</v>
      </c>
      <c r="D18" s="39" t="s">
        <v>506</v>
      </c>
    </row>
    <row r="19" spans="1:4">
      <c r="A19" t="s">
        <v>543</v>
      </c>
      <c r="B19" s="46" t="s">
        <v>542</v>
      </c>
      <c r="C19" s="48">
        <v>1</v>
      </c>
      <c r="D19" s="39" t="s">
        <v>506</v>
      </c>
    </row>
    <row r="20" spans="1:4">
      <c r="A20" t="s">
        <v>545</v>
      </c>
      <c r="B20" s="43" t="s">
        <v>544</v>
      </c>
      <c r="C20" s="48">
        <v>1</v>
      </c>
      <c r="D20" s="39" t="s">
        <v>506</v>
      </c>
    </row>
    <row r="21" spans="1:4">
      <c r="A21" t="s">
        <v>546</v>
      </c>
      <c r="B21" s="49" t="s">
        <v>143</v>
      </c>
      <c r="C21" s="48">
        <v>1</v>
      </c>
      <c r="D21" s="39" t="s">
        <v>506</v>
      </c>
    </row>
    <row r="22" spans="1:4">
      <c r="A22" s="46" t="s">
        <v>547</v>
      </c>
      <c r="B22" s="49" t="s">
        <v>548</v>
      </c>
      <c r="C22" s="48">
        <v>1</v>
      </c>
      <c r="D22" s="39" t="s">
        <v>506</v>
      </c>
    </row>
    <row r="23" spans="1:4" ht="25.5">
      <c r="A23" s="43" t="s">
        <v>518</v>
      </c>
      <c r="B23" s="49" t="s">
        <v>161</v>
      </c>
      <c r="C23" s="48">
        <v>1</v>
      </c>
      <c r="D23" s="39" t="s">
        <v>506</v>
      </c>
    </row>
    <row r="24" spans="1:4">
      <c r="A24" t="s">
        <v>549</v>
      </c>
      <c r="B24" s="41" t="s">
        <v>161</v>
      </c>
      <c r="C24" s="48">
        <v>1</v>
      </c>
      <c r="D24" s="39" t="s">
        <v>506</v>
      </c>
    </row>
    <row r="25" spans="1:4">
      <c r="A25" t="s">
        <v>519</v>
      </c>
      <c r="B25" s="49" t="s">
        <v>520</v>
      </c>
      <c r="C25" s="48">
        <v>1</v>
      </c>
      <c r="D25" s="39" t="s">
        <v>506</v>
      </c>
    </row>
    <row r="26" spans="1:4">
      <c r="A26" s="44" t="s">
        <v>521</v>
      </c>
      <c r="B26" s="49" t="s">
        <v>520</v>
      </c>
      <c r="C26" s="48">
        <v>1</v>
      </c>
      <c r="D26" s="39" t="s">
        <v>506</v>
      </c>
    </row>
    <row r="27" spans="1:4">
      <c r="A27" s="44" t="s">
        <v>522</v>
      </c>
      <c r="B27" s="49" t="s">
        <v>523</v>
      </c>
      <c r="C27" s="48">
        <v>1</v>
      </c>
      <c r="D27" s="39" t="s">
        <v>506</v>
      </c>
    </row>
    <row r="28" spans="1:4">
      <c r="A28" s="44" t="s">
        <v>524</v>
      </c>
      <c r="B28" s="49" t="s">
        <v>525</v>
      </c>
      <c r="C28" s="48">
        <v>1</v>
      </c>
      <c r="D28" s="39" t="s">
        <v>506</v>
      </c>
    </row>
    <row r="29" spans="1:4">
      <c r="A29" s="49" t="s">
        <v>526</v>
      </c>
      <c r="B29" s="49" t="s">
        <v>525</v>
      </c>
      <c r="C29" s="48">
        <v>1</v>
      </c>
      <c r="D29" s="39" t="s">
        <v>506</v>
      </c>
    </row>
    <row r="30" spans="1:4" ht="25.5">
      <c r="A30" t="s">
        <v>404</v>
      </c>
      <c r="B30" s="49" t="s">
        <v>185</v>
      </c>
      <c r="C30" s="48">
        <v>1</v>
      </c>
      <c r="D30" s="39" t="s">
        <v>506</v>
      </c>
    </row>
    <row r="31" spans="1:4" ht="25.5">
      <c r="A31" t="s">
        <v>405</v>
      </c>
      <c r="B31" s="49" t="s">
        <v>185</v>
      </c>
      <c r="C31" s="48">
        <v>1</v>
      </c>
      <c r="D31" s="39" t="s">
        <v>506</v>
      </c>
    </row>
    <row r="32" spans="1:4">
      <c r="A32" s="44" t="s">
        <v>550</v>
      </c>
      <c r="B32" s="49" t="s">
        <v>528</v>
      </c>
      <c r="C32" s="48">
        <v>1</v>
      </c>
      <c r="D32" s="39" t="s">
        <v>506</v>
      </c>
    </row>
    <row r="33" spans="1:4">
      <c r="A33" s="44" t="s">
        <v>551</v>
      </c>
      <c r="B33" s="49" t="s">
        <v>527</v>
      </c>
      <c r="C33" s="48">
        <v>1</v>
      </c>
      <c r="D33" s="39" t="s">
        <v>506</v>
      </c>
    </row>
    <row r="34" spans="1:4">
      <c r="A34"/>
      <c r="B34" s="49"/>
      <c r="C34" s="48"/>
      <c r="D34" s="39"/>
    </row>
    <row r="35" spans="1:4">
      <c r="A35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opLeftCell="A19" workbookViewId="0">
      <selection activeCell="B22" sqref="B22"/>
    </sheetView>
  </sheetViews>
  <sheetFormatPr defaultRowHeight="12.75"/>
  <cols>
    <col min="1" max="4" width="25.7109375" customWidth="1"/>
  </cols>
  <sheetData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103</v>
      </c>
      <c r="C5" t="s">
        <v>103</v>
      </c>
      <c r="D5" t="s">
        <v>80</v>
      </c>
    </row>
    <row r="6" spans="1:6">
      <c r="A6" t="s">
        <v>376</v>
      </c>
      <c r="E6">
        <v>247297</v>
      </c>
      <c r="F6">
        <v>223451</v>
      </c>
    </row>
    <row r="7" spans="1:6">
      <c r="A7" t="s">
        <v>377</v>
      </c>
      <c r="E7">
        <v>339393</v>
      </c>
      <c r="F7">
        <v>262086</v>
      </c>
    </row>
    <row r="8" spans="1:6">
      <c r="A8" t="s">
        <v>378</v>
      </c>
      <c r="E8">
        <v>12457</v>
      </c>
      <c r="F8">
        <v>16042</v>
      </c>
    </row>
    <row r="9" spans="1:6">
      <c r="A9" t="s">
        <v>379</v>
      </c>
      <c r="B9" t="s">
        <v>117</v>
      </c>
      <c r="C9" t="s">
        <v>117</v>
      </c>
      <c r="D9" t="s">
        <v>116</v>
      </c>
      <c r="E9">
        <v>3639</v>
      </c>
      <c r="F9">
        <v>2868</v>
      </c>
    </row>
    <row r="10" spans="1:6">
      <c r="A10" t="s">
        <v>380</v>
      </c>
      <c r="B10" t="s">
        <v>139</v>
      </c>
      <c r="C10" t="s">
        <v>139</v>
      </c>
      <c r="D10" t="s">
        <v>116</v>
      </c>
      <c r="E10">
        <v>328</v>
      </c>
      <c r="F10">
        <v>1231</v>
      </c>
    </row>
    <row r="11" spans="1:6">
      <c r="A11" t="s">
        <v>381</v>
      </c>
      <c r="B11" t="s">
        <v>96</v>
      </c>
      <c r="C11" t="s">
        <v>96</v>
      </c>
      <c r="D11" t="s">
        <v>80</v>
      </c>
      <c r="E11">
        <v>3532</v>
      </c>
      <c r="F11">
        <v>2305</v>
      </c>
    </row>
    <row r="12" spans="1:6">
      <c r="A12" t="s">
        <v>382</v>
      </c>
      <c r="E12">
        <v>2324</v>
      </c>
      <c r="F12">
        <v>2238</v>
      </c>
    </row>
    <row r="13" spans="1:6">
      <c r="A13" t="s">
        <v>383</v>
      </c>
      <c r="E13">
        <v>976</v>
      </c>
      <c r="F13">
        <v>1588</v>
      </c>
    </row>
    <row r="14" spans="1:6">
      <c r="A14" t="s">
        <v>384</v>
      </c>
      <c r="B14" t="s">
        <v>113</v>
      </c>
      <c r="C14" t="s">
        <v>113</v>
      </c>
      <c r="D14" t="s">
        <v>80</v>
      </c>
      <c r="E14">
        <v>953</v>
      </c>
      <c r="F14">
        <v>3386</v>
      </c>
    </row>
    <row r="15" spans="1:6">
      <c r="A15" t="s">
        <v>385</v>
      </c>
      <c r="E15">
        <v>610899</v>
      </c>
      <c r="F15">
        <v>515195</v>
      </c>
    </row>
    <row r="16" spans="1:6">
      <c r="A16" t="s">
        <v>386</v>
      </c>
      <c r="B16" t="s">
        <v>145</v>
      </c>
      <c r="C16" t="s">
        <v>145</v>
      </c>
    </row>
    <row r="17" spans="1:6">
      <c r="A17" t="s">
        <v>387</v>
      </c>
      <c r="B17" t="s">
        <v>388</v>
      </c>
      <c r="C17" t="s">
        <v>147</v>
      </c>
      <c r="D17" t="s">
        <v>141</v>
      </c>
    </row>
    <row r="18" spans="1:6">
      <c r="A18" t="s">
        <v>389</v>
      </c>
      <c r="B18" t="s">
        <v>388</v>
      </c>
      <c r="C18" t="s">
        <v>147</v>
      </c>
      <c r="D18" t="s">
        <v>141</v>
      </c>
      <c r="E18">
        <v>107500</v>
      </c>
      <c r="F18">
        <v>69700</v>
      </c>
    </row>
    <row r="19" spans="1:6">
      <c r="A19" t="s">
        <v>390</v>
      </c>
      <c r="D19" t="s">
        <v>141</v>
      </c>
      <c r="E19">
        <v>5096</v>
      </c>
      <c r="F19">
        <v>5096</v>
      </c>
    </row>
    <row r="20" spans="1:6">
      <c r="A20" t="s">
        <v>391</v>
      </c>
      <c r="B20" t="s">
        <v>388</v>
      </c>
      <c r="C20" t="s">
        <v>147</v>
      </c>
      <c r="D20" t="s">
        <v>141</v>
      </c>
      <c r="E20">
        <v>112596</v>
      </c>
      <c r="F20">
        <v>74796</v>
      </c>
    </row>
    <row r="21" spans="1:6">
      <c r="A21" t="s">
        <v>392</v>
      </c>
      <c r="D21" t="s">
        <v>141</v>
      </c>
      <c r="E21">
        <v>135615</v>
      </c>
      <c r="F21">
        <v>134835</v>
      </c>
    </row>
    <row r="22" spans="1:6">
      <c r="A22" t="s">
        <v>393</v>
      </c>
      <c r="B22" t="s">
        <v>394</v>
      </c>
      <c r="C22" t="s">
        <v>161</v>
      </c>
      <c r="D22" t="s">
        <v>141</v>
      </c>
      <c r="E22">
        <v>916</v>
      </c>
      <c r="F22">
        <v>578</v>
      </c>
    </row>
    <row r="23" spans="1:6">
      <c r="A23" t="s">
        <v>395</v>
      </c>
      <c r="D23" t="s">
        <v>141</v>
      </c>
      <c r="E23">
        <v>6671</v>
      </c>
      <c r="F23">
        <v>1671</v>
      </c>
    </row>
    <row r="24" spans="1:6">
      <c r="A24" t="s">
        <v>396</v>
      </c>
      <c r="D24" t="s">
        <v>141</v>
      </c>
      <c r="E24">
        <v>317</v>
      </c>
      <c r="F24">
        <v>296</v>
      </c>
    </row>
    <row r="25" spans="1:6">
      <c r="A25" t="s">
        <v>397</v>
      </c>
      <c r="B25" t="s">
        <v>164</v>
      </c>
      <c r="C25" t="s">
        <v>164</v>
      </c>
      <c r="D25" t="s">
        <v>141</v>
      </c>
      <c r="E25">
        <v>584</v>
      </c>
      <c r="F25">
        <v>1937</v>
      </c>
    </row>
    <row r="26" spans="1:6">
      <c r="A26" t="s">
        <v>398</v>
      </c>
      <c r="B26" t="s">
        <v>164</v>
      </c>
      <c r="C26" t="s">
        <v>164</v>
      </c>
      <c r="D26" t="s">
        <v>141</v>
      </c>
      <c r="E26">
        <v>256699</v>
      </c>
      <c r="F26">
        <v>214113</v>
      </c>
    </row>
    <row r="27" spans="1:6">
      <c r="A27" t="s">
        <v>399</v>
      </c>
      <c r="B27" t="s">
        <v>180</v>
      </c>
      <c r="C27" t="s">
        <v>180</v>
      </c>
      <c r="D27" t="s">
        <v>165</v>
      </c>
    </row>
    <row r="28" spans="1:6">
      <c r="A28" t="s">
        <v>400</v>
      </c>
      <c r="D28" t="s">
        <v>141</v>
      </c>
      <c r="E28">
        <v>354200</v>
      </c>
      <c r="F28">
        <v>301082</v>
      </c>
    </row>
    <row r="29" spans="1:6">
      <c r="A29" t="s">
        <v>401</v>
      </c>
      <c r="D29" t="s">
        <v>141</v>
      </c>
    </row>
    <row r="30" spans="1:6">
      <c r="A30" t="s">
        <v>402</v>
      </c>
      <c r="B30" t="s">
        <v>182</v>
      </c>
      <c r="C30" t="s">
        <v>182</v>
      </c>
      <c r="D30" t="s">
        <v>181</v>
      </c>
      <c r="E30">
        <v>33</v>
      </c>
      <c r="F30">
        <v>30</v>
      </c>
    </row>
    <row r="31" spans="1:6">
      <c r="A31" t="s">
        <v>403</v>
      </c>
      <c r="B31" t="s">
        <v>117</v>
      </c>
      <c r="C31" t="s">
        <v>117</v>
      </c>
      <c r="D31" t="s">
        <v>116</v>
      </c>
      <c r="E31">
        <v>330661</v>
      </c>
      <c r="F31">
        <v>310332</v>
      </c>
    </row>
    <row r="32" spans="1:6">
      <c r="A32" t="s">
        <v>404</v>
      </c>
      <c r="D32" t="s">
        <v>116</v>
      </c>
      <c r="E32">
        <v>14301</v>
      </c>
      <c r="F32">
        <v>-23590</v>
      </c>
    </row>
    <row r="33" spans="1:6">
      <c r="A33" t="s">
        <v>405</v>
      </c>
      <c r="D33" t="s">
        <v>116</v>
      </c>
      <c r="E33">
        <v>-500</v>
      </c>
    </row>
    <row r="34" spans="1:6">
      <c r="A34" t="s">
        <v>406</v>
      </c>
      <c r="D34" t="s">
        <v>116</v>
      </c>
      <c r="E34">
        <v>3660</v>
      </c>
      <c r="F34">
        <v>7283</v>
      </c>
    </row>
    <row r="35" spans="1:6">
      <c r="A35" t="s">
        <v>407</v>
      </c>
      <c r="D35" t="s">
        <v>116</v>
      </c>
      <c r="E35">
        <v>6045</v>
      </c>
      <c r="F35">
        <v>7027</v>
      </c>
    </row>
    <row r="36" spans="1:6">
      <c r="A36" t="s">
        <v>408</v>
      </c>
      <c r="B36" t="s">
        <v>90</v>
      </c>
      <c r="C36" t="s">
        <v>90</v>
      </c>
      <c r="D36" t="s">
        <v>116</v>
      </c>
      <c r="E36">
        <v>354200</v>
      </c>
      <c r="F36">
        <v>301082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409</v>
      </c>
      <c r="B3" t="s">
        <v>54</v>
      </c>
      <c r="C3" t="s">
        <v>54</v>
      </c>
      <c r="D3" t="s">
        <v>410</v>
      </c>
    </row>
    <row r="4" spans="1:7">
      <c r="A4" t="s">
        <v>411</v>
      </c>
      <c r="B4" t="s">
        <v>54</v>
      </c>
      <c r="C4" t="s">
        <v>54</v>
      </c>
      <c r="D4" t="s">
        <v>410</v>
      </c>
    </row>
    <row r="5" spans="1:7">
      <c r="A5" t="s">
        <v>412</v>
      </c>
      <c r="D5" t="s">
        <v>410</v>
      </c>
      <c r="E5">
        <v>19266</v>
      </c>
      <c r="F5">
        <v>17385</v>
      </c>
      <c r="G5">
        <v>16604</v>
      </c>
    </row>
    <row r="6" spans="1:7">
      <c r="A6" t="s">
        <v>413</v>
      </c>
      <c r="D6" t="s">
        <v>410</v>
      </c>
      <c r="E6">
        <v>28679</v>
      </c>
      <c r="F6">
        <v>27941</v>
      </c>
      <c r="G6">
        <v>28071</v>
      </c>
    </row>
    <row r="7" spans="1:7">
      <c r="A7" t="s">
        <v>414</v>
      </c>
      <c r="D7" t="s">
        <v>410</v>
      </c>
      <c r="E7">
        <v>833</v>
      </c>
      <c r="F7">
        <v>818</v>
      </c>
      <c r="G7">
        <v>1720</v>
      </c>
    </row>
    <row r="8" spans="1:7">
      <c r="A8" t="s">
        <v>379</v>
      </c>
      <c r="D8" t="s">
        <v>410</v>
      </c>
      <c r="E8">
        <v>21</v>
      </c>
      <c r="F8">
        <v>3</v>
      </c>
      <c r="G8">
        <v>2</v>
      </c>
    </row>
    <row r="9" spans="1:7">
      <c r="A9" t="s">
        <v>415</v>
      </c>
      <c r="B9" t="s">
        <v>54</v>
      </c>
      <c r="C9" t="s">
        <v>54</v>
      </c>
      <c r="D9" t="s">
        <v>410</v>
      </c>
      <c r="E9">
        <v>48799</v>
      </c>
      <c r="F9">
        <v>46147</v>
      </c>
      <c r="G9">
        <v>46397</v>
      </c>
    </row>
    <row r="10" spans="1:7">
      <c r="A10" t="s">
        <v>416</v>
      </c>
      <c r="B10" t="s">
        <v>67</v>
      </c>
      <c r="C10" t="s">
        <v>67</v>
      </c>
      <c r="D10" t="s">
        <v>410</v>
      </c>
    </row>
    <row r="11" spans="1:7">
      <c r="A11" t="s">
        <v>412</v>
      </c>
      <c r="D11" t="s">
        <v>410</v>
      </c>
      <c r="E11">
        <v>2931</v>
      </c>
      <c r="F11">
        <v>152</v>
      </c>
      <c r="G11">
        <v>2390</v>
      </c>
    </row>
    <row r="12" spans="1:7">
      <c r="A12" t="s">
        <v>413</v>
      </c>
      <c r="D12" t="s">
        <v>410</v>
      </c>
      <c r="E12">
        <v>1297</v>
      </c>
      <c r="F12">
        <v>3190</v>
      </c>
      <c r="G12">
        <v>505</v>
      </c>
    </row>
    <row r="13" spans="1:7">
      <c r="A13" t="s">
        <v>417</v>
      </c>
      <c r="B13" t="s">
        <v>67</v>
      </c>
      <c r="C13" t="s">
        <v>67</v>
      </c>
      <c r="D13" t="s">
        <v>410</v>
      </c>
      <c r="E13">
        <v>4228</v>
      </c>
      <c r="F13">
        <v>3342</v>
      </c>
      <c r="G13">
        <v>2895</v>
      </c>
    </row>
    <row r="14" spans="1:7">
      <c r="A14" t="s">
        <v>418</v>
      </c>
      <c r="D14" t="s">
        <v>410</v>
      </c>
    </row>
    <row r="15" spans="1:7">
      <c r="A15" t="s">
        <v>412</v>
      </c>
      <c r="D15" t="s">
        <v>410</v>
      </c>
      <c r="E15">
        <v>3104</v>
      </c>
      <c r="F15">
        <v>996</v>
      </c>
      <c r="G15">
        <v>1253</v>
      </c>
    </row>
    <row r="16" spans="1:7">
      <c r="A16" t="s">
        <v>413</v>
      </c>
      <c r="D16" t="s">
        <v>410</v>
      </c>
      <c r="E16">
        <v>2224</v>
      </c>
      <c r="F16">
        <v>1377</v>
      </c>
      <c r="G16">
        <v>333</v>
      </c>
    </row>
    <row r="17" spans="1:7">
      <c r="A17" t="s">
        <v>419</v>
      </c>
      <c r="D17" t="s">
        <v>410</v>
      </c>
      <c r="E17">
        <v>5328</v>
      </c>
      <c r="F17">
        <v>2373</v>
      </c>
      <c r="G17">
        <v>1586</v>
      </c>
    </row>
    <row r="18" spans="1:7">
      <c r="A18" t="s">
        <v>420</v>
      </c>
      <c r="B18" t="s">
        <v>410</v>
      </c>
      <c r="C18" t="s">
        <v>26</v>
      </c>
      <c r="D18" t="s">
        <v>410</v>
      </c>
      <c r="F18">
        <v>13</v>
      </c>
      <c r="G18">
        <v>77</v>
      </c>
    </row>
    <row r="19" spans="1:7">
      <c r="A19" t="s">
        <v>421</v>
      </c>
      <c r="B19" t="s">
        <v>54</v>
      </c>
      <c r="C19" t="s">
        <v>54</v>
      </c>
      <c r="D19" t="s">
        <v>410</v>
      </c>
      <c r="E19">
        <v>58355</v>
      </c>
      <c r="F19">
        <v>51875</v>
      </c>
      <c r="G19">
        <v>50955</v>
      </c>
    </row>
    <row r="20" spans="1:7">
      <c r="A20" t="s">
        <v>422</v>
      </c>
      <c r="B20" t="s">
        <v>41</v>
      </c>
      <c r="C20" t="s">
        <v>41</v>
      </c>
      <c r="D20" t="s">
        <v>410</v>
      </c>
    </row>
    <row r="21" spans="1:7">
      <c r="A21" t="s">
        <v>423</v>
      </c>
      <c r="B21" t="s">
        <v>36</v>
      </c>
      <c r="C21" t="s">
        <v>36</v>
      </c>
      <c r="D21" t="s">
        <v>410</v>
      </c>
      <c r="E21">
        <v>-10796</v>
      </c>
      <c r="F21">
        <v>-9925</v>
      </c>
      <c r="G21">
        <v>9925</v>
      </c>
    </row>
    <row r="22" spans="1:7">
      <c r="A22" t="s">
        <v>424</v>
      </c>
      <c r="D22" t="s">
        <v>410</v>
      </c>
      <c r="E22">
        <v>6277</v>
      </c>
      <c r="F22">
        <v>6606</v>
      </c>
      <c r="G22">
        <v>6697</v>
      </c>
    </row>
    <row r="23" spans="1:7">
      <c r="A23" t="s">
        <v>425</v>
      </c>
      <c r="D23" t="s">
        <v>410</v>
      </c>
      <c r="E23">
        <v>10648</v>
      </c>
      <c r="F23">
        <v>4750</v>
      </c>
      <c r="G23">
        <v>5179</v>
      </c>
    </row>
    <row r="24" spans="1:7">
      <c r="A24" t="s">
        <v>426</v>
      </c>
      <c r="D24" t="s">
        <v>410</v>
      </c>
      <c r="E24">
        <v>1087</v>
      </c>
      <c r="F24">
        <v>1120</v>
      </c>
      <c r="G24">
        <v>1190</v>
      </c>
    </row>
    <row r="25" spans="1:7">
      <c r="A25" t="s">
        <v>427</v>
      </c>
      <c r="D25" t="s">
        <v>410</v>
      </c>
      <c r="E25">
        <v>4034</v>
      </c>
      <c r="F25">
        <v>3540</v>
      </c>
      <c r="G25">
        <v>4154</v>
      </c>
    </row>
    <row r="26" spans="1:7">
      <c r="A26" t="s">
        <v>428</v>
      </c>
      <c r="D26" t="s">
        <v>410</v>
      </c>
      <c r="E26">
        <v>9005</v>
      </c>
      <c r="F26">
        <v>8683</v>
      </c>
      <c r="G26">
        <v>7963</v>
      </c>
    </row>
    <row r="27" spans="1:7">
      <c r="A27" t="s">
        <v>429</v>
      </c>
      <c r="B27" t="s">
        <v>430</v>
      </c>
      <c r="C27" t="s">
        <v>43</v>
      </c>
      <c r="D27" t="s">
        <v>410</v>
      </c>
      <c r="E27">
        <v>1468</v>
      </c>
      <c r="F27">
        <v>1875</v>
      </c>
      <c r="G27">
        <v>1908</v>
      </c>
    </row>
    <row r="28" spans="1:7">
      <c r="A28" t="s">
        <v>431</v>
      </c>
      <c r="B28" t="s">
        <v>36</v>
      </c>
      <c r="C28" t="s">
        <v>36</v>
      </c>
      <c r="D28" t="s">
        <v>410</v>
      </c>
      <c r="E28">
        <v>1077</v>
      </c>
      <c r="F28">
        <v>698</v>
      </c>
      <c r="G28">
        <v>1192</v>
      </c>
    </row>
    <row r="29" spans="1:7">
      <c r="A29" t="s">
        <v>432</v>
      </c>
      <c r="B29" t="s">
        <v>36</v>
      </c>
      <c r="C29" t="s">
        <v>36</v>
      </c>
      <c r="D29" t="s">
        <v>410</v>
      </c>
      <c r="E29">
        <v>1954</v>
      </c>
      <c r="F29">
        <v>2368</v>
      </c>
      <c r="G29">
        <v>1854</v>
      </c>
    </row>
    <row r="30" spans="1:7">
      <c r="A30" t="s">
        <v>433</v>
      </c>
      <c r="D30" t="s">
        <v>410</v>
      </c>
      <c r="E30">
        <v>46346</v>
      </c>
      <c r="F30">
        <v>39565</v>
      </c>
      <c r="G30">
        <v>40062</v>
      </c>
    </row>
    <row r="31" spans="1:7">
      <c r="A31" t="s">
        <v>434</v>
      </c>
      <c r="D31" t="s">
        <v>410</v>
      </c>
      <c r="E31">
        <v>-6277</v>
      </c>
      <c r="F31">
        <v>-6606</v>
      </c>
      <c r="G31">
        <v>-6697</v>
      </c>
    </row>
    <row r="32" spans="1:7">
      <c r="A32" t="s">
        <v>435</v>
      </c>
      <c r="D32" t="s">
        <v>410</v>
      </c>
      <c r="E32">
        <v>-3674</v>
      </c>
      <c r="F32">
        <v>-3506</v>
      </c>
      <c r="G32">
        <v>-3126</v>
      </c>
    </row>
    <row r="33" spans="1:7">
      <c r="A33" t="s">
        <v>436</v>
      </c>
      <c r="B33" t="s">
        <v>45</v>
      </c>
      <c r="C33" t="s">
        <v>45</v>
      </c>
      <c r="D33" t="s">
        <v>410</v>
      </c>
      <c r="E33">
        <v>36395</v>
      </c>
      <c r="F33">
        <v>29453</v>
      </c>
      <c r="G33">
        <v>30239</v>
      </c>
    </row>
    <row r="34" spans="1:7">
      <c r="A34" t="s">
        <v>437</v>
      </c>
      <c r="B34" t="s">
        <v>54</v>
      </c>
      <c r="C34" t="s">
        <v>54</v>
      </c>
      <c r="D34" t="s">
        <v>410</v>
      </c>
      <c r="E34">
        <v>21960</v>
      </c>
      <c r="F34">
        <v>22422</v>
      </c>
      <c r="G34">
        <v>20716</v>
      </c>
    </row>
    <row r="35" spans="1:7">
      <c r="A35" t="s">
        <v>438</v>
      </c>
      <c r="B35" t="s">
        <v>48</v>
      </c>
      <c r="C35" t="s">
        <v>48</v>
      </c>
      <c r="D35" t="s">
        <v>410</v>
      </c>
    </row>
    <row r="36" spans="1:7">
      <c r="A36" t="s">
        <v>439</v>
      </c>
      <c r="B36" t="s">
        <v>48</v>
      </c>
      <c r="C36" t="s">
        <v>48</v>
      </c>
      <c r="D36" t="s">
        <v>410</v>
      </c>
    </row>
    <row r="37" spans="1:7">
      <c r="A37" t="s">
        <v>412</v>
      </c>
      <c r="D37" t="s">
        <v>410</v>
      </c>
      <c r="E37">
        <v>1189</v>
      </c>
      <c r="F37">
        <v>1086</v>
      </c>
      <c r="G37">
        <v>17038</v>
      </c>
    </row>
    <row r="38" spans="1:7">
      <c r="A38" t="s">
        <v>413</v>
      </c>
      <c r="D38" t="s">
        <v>410</v>
      </c>
      <c r="E38">
        <v>143</v>
      </c>
      <c r="F38">
        <v>14558</v>
      </c>
      <c r="G38">
        <v>-11424</v>
      </c>
    </row>
    <row r="39" spans="1:7">
      <c r="A39" t="s">
        <v>414</v>
      </c>
      <c r="D39" t="s">
        <v>410</v>
      </c>
      <c r="E39">
        <v>4</v>
      </c>
      <c r="F39">
        <v>-3</v>
      </c>
      <c r="G39">
        <v>-10213</v>
      </c>
    </row>
    <row r="40" spans="1:7">
      <c r="A40" t="s">
        <v>440</v>
      </c>
      <c r="D40" t="s">
        <v>410</v>
      </c>
      <c r="F40">
        <v>-254</v>
      </c>
    </row>
    <row r="41" spans="1:7">
      <c r="A41" t="s">
        <v>441</v>
      </c>
      <c r="D41" t="s">
        <v>410</v>
      </c>
      <c r="E41">
        <v>1336</v>
      </c>
      <c r="F41">
        <v>15387</v>
      </c>
      <c r="G41">
        <v>-4599</v>
      </c>
    </row>
    <row r="42" spans="1:7">
      <c r="A42" t="s">
        <v>442</v>
      </c>
      <c r="D42" t="s">
        <v>410</v>
      </c>
    </row>
    <row r="43" spans="1:7">
      <c r="A43" t="s">
        <v>412</v>
      </c>
      <c r="D43" t="s">
        <v>410</v>
      </c>
      <c r="E43">
        <v>28805</v>
      </c>
      <c r="F43">
        <v>9230</v>
      </c>
      <c r="G43">
        <v>-22599</v>
      </c>
    </row>
    <row r="44" spans="1:7">
      <c r="A44" t="s">
        <v>413</v>
      </c>
      <c r="D44" t="s">
        <v>410</v>
      </c>
      <c r="E44">
        <v>12871</v>
      </c>
      <c r="F44">
        <v>-8593</v>
      </c>
      <c r="G44">
        <v>31446</v>
      </c>
    </row>
    <row r="45" spans="1:7">
      <c r="A45" t="s">
        <v>414</v>
      </c>
      <c r="D45" t="s">
        <v>410</v>
      </c>
      <c r="E45">
        <v>-3785</v>
      </c>
      <c r="F45">
        <v>6242</v>
      </c>
      <c r="G45">
        <v>-110</v>
      </c>
    </row>
    <row r="46" spans="1:7">
      <c r="A46" t="s">
        <v>440</v>
      </c>
      <c r="D46" t="s">
        <v>410</v>
      </c>
      <c r="E46">
        <v>-500</v>
      </c>
      <c r="F46">
        <v>75</v>
      </c>
    </row>
    <row r="47" spans="1:7">
      <c r="A47" t="s">
        <v>443</v>
      </c>
      <c r="D47" t="s">
        <v>410</v>
      </c>
      <c r="E47">
        <v>37391</v>
      </c>
      <c r="F47">
        <v>6954</v>
      </c>
      <c r="G47">
        <v>8737</v>
      </c>
    </row>
    <row r="48" spans="1:7">
      <c r="A48" t="s">
        <v>444</v>
      </c>
      <c r="D48" t="s">
        <v>410</v>
      </c>
      <c r="E48">
        <v>38727</v>
      </c>
      <c r="F48">
        <v>22341</v>
      </c>
      <c r="G48">
        <v>4138</v>
      </c>
    </row>
    <row r="49" spans="1:7">
      <c r="A49" t="s">
        <v>445</v>
      </c>
      <c r="D49" t="s">
        <v>410</v>
      </c>
    </row>
    <row r="50" spans="1:7">
      <c r="A50" t="s">
        <v>446</v>
      </c>
      <c r="D50" t="s">
        <v>410</v>
      </c>
    </row>
    <row r="51" spans="1:7">
      <c r="A51" t="s">
        <v>447</v>
      </c>
      <c r="D51" t="s">
        <v>410</v>
      </c>
    </row>
    <row r="52" spans="1:7">
      <c r="D52" t="s">
        <v>410</v>
      </c>
    </row>
    <row r="53" spans="1:7">
      <c r="A53" t="s">
        <v>448</v>
      </c>
      <c r="B53" t="s">
        <v>54</v>
      </c>
      <c r="C53" t="s">
        <v>54</v>
      </c>
      <c r="D53" t="s">
        <v>410</v>
      </c>
      <c r="E53">
        <v>68</v>
      </c>
      <c r="F53">
        <v>74</v>
      </c>
      <c r="G53">
        <v>68</v>
      </c>
    </row>
    <row r="54" spans="1:7">
      <c r="A54" t="s">
        <v>449</v>
      </c>
      <c r="D54" t="s">
        <v>410</v>
      </c>
      <c r="E54">
        <v>188</v>
      </c>
      <c r="F54">
        <v>148</v>
      </c>
      <c r="G54">
        <v>82</v>
      </c>
    </row>
    <row r="55" spans="1:7">
      <c r="A55" t="s">
        <v>450</v>
      </c>
      <c r="D55" t="s">
        <v>410</v>
      </c>
      <c r="E55">
        <v>89</v>
      </c>
      <c r="F55">
        <v>75</v>
      </c>
      <c r="G55">
        <v>75</v>
      </c>
    </row>
    <row r="56" spans="1:7">
      <c r="A56" t="s">
        <v>451</v>
      </c>
      <c r="D56" t="s">
        <v>410</v>
      </c>
    </row>
    <row r="57" spans="1:7">
      <c r="A57" t="s">
        <v>452</v>
      </c>
      <c r="D57" t="s">
        <v>410</v>
      </c>
      <c r="E57">
        <v>32268776</v>
      </c>
      <c r="F57">
        <v>30270958</v>
      </c>
      <c r="G57">
        <v>30268253</v>
      </c>
    </row>
    <row r="58" spans="1:7">
      <c r="A58" t="s">
        <v>453</v>
      </c>
      <c r="D58" t="s">
        <v>410</v>
      </c>
    </row>
    <row r="59" spans="1:7">
      <c r="A59" t="s">
        <v>454</v>
      </c>
      <c r="D59" t="s">
        <v>410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455</v>
      </c>
      <c r="B3" t="s">
        <v>231</v>
      </c>
      <c r="C3" t="s">
        <v>231</v>
      </c>
      <c r="D3" t="s">
        <v>456</v>
      </c>
    </row>
    <row r="4" spans="1:7">
      <c r="A4" t="s">
        <v>449</v>
      </c>
      <c r="B4" t="s">
        <v>261</v>
      </c>
      <c r="C4" t="s">
        <v>261</v>
      </c>
      <c r="D4" t="s">
        <v>456</v>
      </c>
      <c r="E4">
        <v>60687</v>
      </c>
      <c r="F4">
        <v>44763</v>
      </c>
      <c r="G4">
        <v>24854</v>
      </c>
    </row>
    <row r="5" spans="1:7">
      <c r="A5" t="s">
        <v>457</v>
      </c>
    </row>
    <row r="6" spans="1:7">
      <c r="A6" t="s">
        <v>458</v>
      </c>
      <c r="B6" t="s">
        <v>285</v>
      </c>
      <c r="C6" t="s">
        <v>285</v>
      </c>
      <c r="D6" t="s">
        <v>456</v>
      </c>
    </row>
    <row r="7" spans="1:7">
      <c r="A7" t="s">
        <v>459</v>
      </c>
      <c r="B7" t="s">
        <v>290</v>
      </c>
      <c r="C7" t="s">
        <v>290</v>
      </c>
      <c r="D7" t="s">
        <v>460</v>
      </c>
      <c r="E7">
        <v>-98539</v>
      </c>
      <c r="F7">
        <v>-62446</v>
      </c>
      <c r="G7">
        <v>-61896</v>
      </c>
    </row>
    <row r="8" spans="1:7">
      <c r="A8" t="s">
        <v>461</v>
      </c>
      <c r="D8" t="s">
        <v>460</v>
      </c>
      <c r="E8">
        <v>32208</v>
      </c>
      <c r="F8">
        <v>31886</v>
      </c>
      <c r="G8">
        <v>24205</v>
      </c>
    </row>
    <row r="9" spans="1:7">
      <c r="A9" t="s">
        <v>462</v>
      </c>
      <c r="B9" t="s">
        <v>291</v>
      </c>
      <c r="C9" t="s">
        <v>291</v>
      </c>
      <c r="D9" t="s">
        <v>460</v>
      </c>
      <c r="E9">
        <v>7651</v>
      </c>
      <c r="F9">
        <v>36939</v>
      </c>
      <c r="G9">
        <v>20377</v>
      </c>
    </row>
    <row r="10" spans="1:7">
      <c r="A10" t="s">
        <v>463</v>
      </c>
      <c r="B10" t="s">
        <v>244</v>
      </c>
      <c r="C10" t="s">
        <v>244</v>
      </c>
      <c r="D10" t="s">
        <v>460</v>
      </c>
      <c r="E10">
        <v>-1425</v>
      </c>
      <c r="F10">
        <v>-15196</v>
      </c>
      <c r="G10">
        <v>4448</v>
      </c>
    </row>
    <row r="11" spans="1:7">
      <c r="A11" t="s">
        <v>464</v>
      </c>
      <c r="D11" t="s">
        <v>460</v>
      </c>
      <c r="F11">
        <v>239</v>
      </c>
    </row>
    <row r="12" spans="1:7">
      <c r="A12" t="s">
        <v>465</v>
      </c>
      <c r="B12" t="s">
        <v>244</v>
      </c>
      <c r="C12" t="s">
        <v>244</v>
      </c>
      <c r="D12" t="s">
        <v>456</v>
      </c>
      <c r="E12">
        <v>-37891</v>
      </c>
      <c r="F12">
        <v>-6879</v>
      </c>
      <c r="G12">
        <v>-8737</v>
      </c>
    </row>
    <row r="13" spans="1:7">
      <c r="A13" t="s">
        <v>466</v>
      </c>
      <c r="D13" t="s">
        <v>460</v>
      </c>
      <c r="E13">
        <v>500</v>
      </c>
      <c r="F13">
        <v>-75</v>
      </c>
    </row>
    <row r="14" spans="1:7">
      <c r="A14" t="s">
        <v>467</v>
      </c>
      <c r="B14" t="s">
        <v>240</v>
      </c>
      <c r="C14" t="s">
        <v>240</v>
      </c>
      <c r="D14" t="s">
        <v>456</v>
      </c>
      <c r="E14">
        <v>-15</v>
      </c>
    </row>
    <row r="15" spans="1:7">
      <c r="A15" t="s">
        <v>429</v>
      </c>
      <c r="B15" t="s">
        <v>240</v>
      </c>
      <c r="C15" t="s">
        <v>240</v>
      </c>
      <c r="D15" t="s">
        <v>456</v>
      </c>
      <c r="E15">
        <v>1468</v>
      </c>
      <c r="F15">
        <v>1875</v>
      </c>
      <c r="G15">
        <v>1908</v>
      </c>
    </row>
    <row r="16" spans="1:7">
      <c r="A16" t="s">
        <v>468</v>
      </c>
      <c r="B16" t="s">
        <v>243</v>
      </c>
      <c r="C16" t="s">
        <v>243</v>
      </c>
      <c r="D16" t="s">
        <v>456</v>
      </c>
      <c r="E16">
        <v>308</v>
      </c>
      <c r="F16">
        <v>650</v>
      </c>
      <c r="G16">
        <v>267</v>
      </c>
    </row>
    <row r="17" spans="1:7">
      <c r="A17" t="s">
        <v>469</v>
      </c>
      <c r="D17" t="s">
        <v>460</v>
      </c>
    </row>
    <row r="18" spans="1:7">
      <c r="A18" t="s">
        <v>470</v>
      </c>
      <c r="B18" t="s">
        <v>471</v>
      </c>
      <c r="C18" t="s">
        <v>312</v>
      </c>
      <c r="D18" t="s">
        <v>472</v>
      </c>
      <c r="E18">
        <v>903</v>
      </c>
      <c r="F18">
        <v>171</v>
      </c>
      <c r="G18">
        <v>-847</v>
      </c>
    </row>
    <row r="19" spans="1:7">
      <c r="A19" t="s">
        <v>473</v>
      </c>
      <c r="B19" t="s">
        <v>262</v>
      </c>
      <c r="C19" t="s">
        <v>262</v>
      </c>
      <c r="D19" t="s">
        <v>460</v>
      </c>
      <c r="E19">
        <v>-1681</v>
      </c>
      <c r="F19">
        <v>-253</v>
      </c>
      <c r="G19">
        <v>-1133</v>
      </c>
    </row>
    <row r="20" spans="1:7">
      <c r="A20" t="s">
        <v>474</v>
      </c>
      <c r="D20" t="s">
        <v>460</v>
      </c>
      <c r="E20">
        <v>-86</v>
      </c>
      <c r="F20">
        <v>-600</v>
      </c>
      <c r="G20">
        <v>2874</v>
      </c>
    </row>
    <row r="21" spans="1:7">
      <c r="A21" t="s">
        <v>475</v>
      </c>
      <c r="B21" t="s">
        <v>276</v>
      </c>
      <c r="C21" t="s">
        <v>276</v>
      </c>
      <c r="D21" t="s">
        <v>456</v>
      </c>
      <c r="E21">
        <v>2879</v>
      </c>
      <c r="F21">
        <v>3065</v>
      </c>
      <c r="G21">
        <v>-2934</v>
      </c>
    </row>
    <row r="22" spans="1:7">
      <c r="A22" t="s">
        <v>476</v>
      </c>
      <c r="B22" t="s">
        <v>272</v>
      </c>
      <c r="C22" t="s">
        <v>272</v>
      </c>
      <c r="D22" t="s">
        <v>456</v>
      </c>
      <c r="E22">
        <v>259</v>
      </c>
      <c r="F22">
        <v>-476</v>
      </c>
      <c r="G22">
        <v>-217</v>
      </c>
    </row>
    <row r="23" spans="1:7">
      <c r="A23" t="s">
        <v>477</v>
      </c>
      <c r="D23" t="s">
        <v>456</v>
      </c>
      <c r="E23">
        <v>5000</v>
      </c>
      <c r="F23">
        <v>-241</v>
      </c>
      <c r="G23">
        <v>410</v>
      </c>
    </row>
    <row r="24" spans="1:7">
      <c r="A24" t="s">
        <v>478</v>
      </c>
      <c r="B24" t="s">
        <v>277</v>
      </c>
      <c r="C24" t="s">
        <v>277</v>
      </c>
      <c r="D24" t="s">
        <v>456</v>
      </c>
      <c r="E24">
        <v>21</v>
      </c>
      <c r="F24">
        <v>-15</v>
      </c>
      <c r="G24">
        <v>49</v>
      </c>
    </row>
    <row r="25" spans="1:7">
      <c r="A25" t="s">
        <v>479</v>
      </c>
      <c r="B25" t="s">
        <v>277</v>
      </c>
      <c r="C25" t="s">
        <v>277</v>
      </c>
      <c r="D25" t="s">
        <v>456</v>
      </c>
      <c r="E25">
        <v>-1074</v>
      </c>
      <c r="F25">
        <v>-928</v>
      </c>
      <c r="G25">
        <v>454</v>
      </c>
    </row>
    <row r="26" spans="1:7">
      <c r="A26" t="s">
        <v>480</v>
      </c>
      <c r="B26" t="s">
        <v>285</v>
      </c>
      <c r="C26" t="s">
        <v>285</v>
      </c>
      <c r="D26" t="s">
        <v>456</v>
      </c>
      <c r="E26">
        <v>-28827</v>
      </c>
      <c r="F26">
        <v>32479</v>
      </c>
      <c r="G26">
        <v>4082</v>
      </c>
    </row>
    <row r="27" spans="1:7">
      <c r="A27" t="s">
        <v>481</v>
      </c>
      <c r="B27" t="s">
        <v>297</v>
      </c>
      <c r="C27" t="s">
        <v>297</v>
      </c>
      <c r="D27" t="s">
        <v>472</v>
      </c>
    </row>
    <row r="28" spans="1:7">
      <c r="A28" t="s">
        <v>482</v>
      </c>
      <c r="B28" t="s">
        <v>298</v>
      </c>
      <c r="C28" t="s">
        <v>298</v>
      </c>
      <c r="D28" t="s">
        <v>472</v>
      </c>
      <c r="E28">
        <v>22485</v>
      </c>
      <c r="G28">
        <v>3663</v>
      </c>
    </row>
    <row r="29" spans="1:7">
      <c r="A29" t="s">
        <v>483</v>
      </c>
      <c r="D29" t="s">
        <v>472</v>
      </c>
      <c r="E29">
        <v>-1110</v>
      </c>
      <c r="G29">
        <v>-221</v>
      </c>
    </row>
    <row r="30" spans="1:7">
      <c r="A30" t="s">
        <v>484</v>
      </c>
      <c r="B30" t="s">
        <v>298</v>
      </c>
      <c r="C30" t="s">
        <v>298</v>
      </c>
      <c r="D30" t="s">
        <v>472</v>
      </c>
      <c r="E30">
        <v>132100</v>
      </c>
      <c r="F30">
        <v>83400</v>
      </c>
      <c r="G30">
        <v>105000</v>
      </c>
    </row>
    <row r="31" spans="1:7">
      <c r="A31" t="s">
        <v>485</v>
      </c>
      <c r="D31" t="s">
        <v>472</v>
      </c>
      <c r="E31">
        <v>-94800</v>
      </c>
      <c r="F31">
        <v>-108700</v>
      </c>
      <c r="G31">
        <v>-128800</v>
      </c>
    </row>
    <row r="32" spans="1:7">
      <c r="A32" t="s">
        <v>486</v>
      </c>
      <c r="B32" t="s">
        <v>298</v>
      </c>
      <c r="C32" t="s">
        <v>298</v>
      </c>
      <c r="D32" t="s">
        <v>472</v>
      </c>
      <c r="F32">
        <v>57500</v>
      </c>
      <c r="G32">
        <v>40250</v>
      </c>
    </row>
    <row r="33" spans="1:7">
      <c r="A33" t="s">
        <v>487</v>
      </c>
      <c r="D33" t="s">
        <v>472</v>
      </c>
      <c r="F33">
        <v>-40000</v>
      </c>
    </row>
    <row r="34" spans="1:7">
      <c r="A34" t="s">
        <v>488</v>
      </c>
      <c r="B34" t="s">
        <v>489</v>
      </c>
      <c r="C34" t="s">
        <v>489</v>
      </c>
      <c r="D34" t="s">
        <v>472</v>
      </c>
      <c r="E34">
        <v>-147</v>
      </c>
      <c r="F34">
        <v>-3589</v>
      </c>
      <c r="G34">
        <v>-1711</v>
      </c>
    </row>
    <row r="35" spans="1:7">
      <c r="A35" t="s">
        <v>490</v>
      </c>
      <c r="D35" t="s">
        <v>472</v>
      </c>
      <c r="E35">
        <v>-28930</v>
      </c>
      <c r="F35">
        <v>-22703</v>
      </c>
      <c r="G35">
        <v>-22703</v>
      </c>
    </row>
    <row r="36" spans="1:7">
      <c r="A36" t="s">
        <v>491</v>
      </c>
      <c r="B36" t="s">
        <v>311</v>
      </c>
      <c r="C36" t="s">
        <v>311</v>
      </c>
      <c r="D36" t="s">
        <v>472</v>
      </c>
      <c r="E36">
        <v>29598</v>
      </c>
      <c r="F36">
        <v>-34092</v>
      </c>
      <c r="G36">
        <v>-4522</v>
      </c>
    </row>
    <row r="37" spans="1:7">
      <c r="A37" t="s">
        <v>492</v>
      </c>
      <c r="B37" t="s">
        <v>471</v>
      </c>
      <c r="C37" t="s">
        <v>312</v>
      </c>
      <c r="D37" t="s">
        <v>472</v>
      </c>
      <c r="E37">
        <v>771</v>
      </c>
      <c r="F37">
        <v>-1613</v>
      </c>
      <c r="G37">
        <v>-440</v>
      </c>
    </row>
    <row r="38" spans="1:7">
      <c r="A38" t="s">
        <v>493</v>
      </c>
      <c r="B38" t="s">
        <v>494</v>
      </c>
      <c r="C38" t="s">
        <v>315</v>
      </c>
      <c r="D38" t="s">
        <v>472</v>
      </c>
      <c r="E38">
        <v>2868</v>
      </c>
      <c r="F38">
        <v>4481</v>
      </c>
      <c r="G38">
        <v>4921</v>
      </c>
    </row>
    <row r="39" spans="1:7">
      <c r="A39" t="s">
        <v>495</v>
      </c>
      <c r="B39" t="s">
        <v>316</v>
      </c>
      <c r="C39" t="s">
        <v>316</v>
      </c>
      <c r="D39" t="s">
        <v>472</v>
      </c>
      <c r="E39">
        <v>3639</v>
      </c>
      <c r="F39">
        <v>2868</v>
      </c>
      <c r="G39">
        <v>4481</v>
      </c>
    </row>
    <row r="40" spans="1:7">
      <c r="A40" t="s">
        <v>496</v>
      </c>
      <c r="D40" t="s">
        <v>472</v>
      </c>
      <c r="E40">
        <v>3288</v>
      </c>
      <c r="F40">
        <v>3018</v>
      </c>
      <c r="G40">
        <v>3679</v>
      </c>
    </row>
    <row r="41" spans="1:7">
      <c r="A41" t="s">
        <v>497</v>
      </c>
      <c r="D41" t="s">
        <v>472</v>
      </c>
      <c r="E41">
        <v>42977</v>
      </c>
      <c r="F41">
        <v>8796</v>
      </c>
      <c r="G41">
        <v>13944</v>
      </c>
    </row>
    <row r="42" spans="1:7">
      <c r="D42" t="s">
        <v>472</v>
      </c>
    </row>
    <row r="43" spans="1:7">
      <c r="A43" t="s">
        <v>498</v>
      </c>
      <c r="D43" t="s">
        <v>472</v>
      </c>
    </row>
    <row r="44" spans="1:7">
      <c r="A44" t="s">
        <v>499</v>
      </c>
      <c r="D44" t="s">
        <v>472</v>
      </c>
    </row>
    <row r="45" spans="1:7">
      <c r="D45" t="s">
        <v>472</v>
      </c>
    </row>
    <row r="46" spans="1:7">
      <c r="D46" t="s">
        <v>472</v>
      </c>
    </row>
    <row r="47" spans="1:7">
      <c r="D47" t="s">
        <v>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19E394-463F-43BE-9687-FFCBC4678B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AECEF-1C8E-4792-BCC6-7DB2DEDF5A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F17BF-28E7-4A20-945F-EDEB788CA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2021-11-09T05:17:05Z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