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97" i="1"/>
  <c r="F197" i="1"/>
  <c r="G95" i="1"/>
  <c r="F95" i="1"/>
  <c r="G92" i="1"/>
  <c r="F92" i="1"/>
  <c r="G89" i="1"/>
  <c r="F89" i="1"/>
  <c r="G54" i="1"/>
  <c r="F54" i="1"/>
  <c r="G36" i="1"/>
  <c r="F36" i="1"/>
  <c r="G24" i="1"/>
  <c r="F24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12" i="1"/>
  <c r="F376" i="1" s="1"/>
  <c r="G44" i="1"/>
  <c r="G378" i="1" s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F383" i="1"/>
  <c r="F382" i="1"/>
  <c r="L366" i="1"/>
  <c r="J368" i="1"/>
  <c r="J372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H375" i="1"/>
  <c r="J378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L373" i="1"/>
  <c r="H376" i="1"/>
  <c r="N377" i="1"/>
  <c r="L378" i="1"/>
  <c r="H382" i="1"/>
  <c r="H381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F14" i="1" l="1"/>
  <c r="G12" i="1"/>
  <c r="G382" i="1"/>
  <c r="G370" i="1"/>
  <c r="G59" i="1"/>
  <c r="G67" i="1" s="1"/>
  <c r="G71" i="1" s="1"/>
  <c r="F378" i="1"/>
  <c r="F59" i="1"/>
  <c r="F67" i="1" s="1"/>
  <c r="F71" i="1" s="1"/>
  <c r="F370" i="1"/>
  <c r="G376" i="1" l="1"/>
  <c r="G366" i="1"/>
  <c r="G14" i="1"/>
  <c r="G372" i="1"/>
  <c r="F366" i="1"/>
  <c r="G83" i="1"/>
  <c r="G373" i="1"/>
  <c r="G6" i="1"/>
  <c r="G365" i="1" s="1"/>
  <c r="F373" i="1"/>
  <c r="F83" i="1"/>
  <c r="F6" i="1"/>
  <c r="F372" i="1"/>
  <c r="G371" i="1" l="1"/>
  <c r="F371" i="1"/>
  <c r="F365" i="1"/>
</calcChain>
</file>

<file path=xl/sharedStrings.xml><?xml version="1.0" encoding="utf-8"?>
<sst xmlns="http://schemas.openxmlformats.org/spreadsheetml/2006/main" count="942" uniqueCount="563">
  <si>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</si>
  <si>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</si>
  <si>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</si>
  <si>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</si>
  <si>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</si>
  <si>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</si>
  <si>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</si>
  <si>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</si>
  <si>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</si>
  <si>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</si>
  <si>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</si>
  <si>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</si>
  <si>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</si>
  <si>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</si>
  <si>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</si>
  <si>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</si>
  <si>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</si>
  <si>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</si>
  <si>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</si>
  <si>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</si>
  <si>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</si>
  <si>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</si>
  <si>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</si>
  <si>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</si>
  <si>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</si>
  <si>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</si>
  <si>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</si>
  <si>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</si>
  <si>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</si>
  <si>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</si>
  <si>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</si>
  <si>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</si>
  <si>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</si>
  <si>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</si>
  <si>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</si>
  <si>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</si>
  <si>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</si>
  <si>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</si>
  <si>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</si>
  <si>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</si>
  <si>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</si>
  <si>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</si>
  <si>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</si>
  <si>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</si>
  <si>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</si>
  <si>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</si>
  <si>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</si>
  <si>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</si>
  <si>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</si>
  <si>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</si>
  <si>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</si>
  <si>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</si>
  <si>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</si>
  <si>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</si>
  <si>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</si>
  <si>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</si>
  <si>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</si>
  <si>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</si>
  <si>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</si>
  <si>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</si>
  <si>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</si>
  <si>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</si>
  <si>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</si>
  <si>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</si>
  <si>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</si>
  <si>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</si>
  <si>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</si>
  <si>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</si>
  <si>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</si>
  <si>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</si>
  <si>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</si>
  <si>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</si>
  <si>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</si>
  <si>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</si>
  <si>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</si>
  <si>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</si>
  <si>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</si>
  <si>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</si>
  <si>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</si>
  <si>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</si>
  <si>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</si>
  <si>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</si>
  <si>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</si>
  <si>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</si>
  <si>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</si>
  <si>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</si>
  <si>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</si>
  <si>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</si>
  <si>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</si>
  <si>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</si>
  <si>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</si>
  <si>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</si>
  <si>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</si>
  <si>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</si>
  <si>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</si>
  <si>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</si>
  <si>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</si>
  <si>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</si>
  <si>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</si>
  <si>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</si>
  <si>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</si>
  <si>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</si>
  <si>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</si>
  <si>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</si>
  <si>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</si>
  <si>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</si>
  <si>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</si>
  <si>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</si>
  <si>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</si>
  <si>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</si>
  <si>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</si>
  <si>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</si>
  <si>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</si>
  <si>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</si>
  <si>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</si>
  <si>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</si>
  <si>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</si>
  <si>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</si>
  <si>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</si>
  <si>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</si>
  <si>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</si>
  <si>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</si>
  <si>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</si>
  <si>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</si>
  <si>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</si>
  <si>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</si>
  <si>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</si>
  <si>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</si>
  <si>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</si>
  <si>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</si>
  <si>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</si>
  <si>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</si>
  <si>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</si>
  <si>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</si>
  <si>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</si>
  <si>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</si>
  <si>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</si>
  <si>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</si>
  <si>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</si>
  <si>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</si>
  <si>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</si>
  <si>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</si>
  <si>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</si>
  <si>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</si>
  <si>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</si>
  <si>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</si>
  <si>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</si>
  <si>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</si>
  <si>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</si>
  <si>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</si>
  <si>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</si>
  <si>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</si>
  <si>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</si>
  <si>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</si>
  <si>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</si>
  <si>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</si>
  <si>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</si>
  <si>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</si>
  <si>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</si>
  <si>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</si>
  <si>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</si>
  <si>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</si>
  <si>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</si>
  <si>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</si>
  <si>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</si>
  <si>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</si>
  <si>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</si>
  <si>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</si>
  <si>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</si>
  <si>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</si>
  <si>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</si>
  <si>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</si>
  <si>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</si>
  <si>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</si>
  <si>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</si>
  <si>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</si>
  <si>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</si>
  <si>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</si>
  <si>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</si>
  <si>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</si>
  <si>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</si>
  <si>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</si>
  <si>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</si>
  <si>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</si>
  <si>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</si>
  <si>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</si>
  <si>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</si>
  <si>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</si>
  <si>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</si>
  <si>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</si>
  <si>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</si>
  <si>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</si>
  <si>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</si>
  <si>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</si>
  <si>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</si>
  <si>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</si>
  <si>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</si>
  <si>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</si>
  <si>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</si>
  <si>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</si>
  <si>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</si>
  <si>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</si>
  <si>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</si>
  <si>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</si>
  <si>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</si>
  <si>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</si>
  <si>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</si>
  <si>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</si>
  <si>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</si>
  <si>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</si>
  <si>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</si>
  <si>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</si>
  <si>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</si>
  <si>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</si>
  <si>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</si>
  <si>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</si>
  <si>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</si>
  <si>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</si>
  <si>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</si>
  <si>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</si>
  <si>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</si>
  <si>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</si>
  <si>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</si>
  <si>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</si>
  <si>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</si>
  <si>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</si>
  <si>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</si>
  <si>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</si>
  <si>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</si>
  <si>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</si>
  <si>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</si>
  <si>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</si>
  <si>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</si>
  <si>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</si>
  <si>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</si>
  <si>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</si>
  <si>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</si>
  <si>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</si>
  <si>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</si>
  <si>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</si>
  <si>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</si>
  <si>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</si>
  <si>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</si>
  <si>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</si>
  <si>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</si>
  <si>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</si>
  <si>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</si>
  <si>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</si>
  <si>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</si>
  <si>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</si>
  <si>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</si>
  <si>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</si>
  <si>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</si>
  <si>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</si>
  <si>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</si>
  <si>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</si>
  <si>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</si>
  <si>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</si>
  <si>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</si>
  <si>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</si>
  <si>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</si>
  <si>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</si>
  <si>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</si>
  <si>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</si>
  <si>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</si>
  <si>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</si>
  <si>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</si>
  <si>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</si>
  <si>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</si>
  <si>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</si>
  <si>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</si>
  <si>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</si>
  <si>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</si>
  <si>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</si>
  <si>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</si>
  <si>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</si>
  <si>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</si>
  <si>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</si>
  <si>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</si>
  <si>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</si>
  <si>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</si>
  <si>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</si>
  <si>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</si>
  <si>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</si>
  <si>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</si>
  <si>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</si>
  <si>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</si>
  <si>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</si>
  <si>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</si>
  <si>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</si>
  <si>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</si>
  <si>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</si>
  <si>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</si>
  <si>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</si>
  <si>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</si>
  <si>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</si>
  <si>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</si>
  <si>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</si>
  <si>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</si>
  <si>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</si>
  <si>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</si>
  <si>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</si>
  <si>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</si>
  <si>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</si>
  <si>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</si>
  <si>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</si>
  <si>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</si>
  <si>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</si>
  <si>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</si>
  <si>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</si>
  <si>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</si>
  <si>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</si>
  <si>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</si>
  <si>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</si>
  <si>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</si>
  <si>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</si>
  <si>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</si>
  <si>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</si>
  <si>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</si>
  <si>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</si>
  <si>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</si>
  <si>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</si>
  <si>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</si>
  <si>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</si>
  <si>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</si>
  <si>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</si>
  <si>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</si>
  <si>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</si>
  <si>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</si>
  <si>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</si>
  <si>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</si>
  <si>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</si>
  <si>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</si>
  <si>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</si>
  <si>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</si>
  <si>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</si>
  <si>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</si>
  <si>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</si>
  <si>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</si>
  <si>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</si>
  <si>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</si>
  <si>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</si>
  <si>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</si>
  <si>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</si>
  <si>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</si>
  <si>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</si>
  <si>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</si>
  <si>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</si>
  <si>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</si>
  <si>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</si>
  <si>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</si>
  <si>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</si>
  <si>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</si>
  <si>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</si>
  <si>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</si>
  <si>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</si>
  <si>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</si>
  <si>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</si>
  <si>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</si>
  <si>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</si>
  <si>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</si>
  <si>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</si>
  <si>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</si>
  <si>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</si>
  <si>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</si>
  <si>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</si>
  <si>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</si>
  <si>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</si>
  <si>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</si>
  <si>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</si>
  <si>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</si>
  <si>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</si>
  <si>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</si>
  <si>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</si>
  <si>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amounts)</t>
  </si>
  <si>
    <t>ASSETS</t>
  </si>
  <si>
    <t>PROPERTY, PLANT AND EQUIPMENT:</t>
  </si>
  <si>
    <t>Property, plant and equipment</t>
  </si>
  <si>
    <t>Less accumulated depreciation</t>
  </si>
  <si>
    <t>Net property, plant and equipment</t>
  </si>
  <si>
    <t>CURRENT ASSETS:</t>
  </si>
  <si>
    <t>Cash and cash equivalents</t>
  </si>
  <si>
    <t>Accounts receivable  net</t>
  </si>
  <si>
    <t>Due from affiliates</t>
  </si>
  <si>
    <t>Accrued revenue</t>
  </si>
  <si>
    <t>Accrued Revenue</t>
  </si>
  <si>
    <t>Prepaid expenses and other current assets</t>
  </si>
  <si>
    <t>Total current assets</t>
  </si>
  <si>
    <t>OTHER ASSETS:</t>
  </si>
  <si>
    <t>Goodwill</t>
  </si>
  <si>
    <t>Intangible assets  net</t>
  </si>
  <si>
    <t>Other Intangibles</t>
  </si>
  <si>
    <t>Regulatory asset</t>
  </si>
  <si>
    <t>Deposits</t>
  </si>
  <si>
    <t>Bond service fund and other restricted cash</t>
  </si>
  <si>
    <t>Equity method investment</t>
  </si>
  <si>
    <t>Other noncurrent assets</t>
  </si>
  <si>
    <t>Total other assets</t>
  </si>
  <si>
    <t>TOTAL ASSETS</t>
  </si>
  <si>
    <t>LIABILITIES AND SHAREHOLDERS' EQUITY</t>
  </si>
  <si>
    <t>CURRENT LIABILITIES:</t>
  </si>
  <si>
    <t>Accounts payable</t>
  </si>
  <si>
    <t>Accruals</t>
  </si>
  <si>
    <t>Customer and meter deposits</t>
  </si>
  <si>
    <t>Long-term debt and capital leases  current portion</t>
  </si>
  <si>
    <t>Total current liabilities</t>
  </si>
  <si>
    <t>NONCURRENT LIABILITIES:</t>
  </si>
  <si>
    <t>Long-term debt and capital leases</t>
  </si>
  <si>
    <t>Deferred revenue - ICFA</t>
  </si>
  <si>
    <t>Regulatory liability</t>
  </si>
  <si>
    <t>Advances in aid of construction</t>
  </si>
  <si>
    <t>Contributions in aid of construction  net</t>
  </si>
  <si>
    <t>Deferred income tax liabilities, net</t>
  </si>
  <si>
    <t>Acquisition liability</t>
  </si>
  <si>
    <t>Other noncurrent liabilities</t>
  </si>
  <si>
    <t>Total noncurrent liabilities</t>
  </si>
  <si>
    <t>Total liabilities</t>
  </si>
  <si>
    <t>Commitments and contingencies (Refer to Note 15)</t>
  </si>
  <si>
    <t>SHAREHOLDERS' EQUITY:</t>
  </si>
  <si>
    <t>Common stock, $0.01 par value, 60,000,000 shares authorized; 21,530,470 and 19,631,266 shares issued as of December 31, 2018 and December 31, 2017, respectively</t>
  </si>
  <si>
    <t>Treasury stock, 59,174 and no shares at December 31, 2018 and December 31, 2017, respectively</t>
  </si>
  <si>
    <t>Paid in capital</t>
  </si>
  <si>
    <t>Retained earnings</t>
  </si>
  <si>
    <t>Total shareholders' equity</t>
  </si>
  <si>
    <t>TOTAL LIABILITIES AND SHAREHOLDERS' EQUITY</t>
  </si>
  <si>
    <t>REVENUES:</t>
  </si>
  <si>
    <t>Revenue</t>
  </si>
  <si>
    <t>Water services</t>
  </si>
  <si>
    <t>Wastewater and recycled water services</t>
  </si>
  <si>
    <t>Unregulated revenues</t>
  </si>
  <si>
    <t>Total revenues</t>
  </si>
  <si>
    <t>OPERATING EXPENSES:</t>
  </si>
  <si>
    <t>Operations and maintenance</t>
  </si>
  <si>
    <t>Operations and maintenance - related party</t>
  </si>
  <si>
    <t>General and administrative</t>
  </si>
  <si>
    <t>Total operating expenses</t>
  </si>
  <si>
    <t>OPERATING INCOME</t>
  </si>
  <si>
    <t>OTHER INCOME (EXPENSE):</t>
  </si>
  <si>
    <t>Interest income</t>
  </si>
  <si>
    <t>Interest expense</t>
  </si>
  <si>
    <t>Other</t>
  </si>
  <si>
    <t>Other - related party</t>
  </si>
  <si>
    <t>Total other expense</t>
  </si>
  <si>
    <t>Other Expenses</t>
  </si>
  <si>
    <t>INCOME (LOSS) BEFORE INCOME TAXES</t>
  </si>
  <si>
    <t>Profit before Zakat</t>
  </si>
  <si>
    <t>INCOME TAX (EXPENSE) BENEFIT</t>
  </si>
  <si>
    <t>NET INCOME (LOSS)</t>
  </si>
  <si>
    <t>Basic earnings (losses) per common share</t>
  </si>
  <si>
    <t>Diluted earnings (losses) per common share</t>
  </si>
  <si>
    <t>Dividends declared per common share</t>
  </si>
  <si>
    <t>Weighted average number of common shares used in the determination</t>
  </si>
  <si>
    <t>of:</t>
  </si>
  <si>
    <t>Basic</t>
  </si>
  <si>
    <t>CASH FLOWS FROM OPERATING ACTIVITIES:</t>
  </si>
  <si>
    <t>Operating Activities</t>
  </si>
  <si>
    <t>Net income</t>
  </si>
  <si>
    <t>Adjustments to reconcile net income to net cash provided by operating activities:</t>
  </si>
  <si>
    <t>Deferred compensation</t>
  </si>
  <si>
    <t>Write-off of debt issuance costs</t>
  </si>
  <si>
    <t>Finance Costs</t>
  </si>
  <si>
    <t>Financing Activities</t>
  </si>
  <si>
    <t>Amortization of deferred debt issuance costs and discounts</t>
  </si>
  <si>
    <t>Loss on sale of Willow Valley</t>
  </si>
  <si>
    <t>Loss on equity investment</t>
  </si>
  <si>
    <t>Other gains</t>
  </si>
  <si>
    <t>Provision for doubtful accounts receivable</t>
  </si>
  <si>
    <t>Deferred income tax expense</t>
  </si>
  <si>
    <t xml:space="preserve">Adjustment for Income Tax Paid </t>
  </si>
  <si>
    <t>Changes in assets and liabilities</t>
  </si>
  <si>
    <t>Accounts receivable</t>
  </si>
  <si>
    <t>Other current assets</t>
  </si>
  <si>
    <t>Accounts payable and other current liabilities</t>
  </si>
  <si>
    <t>Net cash provided by operating activities</t>
  </si>
  <si>
    <t>CASH FLOWS FROM INVESTING ACTIVITIES:</t>
  </si>
  <si>
    <t>Investing Activities</t>
  </si>
  <si>
    <t>Capital expenditures</t>
  </si>
  <si>
    <t>Cash paid for acquisitions, net of cash acquired</t>
  </si>
  <si>
    <t>Proceeds from the sale of Willow Valley</t>
  </si>
  <si>
    <t>Deposits of restricted cash, net</t>
  </si>
  <si>
    <t>Other cash flows from investing activities</t>
  </si>
  <si>
    <t>Net cash used in investing activities</t>
  </si>
  <si>
    <t>CASH FLOWS FROM FINANCING ACTIVITIES:</t>
  </si>
  <si>
    <t>Dividends paid</t>
  </si>
  <si>
    <t xml:space="preserve">Dividend paid to shareholders to parent on minority interests </t>
  </si>
  <si>
    <t>Proceeds from stock option exercise</t>
  </si>
  <si>
    <t>Principal payments under capital lease</t>
  </si>
  <si>
    <t>Refunds of advances for construction</t>
  </si>
  <si>
    <t>Loan borrowings</t>
  </si>
  <si>
    <t>Loan repayments</t>
  </si>
  <si>
    <t>Repayments of bond debt</t>
  </si>
  <si>
    <t>Proceeds withdrawn from bond service fund</t>
  </si>
  <si>
    <t>Proceeds from sale of stock</t>
  </si>
  <si>
    <t>Payment of Sonoran acquisition liability</t>
  </si>
  <si>
    <t>Debt issuance costs paid</t>
  </si>
  <si>
    <t>Payments of offering costs for sale of stock</t>
  </si>
  <si>
    <t>Net cash provided by (used in) financing activities</t>
  </si>
  <si>
    <t>INCREASE (DECREASE) IN CASH AND CASH EQUIVALENTS</t>
  </si>
  <si>
    <t>CASH AND CASH EQUIVALENTS  Beginning of period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</si>
  <si>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</si>
  <si>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</si>
  <si>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</si>
  <si>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</si>
  <si>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</si>
  <si>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</si>
  <si>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</si>
  <si>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</si>
  <si>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water services</t>
  </si>
  <si>
    <t>wastewater and recycled water services</t>
  </si>
  <si>
    <t>unregulated revenues</t>
  </si>
  <si>
    <t>other operating expenses</t>
  </si>
  <si>
    <t>operations and maintenance</t>
  </si>
  <si>
    <t>operations and maintenance - related party</t>
  </si>
  <si>
    <t>added value from row 52</t>
  </si>
  <si>
    <t>moved to row 48</t>
  </si>
  <si>
    <t>interest income</t>
  </si>
  <si>
    <t>changed sign</t>
  </si>
  <si>
    <t>interest paid and financial costs</t>
  </si>
  <si>
    <t>interest expense</t>
  </si>
  <si>
    <t>deleted value</t>
  </si>
  <si>
    <t>added value</t>
  </si>
  <si>
    <t>other income (expenses)</t>
  </si>
  <si>
    <t>other</t>
  </si>
  <si>
    <t>other - related party</t>
  </si>
  <si>
    <t>current taxation</t>
  </si>
  <si>
    <t>income tax (expense) benefit</t>
  </si>
  <si>
    <t>mains/lines/sewers</t>
  </si>
  <si>
    <t>plant</t>
  </si>
  <si>
    <t>equipment</t>
  </si>
  <si>
    <t>meters</t>
  </si>
  <si>
    <t>furniture, fixture and leasehold improvements</t>
  </si>
  <si>
    <t>computer and office equipment</t>
  </si>
  <si>
    <t>software</t>
  </si>
  <si>
    <t>land and land rights</t>
  </si>
  <si>
    <t>construction work-in-process</t>
  </si>
  <si>
    <t>less accumulated depreciation</t>
  </si>
  <si>
    <t>accumulated depreciation and amortisation</t>
  </si>
  <si>
    <t>construction in progress</t>
  </si>
  <si>
    <t>other fixed assets</t>
  </si>
  <si>
    <t>land and buildings</t>
  </si>
  <si>
    <t>property, plant and equipment</t>
  </si>
  <si>
    <t>due from affiliates</t>
  </si>
  <si>
    <t>other operating current assets</t>
  </si>
  <si>
    <t>accrued revenue</t>
  </si>
  <si>
    <t>bond service fund and other restricted cash</t>
  </si>
  <si>
    <t>regulatory asset</t>
  </si>
  <si>
    <t>long term deposits</t>
  </si>
  <si>
    <t>deposits</t>
  </si>
  <si>
    <t>long term investments</t>
  </si>
  <si>
    <t>equity method investment</t>
  </si>
  <si>
    <t>long-term debt and capital leases - current portion</t>
  </si>
  <si>
    <t>customer and meter deposits</t>
  </si>
  <si>
    <t>deferred revenue - ICFA</t>
  </si>
  <si>
    <t>long-term debt and capital leases</t>
  </si>
  <si>
    <t>long term accruals</t>
  </si>
  <si>
    <t>regulatory liability</t>
  </si>
  <si>
    <t>advances in aid of construction</t>
  </si>
  <si>
    <t>contributions in aid of construction - net</t>
  </si>
  <si>
    <t>acquisition liability</t>
  </si>
  <si>
    <t>ordinary shares</t>
  </si>
  <si>
    <t>treasury stock (-)</t>
  </si>
  <si>
    <t>Common stock, $0.01 par value, 60,000,000 shares authorized</t>
  </si>
  <si>
    <t>paid 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</si>
</sst>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0C-47ED-A14B-FD057BF019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BF-43A9-B638-CC71B3E37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00-4961-8F07-A87D4B3A29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4A-4FB0-BC99-4461DE0AEF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FD-40E6-8CC1-95CEE6D5A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A5-4DB4-8038-D5FE9E147B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61-4BAC-ADD1-3EDC0045FF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77-44FB-86EC-61EE3207D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2D-419D-A5D7-E9CA6D200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5-4958-AF26-96BC656F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D0-4FF0-A5BA-EEA0FAA37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38-4F5E-8B0E-97E115F781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96-4605-B736-F1FB701D63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9B-4419-835A-F9F6DA38B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2D-435E-B471-F1469E59B8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3103</v>
      </c>
      <c r="G6" s="7">
        <f t="shared" ref="G6:O6" si="1">IF(G4=$BF$1,"",G71)</f>
        <v>4551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245127</v>
      </c>
      <c r="G7" s="7">
        <f t="shared" ref="G7:O7" si="2">IF(G4=$BF$1,"",G128)</f>
        <v>228903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17334</v>
      </c>
      <c r="G8" s="7">
        <f t="shared" ref="G8:O8" si="3">IF(G4=$BF$1,"",G161)</f>
        <v>9665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9576</v>
      </c>
      <c r="G9" s="7">
        <f t="shared" ref="G9:O9" si="4">IF(G4=$BF$1,"",G189)</f>
        <v>8976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225014</v>
      </c>
      <c r="G10" s="7">
        <f t="shared" ref="G10:O10" si="5">IF(G4=$BF$1,"",G210)</f>
        <v>214732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27871</v>
      </c>
      <c r="G11" s="7">
        <f t="shared" ref="G11:O11" si="6">IF(G4=$BF$1,"",G227)</f>
        <v>14860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262461</v>
      </c>
      <c r="G12" s="35">
        <f t="shared" ref="G12:O12" si="7">IF(G4=$BF$1,"",SUM(G7:G8))</f>
        <v>238568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262461</v>
      </c>
      <c r="G13" s="35">
        <f t="shared" ref="G13:O13" si="8">IF(G4=$BF$1,"",SUM(G9:G11))</f>
        <v>238568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15344+17654+2517</f>
        <v>35515</v>
      </c>
      <c r="G24">
        <f>14367+16765+76</f>
        <v>31208</v>
      </c>
      <c r="H24">
        <v>5812</v>
      </c>
      <c r="P24" s="50" t="s">
        <v>505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35515</v>
      </c>
      <c r="G30" s="7">
        <f>IF(G4=$BF$1,"",G24-G25+ABS(G26)-G27-G28-G29)</f>
        <v>31208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10548</v>
      </c>
      <c r="G34">
        <v>9407</v>
      </c>
      <c r="H34">
        <v>9667</v>
      </c>
    </row>
    <row r="35" spans="5:16">
      <c r="E35" s="1" t="s">
        <v>37</v>
      </c>
    </row>
    <row r="36" spans="5:16">
      <c r="E36" s="1" t="s">
        <v>38</v>
      </c>
      <c r="F36">
        <f>6630+1599</f>
        <v>8229</v>
      </c>
      <c r="G36">
        <f>6087+1462</f>
        <v>7549</v>
      </c>
      <c r="H36">
        <v>8041</v>
      </c>
      <c r="P36" s="50" t="s">
        <v>505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7469</v>
      </c>
      <c r="G40">
        <v>6908</v>
      </c>
      <c r="H40">
        <v>6279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26246</v>
      </c>
      <c r="G43" s="7">
        <f>G32+G33+G34+G35+G36+G37+G38+G39+G40+G41+G42</f>
        <v>23864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9269</v>
      </c>
      <c r="G44" s="7">
        <f>IF(G4=$BF$1,"",G30+G31-G43)</f>
        <v>7344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101</v>
      </c>
      <c r="G48" s="38">
        <v>19</v>
      </c>
      <c r="P48" s="50" t="s">
        <v>513</v>
      </c>
    </row>
    <row r="49" spans="5:16">
      <c r="E49" s="1" t="s">
        <v>51</v>
      </c>
      <c r="F49">
        <v>5255</v>
      </c>
      <c r="G49">
        <v>5125</v>
      </c>
      <c r="H49">
        <v>-11866</v>
      </c>
      <c r="P49" s="50" t="s">
        <v>516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18</v>
      </c>
      <c r="P52" s="50" t="s">
        <v>514</v>
      </c>
    </row>
    <row r="53" spans="5:16">
      <c r="E53" s="1" t="s">
        <v>55</v>
      </c>
    </row>
    <row r="54" spans="5:16">
      <c r="E54" s="1" t="s">
        <v>56</v>
      </c>
      <c r="F54">
        <f>592+178</f>
        <v>770</v>
      </c>
      <c r="G54">
        <f>1478+234</f>
        <v>1712</v>
      </c>
      <c r="H54">
        <v>0</v>
      </c>
      <c r="P54" s="50" t="s">
        <v>520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-9611</v>
      </c>
      <c r="P56" s="50" t="s">
        <v>519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4885</v>
      </c>
      <c r="G59" s="7">
        <f>IF(G4=$BF$1,"",G44+G45+G46+G47+G48-G49-G50-G51+G52-G53+G54+G55-G56+G57+G58)</f>
        <v>3950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1782</v>
      </c>
      <c r="G60">
        <v>-601</v>
      </c>
      <c r="H60">
        <v>1287</v>
      </c>
      <c r="P60" s="50" t="s">
        <v>516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3103</v>
      </c>
      <c r="G67" s="7">
        <f>IF(G4=$BF$1,"",SUM(G59,-G60,-ABS(G61),-G62,-G66))</f>
        <v>4551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3103</v>
      </c>
      <c r="G71" s="7">
        <f t="shared" ref="G71:O71" si="14">IF(G4=$BF$1,"",SUM(G67:G70))</f>
        <v>4551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3103</v>
      </c>
      <c r="G83" s="7">
        <f t="shared" ref="G83:O83" si="15">IF(G4=$BF$1,"",SUM(G71:G82))</f>
        <v>4551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897</f>
        <v>897</v>
      </c>
      <c r="G89" s="38">
        <f>861</f>
        <v>861</v>
      </c>
      <c r="P89" s="50" t="s">
        <v>520</v>
      </c>
    </row>
    <row r="90" spans="5:16">
      <c r="E90" s="1" t="s">
        <v>82</v>
      </c>
      <c r="F90" s="38">
        <v>45174</v>
      </c>
      <c r="G90" s="38">
        <v>53591</v>
      </c>
      <c r="P90" s="50" t="s">
        <v>520</v>
      </c>
    </row>
    <row r="91" spans="5:16">
      <c r="E91" s="1" t="s">
        <v>83</v>
      </c>
    </row>
    <row r="92" spans="5:16">
      <c r="E92" s="12" t="s">
        <v>84</v>
      </c>
      <c r="F92">
        <f>131768+81471+37392+371+639</f>
        <v>251641</v>
      </c>
      <c r="G92">
        <f>117381+72863+29904+368+720</f>
        <v>221236</v>
      </c>
      <c r="P92" s="50" t="s">
        <v>505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f>13606+241+589</f>
        <v>14436</v>
      </c>
      <c r="G95" s="38">
        <f>12693+242+428</f>
        <v>13363</v>
      </c>
      <c r="P95" s="50" t="s">
        <v>520</v>
      </c>
    </row>
    <row r="96" spans="5:16">
      <c r="E96" s="12"/>
    </row>
    <row r="98" spans="5:16">
      <c r="E98" s="6" t="s">
        <v>88</v>
      </c>
      <c r="F98" s="7">
        <f>F89+F90+F91+F92+F93+F94+F95+F96</f>
        <v>312148</v>
      </c>
      <c r="G98" s="7">
        <f>IF(G4=$BF$1,"",G89+G90+G91+G92+G93+G94+G95+G96)</f>
        <v>289051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>
        <v>-85093</v>
      </c>
      <c r="G99">
        <v>-75592</v>
      </c>
    </row>
    <row r="100" spans="5:16">
      <c r="E100" s="6" t="s">
        <v>90</v>
      </c>
      <c r="F100" s="7">
        <f>F98+F99</f>
        <v>227055</v>
      </c>
      <c r="G100" s="7">
        <f t="shared" ref="G100:O100" si="17">IF(G4=$BF$1,"",G98+G99)</f>
        <v>213459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2639</v>
      </c>
      <c r="G101">
        <v>0</v>
      </c>
    </row>
    <row r="102" spans="5:16">
      <c r="E102" s="1" t="s">
        <v>92</v>
      </c>
      <c r="F102">
        <v>12972</v>
      </c>
      <c r="G102">
        <v>12772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15611</v>
      </c>
      <c r="G104" s="7">
        <f t="shared" ref="G104:O104" si="18">IF(G4=$BF$1,"",G101+G102+G103)</f>
        <v>12772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 s="38">
        <v>79</v>
      </c>
      <c r="G113" s="38">
        <v>345</v>
      </c>
      <c r="P113" s="50" t="s">
        <v>520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  <c r="F123" s="38">
        <v>128</v>
      </c>
      <c r="G123" s="38">
        <v>0</v>
      </c>
      <c r="P123" s="50" t="s">
        <v>520</v>
      </c>
    </row>
    <row r="124" spans="5:16">
      <c r="E124" s="1" t="s">
        <v>111</v>
      </c>
      <c r="F124" s="38">
        <v>1793</v>
      </c>
      <c r="G124" s="38">
        <v>1871</v>
      </c>
      <c r="P124" s="50" t="s">
        <v>520</v>
      </c>
    </row>
    <row r="125" spans="5:16">
      <c r="E125" s="1" t="s">
        <v>112</v>
      </c>
      <c r="F125">
        <v>20</v>
      </c>
      <c r="G125">
        <v>20</v>
      </c>
    </row>
    <row r="126" spans="5:16">
      <c r="E126" s="1" t="s">
        <v>113</v>
      </c>
      <c r="F126">
        <v>441</v>
      </c>
      <c r="G126">
        <v>436</v>
      </c>
      <c r="P126" s="50" t="s">
        <v>520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245127</v>
      </c>
      <c r="G128" s="7">
        <f t="shared" ref="G128:O128" si="19">IF(G4=$BF$1,"",G100+SUM(G104:G126))</f>
        <v>228903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12756</v>
      </c>
      <c r="G130">
        <v>5248</v>
      </c>
    </row>
    <row r="131" spans="5:16">
      <c r="E131" s="1" t="s">
        <v>118</v>
      </c>
      <c r="F131"/>
      <c r="G131"/>
      <c r="P131" s="50" t="s">
        <v>519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12756</v>
      </c>
      <c r="G140" s="7">
        <f t="shared" ref="G140:O140" si="20">IF(G4=$BF$1,"",G130+G131+G132+G133+G134+G135+G136+G139)</f>
        <v>5248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  <c r="F146" s="38">
        <v>406</v>
      </c>
      <c r="G146" s="38">
        <v>430</v>
      </c>
      <c r="P146" s="50" t="s">
        <v>520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686</v>
      </c>
      <c r="G154">
        <v>700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1488</v>
      </c>
      <c r="G157">
        <v>1528</v>
      </c>
    </row>
    <row r="158" spans="5:16">
      <c r="E158" s="1" t="s">
        <v>138</v>
      </c>
      <c r="F158" s="38">
        <v>1998</v>
      </c>
      <c r="G158" s="38">
        <v>1759</v>
      </c>
      <c r="P158" s="50" t="s">
        <v>520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4578</v>
      </c>
      <c r="G160" s="7">
        <f>IF(G4=$BF$1,"",G146+G147+G148+G149+G150+G151+G152+G153+G154+G155+G156+G157+G158+G159)</f>
        <v>4417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17334</v>
      </c>
      <c r="G161" s="7">
        <f t="shared" ref="G161:O161" si="22">IF(G4=$BF$1,"",G140+G145+G160)</f>
        <v>9665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 s="38">
        <v>47</v>
      </c>
      <c r="G166" s="38">
        <v>8</v>
      </c>
      <c r="P166" s="50" t="s">
        <v>520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7465</v>
      </c>
      <c r="G184">
        <v>7252</v>
      </c>
    </row>
    <row r="185" spans="5:16">
      <c r="E185" s="12" t="s">
        <v>162</v>
      </c>
      <c r="F185">
        <v>1460</v>
      </c>
      <c r="G185">
        <v>1395</v>
      </c>
      <c r="P185" s="50" t="s">
        <v>505</v>
      </c>
    </row>
    <row r="187" spans="5:16">
      <c r="E187" s="1" t="s">
        <v>163</v>
      </c>
      <c r="F187">
        <v>604</v>
      </c>
      <c r="G187">
        <v>321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9576</v>
      </c>
      <c r="G189" s="7">
        <f t="shared" ref="G189:O189" si="23">IF(G4=$BF$1,"",SUM(G163:G188))</f>
        <v>8976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>
        <v>114507</v>
      </c>
      <c r="G195">
        <v>114363</v>
      </c>
      <c r="P195" s="50" t="s">
        <v>505</v>
      </c>
    </row>
    <row r="196" spans="5:16">
      <c r="E196" s="1" t="s">
        <v>171</v>
      </c>
    </row>
    <row r="197" spans="5:16">
      <c r="E197" s="1" t="s">
        <v>172</v>
      </c>
      <c r="F197" s="38">
        <f>8851+67684+10670+934</f>
        <v>88139</v>
      </c>
      <c r="G197" s="38">
        <f>8463+62725+4425+934</f>
        <v>76547</v>
      </c>
      <c r="P197" s="50" t="s">
        <v>520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4350</v>
      </c>
      <c r="G203">
        <v>3114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17358</v>
      </c>
      <c r="G206" s="38">
        <v>19746</v>
      </c>
      <c r="P206" s="50" t="s">
        <v>520</v>
      </c>
    </row>
    <row r="209" spans="5:16">
      <c r="E209" s="1" t="s">
        <v>180</v>
      </c>
      <c r="F209">
        <v>660</v>
      </c>
      <c r="G209">
        <v>962</v>
      </c>
    </row>
    <row r="210" spans="5:16">
      <c r="E210" s="6" t="s">
        <v>14</v>
      </c>
      <c r="F210" s="7">
        <f>SUM(F191:F209)</f>
        <v>225014</v>
      </c>
      <c r="G210" s="7">
        <f t="shared" ref="G210:O210" si="24">IF(G4=$BF$1,"",SUM(G191:G209))</f>
        <v>214732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215+27657</f>
        <v>27872</v>
      </c>
      <c r="G212">
        <f>196+14288</f>
        <v>14484</v>
      </c>
      <c r="P212" s="50" t="s">
        <v>505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0</v>
      </c>
      <c r="G217">
        <v>376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-1</v>
      </c>
      <c r="P223" s="50" t="s">
        <v>520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27871</v>
      </c>
      <c r="G227" s="7">
        <f t="shared" ref="G227:O227" si="25">IF(G4=$BF$1,"",SUM(G212:G226))</f>
        <v>14860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3103</v>
      </c>
      <c r="G267">
        <v>4551</v>
      </c>
      <c r="H267">
        <v>-2512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7469</v>
      </c>
      <c r="G271">
        <v>6908</v>
      </c>
      <c r="H271">
        <v>6279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101</v>
      </c>
      <c r="G275">
        <v>44</v>
      </c>
      <c r="H275">
        <v>428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1236</v>
      </c>
      <c r="G284">
        <v>529</v>
      </c>
      <c r="H284">
        <v>-1408</v>
      </c>
    </row>
    <row r="285" spans="5:8" ht="25.5">
      <c r="E285" s="1" t="s">
        <v>248</v>
      </c>
      <c r="F285">
        <v>1714</v>
      </c>
      <c r="G285">
        <v>1550</v>
      </c>
      <c r="H285">
        <v>2234</v>
      </c>
    </row>
    <row r="286" spans="5:8" ht="25.5" customHeight="1">
      <c r="E286" s="1" t="s">
        <v>249</v>
      </c>
    </row>
    <row r="287" spans="5:8" ht="25.5">
      <c r="E287" s="1" t="s">
        <v>250</v>
      </c>
      <c r="F287">
        <v>93</v>
      </c>
      <c r="G287">
        <v>128</v>
      </c>
      <c r="H287">
        <v>70</v>
      </c>
    </row>
    <row r="288" spans="5:8">
      <c r="E288" s="1" t="s">
        <v>251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10613</v>
      </c>
      <c r="G296" s="7">
        <f>IF(G4=$BF$1,"",G271+G272+G273+G274+G275+G276+G277+G278+G279+G280+G281+G282+G283+G284+G285+G286+G287+G288+G289+G290+G291+G292+G293+G294+G295)</f>
        <v>9159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13716</v>
      </c>
      <c r="G297" s="7">
        <f t="shared" ref="G297:O297" si="27">IF(G4=$BF$1,"",MIN(F267,F268,F269)+F296)</f>
        <v>13716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  <c r="F303">
        <v>178</v>
      </c>
      <c r="G303">
        <v>-179</v>
      </c>
      <c r="H303">
        <v>-409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-688</v>
      </c>
      <c r="G313">
        <v>-1247</v>
      </c>
      <c r="H313">
        <v>-4087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-37</v>
      </c>
      <c r="G316">
        <v>-1879</v>
      </c>
      <c r="H316">
        <v>-298</v>
      </c>
    </row>
    <row r="317" spans="5:15">
      <c r="E317" s="1" t="s">
        <v>277</v>
      </c>
      <c r="F317">
        <v>-2100</v>
      </c>
      <c r="G317">
        <v>615</v>
      </c>
      <c r="H317">
        <v>17</v>
      </c>
    </row>
    <row r="318" spans="5:15" ht="25.5">
      <c r="E318" s="6" t="s">
        <v>278</v>
      </c>
      <c r="F318" s="7">
        <f>F299+F300+F301+F302+F303+F304+F305+F306+F307+F308+F309+F310+F311+F312+F313+F314+F315+F316+F317</f>
        <v>-2647</v>
      </c>
      <c r="G318" s="7">
        <f>IF(G4=$BF$1,"",G299+G300+G301+G302+G303+G304+G305+G306+G307+G308+G309+G310+G311+G312+G313+G314+G315+G316+G317)</f>
        <v>-2690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11069</v>
      </c>
      <c r="G319" s="7">
        <f t="shared" ref="G319:O319" si="28">IF(G4=$BF$1,"",G297+G318)</f>
        <v>11026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11069</v>
      </c>
      <c r="G326" s="7">
        <f t="shared" ref="G326:O326" si="30">IF(G4=$BF$1,"",G325+G319)</f>
        <v>11026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 ht="25.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-13262</v>
      </c>
      <c r="G328">
        <v>-20885</v>
      </c>
      <c r="H328">
        <v>-8588</v>
      </c>
    </row>
    <row r="329" spans="5:15">
      <c r="E329" s="1" t="s">
        <v>288</v>
      </c>
      <c r="F329">
        <v>0</v>
      </c>
      <c r="G329">
        <v>0</v>
      </c>
      <c r="H329">
        <v>2254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-13262</v>
      </c>
      <c r="G337" s="7">
        <f>IF(G4=$BF$1,"",SUM(G328:G336))</f>
        <v>-20885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 ht="25.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16700</v>
      </c>
      <c r="G339">
        <v>375</v>
      </c>
      <c r="H339">
        <v>8372</v>
      </c>
    </row>
    <row r="340" spans="5:15">
      <c r="E340" s="1" t="s">
        <v>299</v>
      </c>
      <c r="F340">
        <v>140</v>
      </c>
      <c r="G340">
        <v>0</v>
      </c>
      <c r="H340">
        <v>115000</v>
      </c>
    </row>
    <row r="341" spans="5:15" ht="25.5">
      <c r="E341" s="12" t="s">
        <v>300</v>
      </c>
      <c r="F341">
        <v>0</v>
      </c>
      <c r="G341">
        <v>0</v>
      </c>
      <c r="H341">
        <v>-106695</v>
      </c>
    </row>
    <row r="342" spans="5:15">
      <c r="E342" s="1" t="s">
        <v>301</v>
      </c>
    </row>
    <row r="343" spans="5:15">
      <c r="E343" s="1" t="s">
        <v>302</v>
      </c>
      <c r="F343">
        <v>-27</v>
      </c>
      <c r="G343">
        <v>-79</v>
      </c>
      <c r="H343">
        <v>-378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-5791</v>
      </c>
      <c r="G348">
        <v>-5399</v>
      </c>
      <c r="H348">
        <v>-5036</v>
      </c>
    </row>
    <row r="349" spans="5:15">
      <c r="E349" s="12" t="s">
        <v>308</v>
      </c>
      <c r="F349">
        <v>-134</v>
      </c>
      <c r="G349">
        <v>-20</v>
      </c>
      <c r="H349">
        <v>1405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10888</v>
      </c>
      <c r="G352" s="7">
        <f>IF(G4=$BF$1,"",SUM(G339:G351))</f>
        <v>-5123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8695</v>
      </c>
      <c r="G353" s="7">
        <f t="shared" ref="G353:O353" si="33">IF(G4=$BF$1,"",G326+G337+G352)</f>
        <v>-14982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8695</v>
      </c>
      <c r="G355" s="7">
        <f t="shared" ref="G355:O355" si="34">IF(G4=$BF$1,"",G353+G354)</f>
        <v>-14982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5248</v>
      </c>
      <c r="G356">
        <v>20498</v>
      </c>
      <c r="H356">
        <v>11513</v>
      </c>
    </row>
    <row r="357" spans="5:15">
      <c r="E357" s="6" t="s">
        <v>316</v>
      </c>
      <c r="F357" s="7">
        <f>F355+F356</f>
        <v>13943</v>
      </c>
      <c r="G357" s="7">
        <f t="shared" ref="G357:O357" si="35">IF(G4=$BF$1,"",G355+G356)</f>
        <v>5516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0.13800948474750063</v>
      </c>
      <c r="G364" s="24">
        <f t="shared" si="37"/>
        <v>4.3695801789401241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-0.31817183036695229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0.10015173870762215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0.26098831479656481</v>
      </c>
      <c r="G370" s="27">
        <f t="shared" si="42"/>
        <v>0.23532427582671109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8.7371533155004927E-2</v>
      </c>
      <c r="G371" s="28">
        <f t="shared" si="43"/>
        <v>0.14582799282235323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1.1822708897702898E-2</v>
      </c>
      <c r="G372" s="27">
        <f t="shared" si="44"/>
        <v>1.9076322054927736E-2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0.1113343618815256</v>
      </c>
      <c r="G373" s="27">
        <f t="shared" si="45"/>
        <v>0.3062584118438762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0.89380898495395511</v>
      </c>
      <c r="G376" s="30">
        <f t="shared" si="47"/>
        <v>0.93771167968880986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8.4169925729252633</v>
      </c>
      <c r="G377" s="30">
        <f t="shared" si="48"/>
        <v>15.054374158815612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1.7638439581351095</v>
      </c>
      <c r="G378" s="30">
        <f t="shared" si="49"/>
        <v>1.4329756097560975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1.8101503759398496</v>
      </c>
      <c r="G382" s="32">
        <f t="shared" si="51"/>
        <v>1.0767602495543671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1.8101503759398496</v>
      </c>
      <c r="G383" s="32">
        <f t="shared" si="52"/>
        <v>1.0767602495543671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1.3320802005012531</v>
      </c>
      <c r="G384" s="32">
        <f t="shared" si="53"/>
        <v>0.5846702317290553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1.1559106098579783</v>
      </c>
      <c r="G385" s="32">
        <f t="shared" si="54"/>
        <v>1.2283868092691621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12756</v>
      </c>
      <c r="G418" s="17">
        <f>G130-G417</f>
        <v>5248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0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500</v>
      </c>
      <c r="B1" s="39" t="s">
        <v>501</v>
      </c>
      <c r="C1" s="39" t="s">
        <v>502</v>
      </c>
      <c r="D1" s="39" t="s">
        <v>503</v>
      </c>
      <c r="E1" s="39"/>
    </row>
    <row r="2" spans="1:5">
      <c r="A2" s="41" t="s">
        <v>507</v>
      </c>
      <c r="B2" s="42" t="s">
        <v>506</v>
      </c>
      <c r="C2" s="39">
        <v>1</v>
      </c>
      <c r="D2" s="39" t="s">
        <v>504</v>
      </c>
      <c r="E2" s="39"/>
    </row>
    <row r="3" spans="1:5">
      <c r="A3" s="41" t="s">
        <v>508</v>
      </c>
      <c r="B3" s="41" t="s">
        <v>506</v>
      </c>
      <c r="C3" s="39">
        <v>1</v>
      </c>
      <c r="D3" s="39" t="s">
        <v>504</v>
      </c>
    </row>
    <row r="4" spans="1:5">
      <c r="A4" s="42" t="s">
        <v>509</v>
      </c>
      <c r="B4" s="42" t="s">
        <v>506</v>
      </c>
      <c r="C4" s="39">
        <v>1</v>
      </c>
      <c r="D4" s="39" t="s">
        <v>504</v>
      </c>
    </row>
    <row r="5" spans="1:5">
      <c r="A5" s="41" t="s">
        <v>511</v>
      </c>
      <c r="B5" s="43" t="s">
        <v>510</v>
      </c>
      <c r="C5" s="39">
        <v>0</v>
      </c>
      <c r="D5" s="39" t="s">
        <v>504</v>
      </c>
    </row>
    <row r="6" spans="1:5">
      <c r="A6" s="44" t="s">
        <v>512</v>
      </c>
      <c r="B6" s="43" t="s">
        <v>510</v>
      </c>
      <c r="C6" s="39">
        <v>0</v>
      </c>
      <c r="D6" s="39" t="s">
        <v>504</v>
      </c>
    </row>
    <row r="7" spans="1:5" ht="25.5">
      <c r="A7" s="44" t="s">
        <v>515</v>
      </c>
      <c r="B7" s="42" t="s">
        <v>50</v>
      </c>
      <c r="C7" s="39">
        <v>1</v>
      </c>
      <c r="D7" s="39" t="s">
        <v>504</v>
      </c>
    </row>
    <row r="8" spans="1:5">
      <c r="A8" s="41" t="s">
        <v>518</v>
      </c>
      <c r="B8" s="41" t="s">
        <v>517</v>
      </c>
      <c r="C8" s="39">
        <v>0</v>
      </c>
      <c r="D8" s="39" t="s">
        <v>504</v>
      </c>
    </row>
    <row r="9" spans="1:5">
      <c r="A9" s="44" t="s">
        <v>522</v>
      </c>
      <c r="B9" s="41" t="s">
        <v>521</v>
      </c>
      <c r="C9" s="39">
        <v>1</v>
      </c>
      <c r="D9" s="39" t="s">
        <v>504</v>
      </c>
    </row>
    <row r="10" spans="1:5">
      <c r="A10" s="44" t="s">
        <v>523</v>
      </c>
      <c r="B10" s="41" t="s">
        <v>521</v>
      </c>
      <c r="C10" s="39">
        <v>1</v>
      </c>
      <c r="D10" s="39" t="s">
        <v>504</v>
      </c>
    </row>
    <row r="11" spans="1:5">
      <c r="A11" s="44" t="s">
        <v>525</v>
      </c>
      <c r="B11" s="41" t="s">
        <v>524</v>
      </c>
      <c r="C11" s="39">
        <v>0</v>
      </c>
      <c r="D11" s="39" t="s">
        <v>504</v>
      </c>
    </row>
    <row r="12" spans="1:5">
      <c r="A12" s="44" t="s">
        <v>526</v>
      </c>
      <c r="B12" s="44" t="s">
        <v>540</v>
      </c>
      <c r="C12" s="39">
        <v>1</v>
      </c>
      <c r="D12" s="39" t="s">
        <v>504</v>
      </c>
    </row>
    <row r="13" spans="1:5">
      <c r="A13" s="44" t="s">
        <v>527</v>
      </c>
      <c r="B13" s="44" t="s">
        <v>540</v>
      </c>
      <c r="C13" s="39">
        <v>1</v>
      </c>
      <c r="D13" s="39" t="s">
        <v>504</v>
      </c>
    </row>
    <row r="14" spans="1:5">
      <c r="A14" s="45" t="s">
        <v>528</v>
      </c>
      <c r="B14" s="45" t="s">
        <v>540</v>
      </c>
      <c r="C14" s="39">
        <v>1</v>
      </c>
      <c r="D14" s="39" t="s">
        <v>504</v>
      </c>
    </row>
    <row r="15" spans="1:5">
      <c r="A15" s="46" t="s">
        <v>529</v>
      </c>
      <c r="B15" s="45" t="s">
        <v>538</v>
      </c>
      <c r="C15" s="39">
        <v>1</v>
      </c>
      <c r="D15" s="39" t="s">
        <v>504</v>
      </c>
    </row>
    <row r="16" spans="1:5">
      <c r="A16" s="46" t="s">
        <v>530</v>
      </c>
      <c r="B16" s="43" t="s">
        <v>540</v>
      </c>
      <c r="C16" s="39">
        <v>1</v>
      </c>
      <c r="D16" s="39" t="s">
        <v>504</v>
      </c>
    </row>
    <row r="17" spans="1:4">
      <c r="A17" s="46" t="s">
        <v>531</v>
      </c>
      <c r="B17" s="47" t="s">
        <v>540</v>
      </c>
      <c r="C17" s="39">
        <v>1</v>
      </c>
      <c r="D17" s="39" t="s">
        <v>504</v>
      </c>
    </row>
    <row r="18" spans="1:4">
      <c r="A18" s="46" t="s">
        <v>532</v>
      </c>
      <c r="B18" s="43" t="s">
        <v>538</v>
      </c>
      <c r="C18" s="39">
        <v>1</v>
      </c>
      <c r="D18" s="39" t="s">
        <v>504</v>
      </c>
    </row>
    <row r="19" spans="1:4">
      <c r="A19" s="46" t="s">
        <v>533</v>
      </c>
      <c r="B19" s="46" t="s">
        <v>539</v>
      </c>
      <c r="C19" s="39">
        <v>1</v>
      </c>
      <c r="D19" s="39" t="s">
        <v>504</v>
      </c>
    </row>
    <row r="20" spans="1:4">
      <c r="A20" s="46" t="s">
        <v>522</v>
      </c>
      <c r="B20" s="43" t="s">
        <v>538</v>
      </c>
      <c r="C20" s="39">
        <v>1</v>
      </c>
      <c r="D20" s="39" t="s">
        <v>504</v>
      </c>
    </row>
    <row r="21" spans="1:4">
      <c r="A21" s="46" t="s">
        <v>534</v>
      </c>
      <c r="B21" s="46" t="s">
        <v>537</v>
      </c>
      <c r="C21" s="39">
        <v>1</v>
      </c>
      <c r="D21" s="39" t="s">
        <v>504</v>
      </c>
    </row>
    <row r="22" spans="1:4" ht="25.5">
      <c r="A22" s="46" t="s">
        <v>535</v>
      </c>
      <c r="B22" s="48" t="s">
        <v>536</v>
      </c>
      <c r="C22" s="39">
        <v>1</v>
      </c>
      <c r="D22" s="39" t="s">
        <v>504</v>
      </c>
    </row>
    <row r="23" spans="1:4" ht="25.5">
      <c r="A23" s="43" t="s">
        <v>541</v>
      </c>
      <c r="B23" s="48" t="s">
        <v>128</v>
      </c>
      <c r="C23" s="39">
        <v>1</v>
      </c>
      <c r="D23" s="39" t="s">
        <v>504</v>
      </c>
    </row>
    <row r="24" spans="1:4">
      <c r="A24" s="46" t="s">
        <v>543</v>
      </c>
      <c r="B24" s="41" t="s">
        <v>542</v>
      </c>
      <c r="C24" s="39">
        <v>1</v>
      </c>
      <c r="D24" s="39" t="s">
        <v>504</v>
      </c>
    </row>
    <row r="25" spans="1:4" ht="25.5">
      <c r="A25" s="46" t="s">
        <v>544</v>
      </c>
      <c r="B25" s="48" t="s">
        <v>113</v>
      </c>
      <c r="C25" s="39">
        <v>1</v>
      </c>
      <c r="D25" s="39" t="s">
        <v>504</v>
      </c>
    </row>
    <row r="26" spans="1:4">
      <c r="A26" s="48" t="s">
        <v>545</v>
      </c>
      <c r="B26" s="48" t="s">
        <v>111</v>
      </c>
      <c r="C26" s="39">
        <v>1</v>
      </c>
      <c r="D26" s="39" t="s">
        <v>504</v>
      </c>
    </row>
    <row r="27" spans="1:4">
      <c r="A27" s="46" t="s">
        <v>547</v>
      </c>
      <c r="B27" s="48" t="s">
        <v>546</v>
      </c>
      <c r="C27" s="39">
        <v>1</v>
      </c>
      <c r="D27" s="39" t="s">
        <v>504</v>
      </c>
    </row>
    <row r="28" spans="1:4">
      <c r="A28" s="46" t="s">
        <v>549</v>
      </c>
      <c r="B28" s="48" t="s">
        <v>548</v>
      </c>
      <c r="C28" s="39">
        <v>1</v>
      </c>
      <c r="D28" s="39" t="s">
        <v>504</v>
      </c>
    </row>
    <row r="29" spans="1:4" ht="25.5">
      <c r="A29" s="48" t="s">
        <v>550</v>
      </c>
      <c r="B29" s="48" t="s">
        <v>145</v>
      </c>
      <c r="C29" s="39">
        <v>1</v>
      </c>
      <c r="D29" s="39" t="s">
        <v>504</v>
      </c>
    </row>
    <row r="30" spans="1:4" ht="25.5">
      <c r="A30" s="46" t="s">
        <v>551</v>
      </c>
      <c r="B30" s="48" t="s">
        <v>162</v>
      </c>
      <c r="C30" s="39">
        <v>1</v>
      </c>
      <c r="D30" s="39" t="s">
        <v>504</v>
      </c>
    </row>
    <row r="31" spans="1:4">
      <c r="A31" s="46" t="s">
        <v>552</v>
      </c>
      <c r="B31" s="48" t="s">
        <v>179</v>
      </c>
      <c r="C31" s="39">
        <v>1</v>
      </c>
      <c r="D31" s="39" t="s">
        <v>504</v>
      </c>
    </row>
    <row r="32" spans="1:4">
      <c r="A32" s="44" t="s">
        <v>553</v>
      </c>
      <c r="B32" s="48" t="s">
        <v>170</v>
      </c>
      <c r="C32" s="39">
        <v>1</v>
      </c>
      <c r="D32" s="39" t="s">
        <v>504</v>
      </c>
    </row>
    <row r="33" spans="1:4">
      <c r="A33" s="44" t="s">
        <v>555</v>
      </c>
      <c r="B33" s="48" t="s">
        <v>554</v>
      </c>
      <c r="C33" s="39">
        <v>1</v>
      </c>
      <c r="D33" s="39" t="s">
        <v>504</v>
      </c>
    </row>
    <row r="34" spans="1:4">
      <c r="A34" s="44" t="s">
        <v>556</v>
      </c>
      <c r="B34" s="48" t="s">
        <v>554</v>
      </c>
      <c r="C34" s="39">
        <v>1</v>
      </c>
      <c r="D34" s="39" t="s">
        <v>504</v>
      </c>
    </row>
    <row r="35" spans="1:4">
      <c r="A35" s="44" t="s">
        <v>557</v>
      </c>
      <c r="B35" s="48" t="s">
        <v>554</v>
      </c>
      <c r="C35" s="39">
        <v>1</v>
      </c>
      <c r="D35" s="39" t="s">
        <v>504</v>
      </c>
    </row>
    <row r="36" spans="1:4">
      <c r="A36" s="41" t="s">
        <v>558</v>
      </c>
      <c r="B36" s="48" t="s">
        <v>554</v>
      </c>
      <c r="C36" s="39">
        <v>1</v>
      </c>
      <c r="D36" s="39" t="s">
        <v>504</v>
      </c>
    </row>
    <row r="37" spans="1:4">
      <c r="A37" t="s">
        <v>561</v>
      </c>
      <c r="B37" s="48" t="s">
        <v>559</v>
      </c>
      <c r="C37" s="39">
        <v>1</v>
      </c>
      <c r="D37" s="39" t="s">
        <v>504</v>
      </c>
    </row>
    <row r="38" spans="1:4">
      <c r="A38" s="41" t="s">
        <v>562</v>
      </c>
      <c r="B38" s="41" t="s">
        <v>559</v>
      </c>
      <c r="C38" s="39">
        <v>1</v>
      </c>
      <c r="D38" s="39" t="s">
        <v>504</v>
      </c>
    </row>
    <row r="39" spans="1:4">
      <c r="A39" t="s">
        <v>420</v>
      </c>
      <c r="B39" s="48" t="s">
        <v>560</v>
      </c>
      <c r="C39" s="39">
        <v>1</v>
      </c>
      <c r="D39" s="39" t="s">
        <v>504</v>
      </c>
    </row>
    <row r="40" spans="1:4">
      <c r="A40" s="41"/>
      <c r="B40" s="48"/>
      <c r="C40" s="49"/>
      <c r="D40" s="39"/>
    </row>
    <row r="41" spans="1:4">
      <c r="A41" s="41"/>
      <c r="B41" s="48"/>
      <c r="C41" s="49"/>
      <c r="D41" s="39"/>
    </row>
    <row r="42" spans="1:4">
      <c r="A42" s="48"/>
      <c r="B42" s="48"/>
      <c r="C42" s="49"/>
      <c r="D42" s="39"/>
    </row>
    <row r="43" spans="1:4">
      <c r="A43" s="41"/>
      <c r="B43" s="48"/>
      <c r="C43" s="49"/>
      <c r="D43" s="39"/>
    </row>
    <row r="44" spans="1:4">
      <c r="A44" s="41"/>
      <c r="B44" s="48"/>
      <c r="C44" s="49"/>
      <c r="D44" s="39"/>
    </row>
    <row r="45" spans="1:4">
      <c r="A45" s="41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18" sqref="A18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312018</v>
      </c>
      <c r="F2">
        <v>312017</v>
      </c>
    </row>
    <row r="3" spans="1:6">
      <c r="A3" t="s">
        <v>375</v>
      </c>
    </row>
    <row r="4" spans="1:6">
      <c r="A4" t="s">
        <v>376</v>
      </c>
      <c r="B4" t="s">
        <v>84</v>
      </c>
      <c r="C4" t="s">
        <v>84</v>
      </c>
      <c r="D4" t="s">
        <v>80</v>
      </c>
    </row>
    <row r="5" spans="1:6">
      <c r="A5" t="s">
        <v>377</v>
      </c>
      <c r="B5" t="s">
        <v>84</v>
      </c>
      <c r="C5" t="s">
        <v>84</v>
      </c>
      <c r="D5" t="s">
        <v>80</v>
      </c>
      <c r="E5">
        <v>312148</v>
      </c>
      <c r="F5">
        <v>289051</v>
      </c>
    </row>
    <row r="6" spans="1:6">
      <c r="A6" t="s">
        <v>378</v>
      </c>
      <c r="B6" t="s">
        <v>89</v>
      </c>
      <c r="C6" t="s">
        <v>89</v>
      </c>
      <c r="D6" t="s">
        <v>80</v>
      </c>
      <c r="E6">
        <v>-85093</v>
      </c>
      <c r="F6">
        <v>-75592</v>
      </c>
    </row>
    <row r="7" spans="1:6">
      <c r="A7" t="s">
        <v>379</v>
      </c>
      <c r="B7" t="s">
        <v>84</v>
      </c>
      <c r="C7" t="s">
        <v>84</v>
      </c>
      <c r="D7" t="s">
        <v>80</v>
      </c>
      <c r="E7">
        <v>227055</v>
      </c>
      <c r="F7">
        <v>213459</v>
      </c>
    </row>
    <row r="8" spans="1:6">
      <c r="A8" t="s">
        <v>380</v>
      </c>
      <c r="B8" t="s">
        <v>80</v>
      </c>
      <c r="C8" t="s">
        <v>80</v>
      </c>
      <c r="D8" t="s">
        <v>116</v>
      </c>
    </row>
    <row r="9" spans="1:6">
      <c r="A9" t="s">
        <v>381</v>
      </c>
      <c r="B9" t="s">
        <v>117</v>
      </c>
      <c r="C9" t="s">
        <v>117</v>
      </c>
      <c r="D9" t="s">
        <v>116</v>
      </c>
      <c r="E9">
        <v>12756</v>
      </c>
      <c r="F9">
        <v>5248</v>
      </c>
    </row>
    <row r="10" spans="1:6">
      <c r="A10" t="s">
        <v>382</v>
      </c>
      <c r="B10" t="s">
        <v>352</v>
      </c>
      <c r="C10" t="s">
        <v>137</v>
      </c>
      <c r="D10" t="s">
        <v>116</v>
      </c>
      <c r="E10">
        <v>1488</v>
      </c>
      <c r="F10">
        <v>1528</v>
      </c>
    </row>
    <row r="11" spans="1:6">
      <c r="A11" t="s">
        <v>383</v>
      </c>
      <c r="D11" t="s">
        <v>116</v>
      </c>
      <c r="E11">
        <v>406</v>
      </c>
      <c r="F11">
        <v>430</v>
      </c>
    </row>
    <row r="12" spans="1:6">
      <c r="A12" t="s">
        <v>384</v>
      </c>
      <c r="B12" t="s">
        <v>385</v>
      </c>
      <c r="C12" t="s">
        <v>162</v>
      </c>
      <c r="D12" t="s">
        <v>141</v>
      </c>
      <c r="E12">
        <v>1998</v>
      </c>
      <c r="F12">
        <v>1759</v>
      </c>
    </row>
    <row r="13" spans="1:6">
      <c r="A13" t="s">
        <v>386</v>
      </c>
      <c r="B13" t="s">
        <v>134</v>
      </c>
      <c r="C13" t="s">
        <v>134</v>
      </c>
      <c r="D13" t="s">
        <v>116</v>
      </c>
      <c r="E13">
        <v>686</v>
      </c>
      <c r="F13">
        <v>700</v>
      </c>
    </row>
    <row r="14" spans="1:6">
      <c r="A14" t="s">
        <v>387</v>
      </c>
      <c r="B14" t="s">
        <v>115</v>
      </c>
      <c r="C14" t="s">
        <v>115</v>
      </c>
      <c r="D14" t="s">
        <v>116</v>
      </c>
      <c r="E14">
        <v>17334</v>
      </c>
      <c r="F14">
        <v>9665</v>
      </c>
    </row>
    <row r="15" spans="1:6">
      <c r="A15" t="s">
        <v>388</v>
      </c>
      <c r="B15" t="s">
        <v>113</v>
      </c>
      <c r="C15" t="s">
        <v>113</v>
      </c>
      <c r="D15" t="s">
        <v>80</v>
      </c>
    </row>
    <row r="16" spans="1:6">
      <c r="A16" t="s">
        <v>389</v>
      </c>
      <c r="B16" t="s">
        <v>389</v>
      </c>
      <c r="C16" t="s">
        <v>91</v>
      </c>
      <c r="D16" t="s">
        <v>80</v>
      </c>
      <c r="E16">
        <v>2639</v>
      </c>
    </row>
    <row r="17" spans="1:6">
      <c r="A17" t="s">
        <v>390</v>
      </c>
      <c r="B17" t="s">
        <v>391</v>
      </c>
      <c r="C17" t="s">
        <v>92</v>
      </c>
      <c r="D17" t="s">
        <v>80</v>
      </c>
      <c r="E17">
        <v>12972</v>
      </c>
      <c r="F17">
        <v>12772</v>
      </c>
    </row>
    <row r="18" spans="1:6">
      <c r="A18" t="s">
        <v>392</v>
      </c>
      <c r="D18" t="s">
        <v>116</v>
      </c>
      <c r="E18">
        <v>1793</v>
      </c>
      <c r="F18">
        <v>1871</v>
      </c>
    </row>
    <row r="19" spans="1:6">
      <c r="A19" t="s">
        <v>393</v>
      </c>
      <c r="B19" t="s">
        <v>118</v>
      </c>
      <c r="C19" t="s">
        <v>118</v>
      </c>
      <c r="D19" t="s">
        <v>116</v>
      </c>
      <c r="E19">
        <v>128</v>
      </c>
    </row>
    <row r="20" spans="1:6">
      <c r="A20" t="s">
        <v>394</v>
      </c>
      <c r="D20" t="s">
        <v>116</v>
      </c>
      <c r="E20">
        <v>441</v>
      </c>
      <c r="F20">
        <v>436</v>
      </c>
    </row>
    <row r="21" spans="1:6">
      <c r="A21" t="s">
        <v>395</v>
      </c>
      <c r="D21" t="s">
        <v>116</v>
      </c>
      <c r="E21">
        <v>79</v>
      </c>
      <c r="F21">
        <v>345</v>
      </c>
    </row>
    <row r="22" spans="1:6">
      <c r="A22" t="s">
        <v>396</v>
      </c>
      <c r="B22" t="s">
        <v>112</v>
      </c>
      <c r="C22" t="s">
        <v>112</v>
      </c>
      <c r="D22" t="s">
        <v>80</v>
      </c>
      <c r="E22">
        <v>20</v>
      </c>
      <c r="F22">
        <v>20</v>
      </c>
    </row>
    <row r="23" spans="1:6">
      <c r="A23" t="s">
        <v>397</v>
      </c>
      <c r="B23" t="s">
        <v>140</v>
      </c>
      <c r="C23" t="s">
        <v>140</v>
      </c>
      <c r="D23" t="s">
        <v>116</v>
      </c>
      <c r="E23">
        <v>18072</v>
      </c>
      <c r="F23">
        <v>15444</v>
      </c>
    </row>
    <row r="24" spans="1:6">
      <c r="A24" t="s">
        <v>398</v>
      </c>
      <c r="D24" t="s">
        <v>116</v>
      </c>
      <c r="E24">
        <v>262461</v>
      </c>
      <c r="F24">
        <v>238568</v>
      </c>
    </row>
    <row r="25" spans="1:6">
      <c r="A25" t="s">
        <v>399</v>
      </c>
      <c r="D25" t="s">
        <v>116</v>
      </c>
    </row>
    <row r="26" spans="1:6">
      <c r="A26" t="s">
        <v>400</v>
      </c>
      <c r="B26" t="s">
        <v>141</v>
      </c>
      <c r="C26" t="s">
        <v>141</v>
      </c>
      <c r="D26" t="s">
        <v>141</v>
      </c>
    </row>
    <row r="27" spans="1:6">
      <c r="A27" t="s">
        <v>401</v>
      </c>
      <c r="B27" t="s">
        <v>401</v>
      </c>
      <c r="C27" t="s">
        <v>163</v>
      </c>
      <c r="D27" t="s">
        <v>141</v>
      </c>
      <c r="E27">
        <v>604</v>
      </c>
      <c r="F27">
        <v>321</v>
      </c>
    </row>
    <row r="28" spans="1:6">
      <c r="A28" t="s">
        <v>364</v>
      </c>
      <c r="B28" t="s">
        <v>402</v>
      </c>
      <c r="C28" t="s">
        <v>161</v>
      </c>
      <c r="D28" t="s">
        <v>141</v>
      </c>
      <c r="E28">
        <v>7465</v>
      </c>
      <c r="F28">
        <v>7252</v>
      </c>
    </row>
    <row r="29" spans="1:6">
      <c r="A29" t="s">
        <v>403</v>
      </c>
      <c r="B29" t="s">
        <v>103</v>
      </c>
      <c r="C29" t="s">
        <v>103</v>
      </c>
      <c r="D29" t="s">
        <v>141</v>
      </c>
      <c r="E29">
        <v>1460</v>
      </c>
      <c r="F29">
        <v>1395</v>
      </c>
    </row>
    <row r="30" spans="1:6">
      <c r="A30" t="s">
        <v>404</v>
      </c>
      <c r="B30" t="s">
        <v>170</v>
      </c>
      <c r="C30" t="s">
        <v>170</v>
      </c>
      <c r="D30" t="s">
        <v>165</v>
      </c>
      <c r="E30">
        <v>47</v>
      </c>
      <c r="F30">
        <v>8</v>
      </c>
    </row>
    <row r="31" spans="1:6">
      <c r="A31" t="s">
        <v>405</v>
      </c>
      <c r="B31" t="s">
        <v>13</v>
      </c>
      <c r="C31" t="s">
        <v>13</v>
      </c>
      <c r="D31" t="s">
        <v>141</v>
      </c>
      <c r="E31">
        <v>9576</v>
      </c>
      <c r="F31">
        <v>8976</v>
      </c>
    </row>
    <row r="32" spans="1:6">
      <c r="A32" t="s">
        <v>406</v>
      </c>
      <c r="B32" t="s">
        <v>165</v>
      </c>
      <c r="C32" t="s">
        <v>165</v>
      </c>
      <c r="D32" t="s">
        <v>165</v>
      </c>
    </row>
    <row r="33" spans="1:6">
      <c r="A33" t="s">
        <v>407</v>
      </c>
      <c r="B33" t="s">
        <v>170</v>
      </c>
      <c r="C33" t="s">
        <v>170</v>
      </c>
      <c r="D33" t="s">
        <v>165</v>
      </c>
      <c r="E33">
        <v>114507</v>
      </c>
      <c r="F33">
        <v>114363</v>
      </c>
    </row>
    <row r="34" spans="1:6">
      <c r="A34" t="s">
        <v>408</v>
      </c>
      <c r="B34" t="s">
        <v>385</v>
      </c>
      <c r="C34" t="s">
        <v>162</v>
      </c>
      <c r="D34" t="s">
        <v>141</v>
      </c>
      <c r="E34">
        <v>17358</v>
      </c>
      <c r="F34">
        <v>19746</v>
      </c>
    </row>
    <row r="35" spans="1:6">
      <c r="A35" t="s">
        <v>409</v>
      </c>
      <c r="D35" t="s">
        <v>141</v>
      </c>
      <c r="E35">
        <v>8851</v>
      </c>
      <c r="F35">
        <v>8463</v>
      </c>
    </row>
    <row r="36" spans="1:6">
      <c r="A36" t="s">
        <v>410</v>
      </c>
      <c r="D36" t="s">
        <v>141</v>
      </c>
      <c r="E36">
        <v>67684</v>
      </c>
      <c r="F36">
        <v>62725</v>
      </c>
    </row>
    <row r="37" spans="1:6">
      <c r="A37" t="s">
        <v>411</v>
      </c>
      <c r="D37" t="s">
        <v>141</v>
      </c>
      <c r="E37">
        <v>10670</v>
      </c>
      <c r="F37">
        <v>4425</v>
      </c>
    </row>
    <row r="38" spans="1:6">
      <c r="A38" t="s">
        <v>412</v>
      </c>
      <c r="B38" t="s">
        <v>178</v>
      </c>
      <c r="C38" t="s">
        <v>178</v>
      </c>
      <c r="D38" t="s">
        <v>165</v>
      </c>
      <c r="E38">
        <v>4350</v>
      </c>
      <c r="F38">
        <v>3114</v>
      </c>
    </row>
    <row r="39" spans="1:6">
      <c r="A39" t="s">
        <v>413</v>
      </c>
      <c r="D39" t="s">
        <v>165</v>
      </c>
      <c r="E39">
        <v>934</v>
      </c>
      <c r="F39">
        <v>934</v>
      </c>
    </row>
    <row r="40" spans="1:6">
      <c r="A40" t="s">
        <v>414</v>
      </c>
      <c r="B40" t="s">
        <v>180</v>
      </c>
      <c r="C40" t="s">
        <v>180</v>
      </c>
      <c r="D40" t="s">
        <v>165</v>
      </c>
      <c r="E40">
        <v>660</v>
      </c>
      <c r="F40">
        <v>962</v>
      </c>
    </row>
    <row r="41" spans="1:6">
      <c r="A41" t="s">
        <v>415</v>
      </c>
      <c r="B41" t="s">
        <v>14</v>
      </c>
      <c r="C41" t="s">
        <v>14</v>
      </c>
      <c r="D41" t="s">
        <v>165</v>
      </c>
      <c r="E41">
        <v>225014</v>
      </c>
      <c r="F41">
        <v>214732</v>
      </c>
    </row>
    <row r="42" spans="1:6">
      <c r="A42" t="s">
        <v>416</v>
      </c>
      <c r="B42" t="s">
        <v>164</v>
      </c>
      <c r="C42" t="s">
        <v>164</v>
      </c>
      <c r="D42" t="s">
        <v>165</v>
      </c>
      <c r="E42">
        <v>234590</v>
      </c>
      <c r="F42">
        <v>223708</v>
      </c>
    </row>
    <row r="43" spans="1:6">
      <c r="A43" t="s">
        <v>417</v>
      </c>
      <c r="B43" t="s">
        <v>180</v>
      </c>
      <c r="C43" t="s">
        <v>180</v>
      </c>
      <c r="D43" t="s">
        <v>165</v>
      </c>
    </row>
    <row r="44" spans="1:6">
      <c r="A44" t="s">
        <v>418</v>
      </c>
      <c r="B44" t="s">
        <v>181</v>
      </c>
      <c r="C44" t="s">
        <v>181</v>
      </c>
      <c r="D44" t="s">
        <v>181</v>
      </c>
    </row>
    <row r="45" spans="1:6">
      <c r="A45" t="s">
        <v>419</v>
      </c>
      <c r="B45" t="s">
        <v>182</v>
      </c>
      <c r="C45" t="s">
        <v>182</v>
      </c>
      <c r="D45" t="s">
        <v>181</v>
      </c>
      <c r="E45">
        <v>215</v>
      </c>
      <c r="F45">
        <v>196</v>
      </c>
    </row>
    <row r="46" spans="1:6">
      <c r="A46" t="s">
        <v>420</v>
      </c>
      <c r="D46" t="s">
        <v>181</v>
      </c>
      <c r="E46">
        <v>-1</v>
      </c>
    </row>
    <row r="47" spans="1:6">
      <c r="A47" t="s">
        <v>421</v>
      </c>
      <c r="D47" t="s">
        <v>181</v>
      </c>
      <c r="E47">
        <v>27657</v>
      </c>
      <c r="F47">
        <v>14288</v>
      </c>
    </row>
    <row r="48" spans="1:6">
      <c r="A48" t="s">
        <v>422</v>
      </c>
      <c r="B48" t="s">
        <v>187</v>
      </c>
      <c r="C48" t="s">
        <v>187</v>
      </c>
      <c r="D48" t="s">
        <v>181</v>
      </c>
      <c r="F48">
        <v>376</v>
      </c>
    </row>
    <row r="49" spans="1:6">
      <c r="A49" t="s">
        <v>423</v>
      </c>
      <c r="B49" t="s">
        <v>195</v>
      </c>
      <c r="C49" t="s">
        <v>195</v>
      </c>
      <c r="D49" t="s">
        <v>181</v>
      </c>
      <c r="E49">
        <v>27871</v>
      </c>
      <c r="F49">
        <v>14860</v>
      </c>
    </row>
    <row r="50" spans="1:6">
      <c r="A50" t="s">
        <v>424</v>
      </c>
      <c r="B50" t="s">
        <v>195</v>
      </c>
      <c r="C50" t="s">
        <v>195</v>
      </c>
      <c r="D50" t="s">
        <v>181</v>
      </c>
      <c r="E50">
        <v>262461</v>
      </c>
      <c r="F50">
        <v>238568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425</v>
      </c>
      <c r="B3" t="s">
        <v>426</v>
      </c>
      <c r="C3" t="s">
        <v>26</v>
      </c>
      <c r="D3" t="s">
        <v>426</v>
      </c>
    </row>
    <row r="4" spans="1:7">
      <c r="A4" t="s">
        <v>427</v>
      </c>
      <c r="D4" t="s">
        <v>426</v>
      </c>
      <c r="E4">
        <v>15344</v>
      </c>
      <c r="F4">
        <v>14367</v>
      </c>
      <c r="G4">
        <v>13978</v>
      </c>
    </row>
    <row r="5" spans="1:7">
      <c r="A5" t="s">
        <v>428</v>
      </c>
      <c r="D5" t="s">
        <v>426</v>
      </c>
      <c r="E5">
        <v>17654</v>
      </c>
      <c r="F5">
        <v>16765</v>
      </c>
      <c r="G5">
        <v>15740</v>
      </c>
    </row>
    <row r="6" spans="1:7">
      <c r="A6" t="s">
        <v>429</v>
      </c>
      <c r="D6" t="s">
        <v>426</v>
      </c>
      <c r="E6">
        <v>2517</v>
      </c>
      <c r="F6">
        <v>76</v>
      </c>
      <c r="G6">
        <v>81</v>
      </c>
    </row>
    <row r="7" spans="1:7">
      <c r="A7" t="s">
        <v>430</v>
      </c>
      <c r="B7" t="s">
        <v>45</v>
      </c>
      <c r="C7" t="s">
        <v>45</v>
      </c>
      <c r="D7" t="s">
        <v>426</v>
      </c>
      <c r="E7">
        <v>-35515</v>
      </c>
      <c r="F7">
        <v>-31208</v>
      </c>
      <c r="G7">
        <v>29799</v>
      </c>
    </row>
    <row r="8" spans="1:7">
      <c r="A8" t="s">
        <v>431</v>
      </c>
      <c r="B8" t="s">
        <v>58</v>
      </c>
      <c r="C8" t="s">
        <v>58</v>
      </c>
      <c r="D8" t="s">
        <v>426</v>
      </c>
    </row>
    <row r="9" spans="1:7">
      <c r="A9" t="s">
        <v>432</v>
      </c>
      <c r="B9" t="s">
        <v>38</v>
      </c>
      <c r="C9" t="s">
        <v>38</v>
      </c>
      <c r="D9" t="s">
        <v>426</v>
      </c>
      <c r="E9">
        <v>-6630</v>
      </c>
      <c r="F9">
        <v>-6087</v>
      </c>
      <c r="G9">
        <v>6188</v>
      </c>
    </row>
    <row r="10" spans="1:7">
      <c r="A10" t="s">
        <v>433</v>
      </c>
      <c r="B10" t="s">
        <v>38</v>
      </c>
      <c r="C10" t="s">
        <v>38</v>
      </c>
      <c r="D10" t="s">
        <v>426</v>
      </c>
      <c r="E10">
        <v>1599</v>
      </c>
      <c r="F10">
        <v>1462</v>
      </c>
      <c r="G10">
        <v>1853</v>
      </c>
    </row>
    <row r="11" spans="1:7">
      <c r="A11" t="s">
        <v>434</v>
      </c>
      <c r="B11" t="s">
        <v>36</v>
      </c>
      <c r="C11" t="s">
        <v>36</v>
      </c>
      <c r="D11" t="s">
        <v>426</v>
      </c>
      <c r="E11">
        <v>10548</v>
      </c>
      <c r="F11">
        <v>9407</v>
      </c>
      <c r="G11">
        <v>9667</v>
      </c>
    </row>
    <row r="12" spans="1:7">
      <c r="A12" t="s">
        <v>42</v>
      </c>
      <c r="B12" t="s">
        <v>42</v>
      </c>
      <c r="C12" t="s">
        <v>42</v>
      </c>
      <c r="D12" t="s">
        <v>426</v>
      </c>
      <c r="E12">
        <v>7469</v>
      </c>
      <c r="F12">
        <v>6908</v>
      </c>
      <c r="G12">
        <v>6279</v>
      </c>
    </row>
    <row r="13" spans="1:7">
      <c r="A13" t="s">
        <v>435</v>
      </c>
      <c r="B13" t="s">
        <v>45</v>
      </c>
      <c r="C13" t="s">
        <v>45</v>
      </c>
      <c r="D13" t="s">
        <v>426</v>
      </c>
      <c r="E13">
        <v>26246</v>
      </c>
      <c r="F13">
        <v>23864</v>
      </c>
      <c r="G13">
        <v>23987</v>
      </c>
    </row>
    <row r="14" spans="1:7">
      <c r="A14" t="s">
        <v>436</v>
      </c>
      <c r="B14" t="s">
        <v>426</v>
      </c>
      <c r="C14" t="s">
        <v>26</v>
      </c>
      <c r="D14" t="s">
        <v>426</v>
      </c>
      <c r="E14">
        <v>9269</v>
      </c>
      <c r="F14">
        <v>7344</v>
      </c>
      <c r="G14">
        <v>5812</v>
      </c>
    </row>
    <row r="15" spans="1:7">
      <c r="A15" t="s">
        <v>437</v>
      </c>
      <c r="B15" t="s">
        <v>56</v>
      </c>
      <c r="C15" t="s">
        <v>56</v>
      </c>
      <c r="D15" t="s">
        <v>426</v>
      </c>
    </row>
    <row r="16" spans="1:7">
      <c r="A16" t="s">
        <v>438</v>
      </c>
      <c r="B16" t="s">
        <v>54</v>
      </c>
      <c r="C16" t="s">
        <v>54</v>
      </c>
      <c r="D16" t="s">
        <v>426</v>
      </c>
      <c r="E16">
        <v>101</v>
      </c>
      <c r="F16">
        <v>19</v>
      </c>
      <c r="G16">
        <v>18</v>
      </c>
    </row>
    <row r="17" spans="1:7">
      <c r="A17" t="s">
        <v>439</v>
      </c>
      <c r="B17" t="s">
        <v>51</v>
      </c>
      <c r="C17" t="s">
        <v>51</v>
      </c>
      <c r="D17" t="s">
        <v>426</v>
      </c>
      <c r="E17">
        <v>-5255</v>
      </c>
      <c r="F17">
        <v>-5125</v>
      </c>
      <c r="G17">
        <v>-11866</v>
      </c>
    </row>
    <row r="18" spans="1:7">
      <c r="A18" t="s">
        <v>440</v>
      </c>
      <c r="D18" t="s">
        <v>426</v>
      </c>
      <c r="E18">
        <v>592</v>
      </c>
      <c r="F18">
        <v>1478</v>
      </c>
      <c r="G18">
        <v>2222</v>
      </c>
    </row>
    <row r="19" spans="1:7">
      <c r="A19" t="s">
        <v>441</v>
      </c>
      <c r="D19" t="s">
        <v>426</v>
      </c>
      <c r="E19">
        <v>178</v>
      </c>
      <c r="F19">
        <v>234</v>
      </c>
      <c r="G19">
        <v>15</v>
      </c>
    </row>
    <row r="20" spans="1:7">
      <c r="A20" t="s">
        <v>442</v>
      </c>
      <c r="B20" t="s">
        <v>443</v>
      </c>
      <c r="C20" t="s">
        <v>58</v>
      </c>
      <c r="D20" t="s">
        <v>426</v>
      </c>
      <c r="E20">
        <v>-4384</v>
      </c>
      <c r="F20">
        <v>-3394</v>
      </c>
      <c r="G20">
        <v>-9611</v>
      </c>
    </row>
    <row r="21" spans="1:7">
      <c r="A21" t="s">
        <v>444</v>
      </c>
      <c r="B21" t="s">
        <v>445</v>
      </c>
      <c r="C21" t="s">
        <v>61</v>
      </c>
      <c r="D21" t="s">
        <v>426</v>
      </c>
      <c r="E21">
        <v>4885</v>
      </c>
      <c r="F21">
        <v>3950</v>
      </c>
      <c r="G21">
        <v>-3799</v>
      </c>
    </row>
    <row r="22" spans="1:7">
      <c r="A22" t="s">
        <v>446</v>
      </c>
      <c r="B22" t="s">
        <v>62</v>
      </c>
      <c r="C22" t="s">
        <v>62</v>
      </c>
      <c r="D22" t="s">
        <v>426</v>
      </c>
      <c r="E22">
        <v>-1782</v>
      </c>
      <c r="F22">
        <v>601</v>
      </c>
      <c r="G22">
        <v>1287</v>
      </c>
    </row>
    <row r="23" spans="1:7">
      <c r="A23" t="s">
        <v>447</v>
      </c>
      <c r="B23" t="s">
        <v>70</v>
      </c>
      <c r="C23" t="s">
        <v>70</v>
      </c>
      <c r="D23" t="s">
        <v>426</v>
      </c>
      <c r="E23">
        <v>3103</v>
      </c>
      <c r="F23">
        <v>4551</v>
      </c>
      <c r="G23">
        <v>-2512</v>
      </c>
    </row>
    <row r="24" spans="1:7">
      <c r="A24" t="s">
        <v>448</v>
      </c>
      <c r="D24" t="s">
        <v>426</v>
      </c>
      <c r="E24">
        <v>15</v>
      </c>
      <c r="F24">
        <v>23</v>
      </c>
      <c r="G24">
        <v>-13</v>
      </c>
    </row>
    <row r="25" spans="1:7">
      <c r="A25" t="s">
        <v>449</v>
      </c>
      <c r="D25" t="s">
        <v>426</v>
      </c>
      <c r="E25">
        <v>15</v>
      </c>
      <c r="F25">
        <v>23</v>
      </c>
      <c r="G25">
        <v>-13</v>
      </c>
    </row>
    <row r="26" spans="1:7">
      <c r="A26" t="s">
        <v>450</v>
      </c>
      <c r="D26" t="s">
        <v>426</v>
      </c>
      <c r="E26">
        <v>28</v>
      </c>
      <c r="F26">
        <v>28</v>
      </c>
      <c r="G26">
        <v>26</v>
      </c>
    </row>
    <row r="27" spans="1:7">
      <c r="A27" t="s">
        <v>451</v>
      </c>
      <c r="D27" t="s">
        <v>426</v>
      </c>
    </row>
    <row r="28" spans="1:7">
      <c r="A28" t="s">
        <v>452</v>
      </c>
      <c r="D28" t="s">
        <v>426</v>
      </c>
    </row>
    <row r="29" spans="1:7">
      <c r="A29" t="s">
        <v>453</v>
      </c>
      <c r="D29" t="s">
        <v>426</v>
      </c>
      <c r="E29">
        <v>20468509</v>
      </c>
      <c r="F29">
        <v>19605239</v>
      </c>
      <c r="G29">
        <v>19146534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454</v>
      </c>
      <c r="B3" t="s">
        <v>231</v>
      </c>
      <c r="C3" t="s">
        <v>231</v>
      </c>
      <c r="D3" t="s">
        <v>455</v>
      </c>
    </row>
    <row r="4" spans="1:7">
      <c r="A4" t="s">
        <v>456</v>
      </c>
      <c r="B4" t="s">
        <v>232</v>
      </c>
      <c r="C4" t="s">
        <v>232</v>
      </c>
      <c r="D4" t="s">
        <v>455</v>
      </c>
      <c r="E4">
        <v>3103</v>
      </c>
      <c r="F4">
        <v>4551</v>
      </c>
      <c r="G4">
        <v>-2512</v>
      </c>
    </row>
    <row r="5" spans="1:7">
      <c r="A5" t="s">
        <v>457</v>
      </c>
      <c r="D5" t="s">
        <v>455</v>
      </c>
    </row>
    <row r="6" spans="1:7">
      <c r="A6" t="s">
        <v>458</v>
      </c>
      <c r="B6" t="s">
        <v>248</v>
      </c>
      <c r="C6" t="s">
        <v>248</v>
      </c>
      <c r="D6" t="s">
        <v>455</v>
      </c>
      <c r="E6">
        <v>1714</v>
      </c>
      <c r="F6">
        <v>1550</v>
      </c>
      <c r="G6">
        <v>2234</v>
      </c>
    </row>
    <row r="7" spans="1:7">
      <c r="A7" t="s">
        <v>42</v>
      </c>
      <c r="B7" t="s">
        <v>236</v>
      </c>
      <c r="C7" t="s">
        <v>236</v>
      </c>
      <c r="D7" t="s">
        <v>455</v>
      </c>
      <c r="E7">
        <v>7469</v>
      </c>
      <c r="F7">
        <v>6908</v>
      </c>
      <c r="G7">
        <v>6279</v>
      </c>
    </row>
    <row r="8" spans="1:7">
      <c r="A8" t="s">
        <v>459</v>
      </c>
      <c r="B8" t="s">
        <v>460</v>
      </c>
      <c r="C8" t="s">
        <v>460</v>
      </c>
      <c r="D8" t="s">
        <v>461</v>
      </c>
      <c r="G8">
        <v>2165</v>
      </c>
    </row>
    <row r="9" spans="1:7">
      <c r="A9" t="s">
        <v>462</v>
      </c>
      <c r="B9" t="s">
        <v>240</v>
      </c>
      <c r="C9" t="s">
        <v>240</v>
      </c>
      <c r="D9" t="s">
        <v>455</v>
      </c>
      <c r="E9">
        <v>101</v>
      </c>
      <c r="F9">
        <v>44</v>
      </c>
      <c r="G9">
        <v>428</v>
      </c>
    </row>
    <row r="10" spans="1:7">
      <c r="A10" t="s">
        <v>463</v>
      </c>
      <c r="D10" t="s">
        <v>455</v>
      </c>
      <c r="G10">
        <v>54</v>
      </c>
    </row>
    <row r="11" spans="1:7">
      <c r="A11" t="s">
        <v>464</v>
      </c>
      <c r="D11" t="s">
        <v>455</v>
      </c>
      <c r="E11">
        <v>265</v>
      </c>
      <c r="F11">
        <v>136</v>
      </c>
      <c r="G11">
        <v>340</v>
      </c>
    </row>
    <row r="12" spans="1:7">
      <c r="A12" t="s">
        <v>465</v>
      </c>
      <c r="D12" t="s">
        <v>455</v>
      </c>
      <c r="E12">
        <v>-27</v>
      </c>
      <c r="G12">
        <v>-978</v>
      </c>
    </row>
    <row r="13" spans="1:7">
      <c r="A13" t="s">
        <v>466</v>
      </c>
      <c r="B13" t="s">
        <v>250</v>
      </c>
      <c r="C13" t="s">
        <v>250</v>
      </c>
      <c r="D13" t="s">
        <v>455</v>
      </c>
      <c r="E13">
        <v>93</v>
      </c>
      <c r="F13">
        <v>128</v>
      </c>
      <c r="G13">
        <v>70</v>
      </c>
    </row>
    <row r="14" spans="1:7">
      <c r="A14" t="s">
        <v>467</v>
      </c>
      <c r="B14" t="s">
        <v>468</v>
      </c>
      <c r="C14" t="s">
        <v>247</v>
      </c>
      <c r="D14" t="s">
        <v>455</v>
      </c>
      <c r="E14">
        <v>1236</v>
      </c>
      <c r="F14">
        <v>529</v>
      </c>
      <c r="G14">
        <v>-1408</v>
      </c>
    </row>
    <row r="15" spans="1:7">
      <c r="A15" t="s">
        <v>469</v>
      </c>
      <c r="D15" t="s">
        <v>455</v>
      </c>
    </row>
    <row r="16" spans="1:7">
      <c r="A16" t="s">
        <v>470</v>
      </c>
      <c r="B16" t="s">
        <v>265</v>
      </c>
      <c r="C16" t="s">
        <v>265</v>
      </c>
      <c r="D16" t="s">
        <v>455</v>
      </c>
      <c r="E16">
        <v>178</v>
      </c>
      <c r="F16">
        <v>-179</v>
      </c>
      <c r="G16">
        <v>-409</v>
      </c>
    </row>
    <row r="17" spans="1:7">
      <c r="A17" t="s">
        <v>471</v>
      </c>
      <c r="B17" t="s">
        <v>276</v>
      </c>
      <c r="C17" t="s">
        <v>276</v>
      </c>
      <c r="D17" t="s">
        <v>455</v>
      </c>
      <c r="E17">
        <v>-110</v>
      </c>
      <c r="F17">
        <v>-116</v>
      </c>
      <c r="G17">
        <v>-415</v>
      </c>
    </row>
    <row r="18" spans="1:7">
      <c r="A18" t="s">
        <v>472</v>
      </c>
      <c r="B18" t="s">
        <v>273</v>
      </c>
      <c r="C18" t="s">
        <v>273</v>
      </c>
      <c r="D18" t="s">
        <v>455</v>
      </c>
      <c r="E18">
        <v>-688</v>
      </c>
      <c r="F18">
        <v>-1247</v>
      </c>
      <c r="G18">
        <v>-4087</v>
      </c>
    </row>
    <row r="19" spans="1:7">
      <c r="A19" t="s">
        <v>396</v>
      </c>
      <c r="B19" t="s">
        <v>276</v>
      </c>
      <c r="C19" t="s">
        <v>276</v>
      </c>
      <c r="D19" t="s">
        <v>455</v>
      </c>
      <c r="E19">
        <v>73</v>
      </c>
      <c r="F19">
        <v>-1763</v>
      </c>
      <c r="G19">
        <v>117</v>
      </c>
    </row>
    <row r="20" spans="1:7">
      <c r="A20" t="s">
        <v>414</v>
      </c>
      <c r="B20" t="s">
        <v>277</v>
      </c>
      <c r="C20" t="s">
        <v>277</v>
      </c>
      <c r="D20" t="s">
        <v>455</v>
      </c>
      <c r="E20">
        <v>-2100</v>
      </c>
      <c r="F20">
        <v>615</v>
      </c>
      <c r="G20">
        <v>17</v>
      </c>
    </row>
    <row r="21" spans="1:7">
      <c r="A21" t="s">
        <v>473</v>
      </c>
      <c r="B21" t="s">
        <v>285</v>
      </c>
      <c r="C21" t="s">
        <v>285</v>
      </c>
      <c r="D21" t="s">
        <v>455</v>
      </c>
      <c r="E21">
        <v>11307</v>
      </c>
      <c r="F21">
        <v>11156</v>
      </c>
      <c r="G21">
        <v>1895</v>
      </c>
    </row>
    <row r="22" spans="1:7">
      <c r="A22" t="s">
        <v>474</v>
      </c>
      <c r="B22" t="s">
        <v>231</v>
      </c>
      <c r="C22" t="s">
        <v>231</v>
      </c>
      <c r="D22" t="s">
        <v>475</v>
      </c>
    </row>
    <row r="23" spans="1:7">
      <c r="A23" t="s">
        <v>476</v>
      </c>
      <c r="B23" t="s">
        <v>287</v>
      </c>
      <c r="C23" t="s">
        <v>287</v>
      </c>
      <c r="D23" t="s">
        <v>475</v>
      </c>
      <c r="E23">
        <v>-4787</v>
      </c>
      <c r="F23">
        <v>-20885</v>
      </c>
      <c r="G23">
        <v>-8588</v>
      </c>
    </row>
    <row r="24" spans="1:7">
      <c r="A24" t="s">
        <v>477</v>
      </c>
      <c r="B24" t="s">
        <v>287</v>
      </c>
      <c r="C24" t="s">
        <v>287</v>
      </c>
      <c r="D24" t="s">
        <v>475</v>
      </c>
      <c r="E24">
        <v>-8475</v>
      </c>
    </row>
    <row r="25" spans="1:7">
      <c r="A25" t="s">
        <v>478</v>
      </c>
      <c r="B25" t="s">
        <v>288</v>
      </c>
      <c r="C25" t="s">
        <v>288</v>
      </c>
      <c r="D25" t="s">
        <v>475</v>
      </c>
      <c r="G25">
        <v>2254</v>
      </c>
    </row>
    <row r="26" spans="1:7">
      <c r="A26" t="s">
        <v>479</v>
      </c>
      <c r="D26" t="s">
        <v>475</v>
      </c>
      <c r="E26">
        <v>1</v>
      </c>
      <c r="F26">
        <v>-208</v>
      </c>
      <c r="G26">
        <v>154</v>
      </c>
    </row>
    <row r="27" spans="1:7">
      <c r="A27" t="s">
        <v>480</v>
      </c>
      <c r="B27" t="s">
        <v>286</v>
      </c>
      <c r="C27" t="s">
        <v>286</v>
      </c>
      <c r="D27" t="s">
        <v>475</v>
      </c>
      <c r="E27">
        <v>-64</v>
      </c>
      <c r="F27">
        <v>95</v>
      </c>
      <c r="G27">
        <v>13</v>
      </c>
    </row>
    <row r="28" spans="1:7">
      <c r="A28" t="s">
        <v>481</v>
      </c>
      <c r="B28" t="s">
        <v>296</v>
      </c>
      <c r="C28" t="s">
        <v>296</v>
      </c>
      <c r="D28" t="s">
        <v>475</v>
      </c>
      <c r="E28">
        <v>-13325</v>
      </c>
      <c r="F28">
        <v>-20998</v>
      </c>
      <c r="G28">
        <v>-6167</v>
      </c>
    </row>
    <row r="29" spans="1:7">
      <c r="A29" t="s">
        <v>482</v>
      </c>
      <c r="B29" t="s">
        <v>297</v>
      </c>
      <c r="C29" t="s">
        <v>297</v>
      </c>
      <c r="D29" t="s">
        <v>461</v>
      </c>
    </row>
    <row r="30" spans="1:7">
      <c r="A30" t="s">
        <v>483</v>
      </c>
      <c r="B30" t="s">
        <v>484</v>
      </c>
      <c r="C30" t="s">
        <v>307</v>
      </c>
      <c r="D30" t="s">
        <v>461</v>
      </c>
      <c r="E30">
        <v>-5791</v>
      </c>
      <c r="F30">
        <v>-5399</v>
      </c>
      <c r="G30">
        <v>-5036</v>
      </c>
    </row>
    <row r="31" spans="1:7">
      <c r="A31" t="s">
        <v>410</v>
      </c>
      <c r="D31" t="s">
        <v>461</v>
      </c>
      <c r="E31">
        <v>817</v>
      </c>
      <c r="F31">
        <v>574</v>
      </c>
      <c r="G31">
        <v>346</v>
      </c>
    </row>
    <row r="32" spans="1:7">
      <c r="A32" t="s">
        <v>485</v>
      </c>
      <c r="B32" t="s">
        <v>298</v>
      </c>
      <c r="C32" t="s">
        <v>298</v>
      </c>
      <c r="D32" t="s">
        <v>461</v>
      </c>
      <c r="E32">
        <v>790</v>
      </c>
      <c r="F32">
        <v>375</v>
      </c>
    </row>
    <row r="33" spans="1:7">
      <c r="A33" t="s">
        <v>486</v>
      </c>
      <c r="B33" t="s">
        <v>302</v>
      </c>
      <c r="C33" t="s">
        <v>302</v>
      </c>
      <c r="D33" t="s">
        <v>461</v>
      </c>
      <c r="E33">
        <v>-27</v>
      </c>
      <c r="F33">
        <v>-79</v>
      </c>
      <c r="G33">
        <v>-378</v>
      </c>
    </row>
    <row r="34" spans="1:7">
      <c r="A34" t="s">
        <v>487</v>
      </c>
      <c r="D34" t="s">
        <v>461</v>
      </c>
      <c r="E34">
        <v>-896</v>
      </c>
      <c r="F34">
        <v>-854</v>
      </c>
      <c r="G34">
        <v>-794</v>
      </c>
    </row>
    <row r="35" spans="1:7">
      <c r="A35" t="s">
        <v>488</v>
      </c>
      <c r="B35" t="s">
        <v>299</v>
      </c>
      <c r="C35" t="s">
        <v>299</v>
      </c>
      <c r="D35" t="s">
        <v>461</v>
      </c>
      <c r="E35">
        <v>140</v>
      </c>
      <c r="G35">
        <v>115000</v>
      </c>
    </row>
    <row r="36" spans="1:7">
      <c r="A36" t="s">
        <v>489</v>
      </c>
      <c r="D36" t="s">
        <v>461</v>
      </c>
      <c r="E36">
        <v>-9</v>
      </c>
      <c r="F36">
        <v>-5</v>
      </c>
    </row>
    <row r="37" spans="1:7">
      <c r="A37" t="s">
        <v>490</v>
      </c>
      <c r="B37" t="s">
        <v>300</v>
      </c>
      <c r="C37" t="s">
        <v>300</v>
      </c>
      <c r="D37" t="s">
        <v>461</v>
      </c>
      <c r="G37">
        <v>-106695</v>
      </c>
    </row>
    <row r="38" spans="1:7">
      <c r="A38" t="s">
        <v>491</v>
      </c>
      <c r="D38" t="s">
        <v>461</v>
      </c>
      <c r="G38">
        <v>8825</v>
      </c>
    </row>
    <row r="39" spans="1:7">
      <c r="A39" t="s">
        <v>492</v>
      </c>
      <c r="B39" t="s">
        <v>298</v>
      </c>
      <c r="C39" t="s">
        <v>298</v>
      </c>
      <c r="D39" t="s">
        <v>461</v>
      </c>
      <c r="E39">
        <v>15910</v>
      </c>
      <c r="G39">
        <v>8372</v>
      </c>
    </row>
    <row r="40" spans="1:7">
      <c r="A40" t="s">
        <v>493</v>
      </c>
      <c r="D40" t="s">
        <v>461</v>
      </c>
      <c r="G40">
        <v>-2800</v>
      </c>
    </row>
    <row r="41" spans="1:7">
      <c r="A41" t="s">
        <v>494</v>
      </c>
      <c r="B41" t="s">
        <v>460</v>
      </c>
      <c r="C41" t="s">
        <v>460</v>
      </c>
      <c r="D41" t="s">
        <v>461</v>
      </c>
      <c r="E41">
        <v>-134</v>
      </c>
      <c r="F41">
        <v>-20</v>
      </c>
      <c r="G41">
        <v>-760</v>
      </c>
    </row>
    <row r="42" spans="1:7">
      <c r="A42" t="s">
        <v>495</v>
      </c>
      <c r="D42" t="s">
        <v>461</v>
      </c>
      <c r="E42">
        <v>-1274</v>
      </c>
      <c r="G42">
        <v>-2823</v>
      </c>
    </row>
    <row r="43" spans="1:7">
      <c r="A43" t="s">
        <v>496</v>
      </c>
      <c r="B43" t="s">
        <v>311</v>
      </c>
      <c r="C43" t="s">
        <v>311</v>
      </c>
      <c r="D43" t="s">
        <v>461</v>
      </c>
      <c r="E43">
        <v>9526</v>
      </c>
      <c r="F43">
        <v>-5408</v>
      </c>
      <c r="G43">
        <v>13257</v>
      </c>
    </row>
    <row r="44" spans="1:7">
      <c r="A44" t="s">
        <v>497</v>
      </c>
      <c r="B44" t="s">
        <v>314</v>
      </c>
      <c r="C44" t="s">
        <v>314</v>
      </c>
      <c r="D44" t="s">
        <v>461</v>
      </c>
      <c r="E44">
        <v>7508</v>
      </c>
      <c r="F44">
        <v>-15250</v>
      </c>
      <c r="G44">
        <v>8985</v>
      </c>
    </row>
    <row r="45" spans="1:7">
      <c r="A45" t="s">
        <v>498</v>
      </c>
      <c r="B45" t="s">
        <v>499</v>
      </c>
      <c r="C45" t="s">
        <v>315</v>
      </c>
      <c r="D45" t="s">
        <v>461</v>
      </c>
      <c r="E45">
        <v>5248</v>
      </c>
      <c r="F45">
        <v>20498</v>
      </c>
      <c r="G45">
        <v>11513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72F3BF-5C74-4C84-965F-62EBF2A4B2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212C0-692C-4D77-9825-1C4FEDBC4D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E5A58C-D37C-4F1D-9CAD-E57E21976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2021-11-11T06:34:28Z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