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F187" i="1"/>
  <c r="G187" i="1"/>
  <c r="G189" i="1" s="1"/>
  <c r="G9" i="1" s="1"/>
  <c r="G184" i="1"/>
  <c r="F184" i="1"/>
  <c r="G92" i="1"/>
  <c r="F92" i="1"/>
  <c r="G89" i="1"/>
  <c r="F89" i="1"/>
  <c r="G24" i="1"/>
  <c r="F24" i="1"/>
  <c r="F30" i="1" s="1"/>
  <c r="F369" i="1" s="1"/>
  <c r="G432" i="1"/>
  <c r="G433" i="1" s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89" i="1" l="1"/>
  <c r="F9" i="1" s="1"/>
  <c r="F13" i="1" s="1"/>
  <c r="G161" i="1"/>
  <c r="G8" i="1" s="1"/>
  <c r="G382" i="1" s="1"/>
  <c r="F161" i="1"/>
  <c r="F8" i="1" s="1"/>
  <c r="G98" i="1"/>
  <c r="G100" i="1" s="1"/>
  <c r="G128" i="1" s="1"/>
  <c r="G7" i="1" s="1"/>
  <c r="F44" i="1"/>
  <c r="F378" i="1" s="1"/>
  <c r="G353" i="1"/>
  <c r="G355" i="1" s="1"/>
  <c r="G357" i="1" s="1"/>
  <c r="G385" i="1"/>
  <c r="G384" i="1"/>
  <c r="G13" i="1"/>
  <c r="G377" i="1"/>
  <c r="F384" i="1"/>
  <c r="F353" i="1"/>
  <c r="F355" i="1" s="1"/>
  <c r="F357" i="1" s="1"/>
  <c r="J372" i="1"/>
  <c r="H378" i="1"/>
  <c r="K372" i="1"/>
  <c r="I378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H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J383" i="1"/>
  <c r="H363" i="1"/>
  <c r="G44" i="1"/>
  <c r="I363" i="1"/>
  <c r="F382" i="1" l="1"/>
  <c r="F385" i="1"/>
  <c r="F377" i="1"/>
  <c r="G383" i="1"/>
  <c r="G12" i="1"/>
  <c r="G376" i="1" s="1"/>
  <c r="F383" i="1"/>
  <c r="F12" i="1"/>
  <c r="F376" i="1" s="1"/>
  <c r="F370" i="1"/>
  <c r="F59" i="1"/>
  <c r="F67" i="1" s="1"/>
  <c r="F71" i="1" s="1"/>
  <c r="F6" i="1" s="1"/>
  <c r="G378" i="1"/>
  <c r="G59" i="1"/>
  <c r="G67" i="1" s="1"/>
  <c r="G71" i="1" s="1"/>
  <c r="G370" i="1"/>
  <c r="F14" i="1" l="1"/>
  <c r="F366" i="1"/>
  <c r="G14" i="1"/>
  <c r="G366" i="1"/>
  <c r="F373" i="1"/>
  <c r="F83" i="1"/>
  <c r="F372" i="1"/>
  <c r="F371" i="1"/>
  <c r="G373" i="1"/>
  <c r="G83" i="1"/>
  <c r="G372" i="1"/>
  <c r="G6" i="1"/>
  <c r="G365" i="1" l="1"/>
  <c r="G371" i="1"/>
  <c r="F365" i="1"/>
</calcChain>
</file>

<file path=xl/sharedStrings.xml><?xml version="1.0" encoding="utf-8"?>
<sst xmlns="http://schemas.openxmlformats.org/spreadsheetml/2006/main" count="914" uniqueCount="547">
  <si>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</si>
  <si>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</si>
  <si>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</si>
  <si>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</si>
  <si>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</si>
  <si>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</si>
  <si>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</si>
  <si>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</si>
  <si>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</si>
  <si>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</si>
  <si>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</si>
  <si>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</si>
  <si>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</si>
  <si>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</si>
  <si>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</si>
  <si>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</si>
  <si>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</si>
  <si>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</si>
  <si>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</si>
  <si>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</si>
  <si>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</si>
  <si>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</si>
  <si>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</si>
  <si>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</si>
  <si>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</si>
  <si>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</si>
  <si>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</si>
  <si>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</si>
  <si>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</si>
  <si>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</si>
  <si>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</si>
  <si>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</si>
  <si>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</si>
  <si>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</si>
  <si>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</si>
  <si>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</si>
  <si>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</si>
  <si>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</si>
  <si>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</si>
  <si>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</si>
  <si>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</si>
  <si>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</si>
  <si>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</si>
  <si>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</si>
  <si>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</si>
  <si>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</si>
  <si>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</si>
  <si>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</si>
  <si>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</si>
  <si>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</si>
  <si>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</si>
  <si>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</si>
  <si>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</si>
  <si>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</si>
  <si>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</si>
  <si>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</si>
  <si>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</si>
  <si>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</si>
  <si>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</si>
  <si>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</si>
  <si>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</si>
  <si>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</si>
  <si>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</si>
  <si>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</si>
  <si>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</si>
  <si>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</si>
  <si>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</si>
  <si>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</si>
  <si>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</si>
  <si>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</si>
  <si>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</si>
  <si>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</si>
  <si>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</si>
  <si>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</si>
  <si>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</si>
  <si>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</si>
  <si>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</si>
  <si>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</si>
  <si>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</si>
  <si>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</si>
  <si>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</si>
  <si>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</si>
  <si>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</si>
  <si>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</si>
  <si>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</si>
  <si>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</si>
  <si>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</si>
  <si>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</si>
  <si>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</si>
  <si>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</si>
  <si>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</si>
  <si>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</si>
  <si>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</si>
  <si>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</si>
  <si>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</si>
  <si>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</si>
  <si>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</si>
  <si>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</si>
  <si>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</si>
  <si>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</si>
  <si>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</si>
  <si>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</si>
  <si>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</si>
  <si>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</si>
  <si>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</si>
  <si>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</si>
  <si>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</si>
  <si>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</si>
  <si>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</si>
  <si>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</si>
  <si>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</si>
  <si>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</si>
  <si>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</si>
  <si>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</si>
  <si>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</si>
  <si>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</si>
  <si>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</si>
  <si>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</si>
  <si>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</si>
  <si>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</si>
  <si>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</si>
  <si>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</si>
  <si>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</si>
  <si>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</si>
  <si>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</si>
  <si>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</si>
  <si>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</si>
  <si>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</si>
  <si>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</si>
  <si>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</si>
  <si>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</si>
  <si>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</si>
  <si>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</si>
  <si>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</si>
  <si>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</si>
  <si>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</si>
  <si>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</si>
  <si>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</si>
  <si>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</si>
  <si>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</si>
  <si>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</si>
  <si>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</si>
  <si>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</si>
  <si>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</si>
  <si>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</si>
  <si>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</si>
  <si>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</si>
  <si>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</si>
  <si>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</si>
  <si>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</si>
  <si>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</si>
  <si>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</si>
  <si>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</si>
  <si>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</si>
  <si>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</si>
  <si>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</si>
  <si>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</si>
  <si>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</si>
  <si>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</si>
  <si>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</si>
  <si>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</si>
  <si>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</si>
  <si>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</si>
  <si>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</si>
  <si>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</si>
  <si>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</si>
  <si>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</si>
  <si>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</si>
  <si>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</si>
  <si>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</si>
  <si>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</si>
  <si>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</si>
  <si>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</si>
  <si>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</si>
  <si>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</si>
  <si>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</si>
  <si>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</si>
  <si>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</si>
  <si>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</si>
  <si>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</si>
  <si>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</si>
  <si>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</si>
  <si>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</si>
  <si>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</si>
  <si>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</si>
  <si>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</si>
  <si>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</si>
  <si>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</si>
  <si>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</si>
  <si>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</si>
  <si>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</si>
  <si>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</si>
  <si>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</si>
  <si>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</si>
  <si>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</si>
  <si>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</si>
  <si>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</si>
  <si>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</si>
  <si>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</si>
  <si>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</si>
  <si>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</si>
  <si>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</si>
  <si>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</si>
  <si>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</si>
  <si>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</si>
  <si>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</si>
  <si>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</si>
  <si>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</si>
  <si>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</si>
  <si>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</si>
  <si>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</si>
  <si>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</si>
  <si>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</si>
  <si>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</si>
  <si>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</si>
  <si>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</si>
  <si>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</si>
  <si>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</si>
  <si>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</si>
  <si>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</si>
  <si>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</si>
  <si>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</si>
  <si>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</si>
  <si>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</si>
  <si>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</si>
  <si>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</si>
  <si>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</si>
  <si>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</si>
  <si>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</si>
  <si>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</si>
  <si>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</si>
  <si>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</si>
  <si>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</si>
  <si>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</si>
  <si>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</si>
  <si>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</si>
  <si>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</si>
  <si>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</si>
  <si>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</si>
  <si>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</si>
  <si>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</si>
  <si>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</si>
  <si>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</si>
  <si>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</si>
  <si>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</si>
  <si>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</si>
  <si>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</si>
  <si>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</si>
  <si>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</si>
  <si>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</si>
  <si>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</si>
  <si>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</si>
  <si>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</si>
  <si>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</si>
  <si>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</si>
  <si>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</si>
  <si>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</si>
  <si>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</si>
  <si>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</si>
  <si>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</si>
  <si>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</si>
  <si>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</si>
  <si>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</si>
  <si>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</si>
  <si>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</si>
  <si>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</si>
  <si>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</si>
  <si>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</si>
  <si>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</si>
  <si>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</si>
  <si>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</si>
  <si>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</si>
  <si>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</si>
  <si>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</si>
  <si>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</si>
  <si>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</si>
  <si>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</si>
  <si>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</si>
  <si>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</si>
  <si>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</si>
  <si>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</si>
  <si>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</si>
  <si>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</si>
  <si>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</si>
  <si>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</si>
  <si>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</si>
  <si>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</si>
  <si>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</si>
  <si>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</si>
  <si>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</si>
  <si>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</si>
  <si>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</si>
  <si>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</si>
  <si>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</si>
  <si>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</si>
  <si>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</si>
  <si>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</si>
  <si>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</si>
  <si>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</si>
  <si>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</si>
  <si>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</si>
  <si>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</si>
  <si>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</si>
  <si>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</si>
  <si>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</si>
  <si>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</si>
  <si>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</si>
  <si>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</si>
  <si>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</si>
  <si>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</si>
  <si>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</si>
  <si>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</si>
  <si>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</si>
  <si>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</si>
  <si>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</si>
  <si>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</si>
  <si>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</si>
  <si>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</si>
  <si>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</si>
  <si>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</si>
  <si>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</si>
  <si>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</si>
  <si>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</si>
  <si>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</si>
  <si>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</si>
  <si>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</si>
  <si>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</si>
  <si>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</si>
  <si>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</si>
  <si>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</si>
  <si>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</si>
  <si>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</si>
  <si>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</si>
  <si>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</si>
  <si>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</si>
  <si>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</si>
  <si>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</si>
  <si>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</si>
  <si>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</si>
  <si>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</si>
  <si>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</si>
  <si>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</si>
  <si>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</si>
  <si>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</si>
  <si>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</si>
  <si>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</si>
  <si>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</si>
  <si>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</si>
  <si>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</si>
  <si>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</si>
  <si>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</si>
  <si>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</si>
  <si>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</si>
  <si>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</si>
  <si>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</si>
  <si>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</si>
  <si>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</si>
  <si>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</si>
  <si>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</si>
  <si>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</si>
  <si>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</si>
  <si>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</si>
  <si>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</si>
  <si>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</si>
  <si>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</si>
  <si>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</si>
  <si>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</si>
  <si>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</si>
  <si>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</si>
  <si>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</si>
  <si>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</si>
  <si>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</si>
  <si>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</si>
  <si>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</si>
  <si>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</si>
  <si>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</si>
  <si>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</si>
  <si>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Restricted cash</t>
  </si>
  <si>
    <t>Accounts receivable, net of allowances of $194 and $217, respectively</t>
  </si>
  <si>
    <t>Income taxes receivable</t>
  </si>
  <si>
    <t>Inventories</t>
  </si>
  <si>
    <t>Prepaid expenses and other</t>
  </si>
  <si>
    <t>Derivative financial instruments</t>
  </si>
  <si>
    <t>Total current assets</t>
  </si>
  <si>
    <t>Property and equipment, net</t>
  </si>
  <si>
    <t>Property and Equipment</t>
  </si>
  <si>
    <t>Goodwill</t>
  </si>
  <si>
    <t>Other assets</t>
  </si>
  <si>
    <t>Total assets</t>
  </si>
  <si>
    <t>Current liabilities</t>
  </si>
  <si>
    <t>Accounts payable</t>
  </si>
  <si>
    <t>Accrued and other liabilities</t>
  </si>
  <si>
    <t>Accruals</t>
  </si>
  <si>
    <t>Derivative financial instruments - Current liabilities</t>
  </si>
  <si>
    <t>Income taxes payable</t>
  </si>
  <si>
    <t>Short-term notes payable and other borrowings</t>
  </si>
  <si>
    <t>Current maturities of long-term debt</t>
  </si>
  <si>
    <t>Total current liabilities</t>
  </si>
  <si>
    <t>Long-term debt</t>
  </si>
  <si>
    <t>Deferred income taxes</t>
  </si>
  <si>
    <t>Other liabilities</t>
  </si>
  <si>
    <t>Total liabilities</t>
  </si>
  <si>
    <t>Commitments and contingencies (Note 18)</t>
  </si>
  <si>
    <t>Stockholders' equity</t>
  </si>
  <si>
    <t>Common stock, $0.001 par value; 75,000,000 shares authorized; 46,637,549 and</t>
  </si>
  <si>
    <t>46,410,405 shares issued, and 41,101,975 and 41,084,463 shares outstanding, respectively</t>
  </si>
  <si>
    <t>Additional paid-in capital</t>
  </si>
  <si>
    <t>Retained earnings</t>
  </si>
  <si>
    <t>Accumulated other comprehensive loss</t>
  </si>
  <si>
    <t>Treasury stock, 5,535,574 and 5,325,942 shares, respectively</t>
  </si>
  <si>
    <t>Total Green Plains stockholders' equity</t>
  </si>
  <si>
    <t>Noncontrolling interests</t>
  </si>
  <si>
    <t>Total stockholders' equity</t>
  </si>
  <si>
    <t>Revenues</t>
  </si>
  <si>
    <t>Revenue</t>
  </si>
  <si>
    <t>Product revenues</t>
  </si>
  <si>
    <t>Service revenues</t>
  </si>
  <si>
    <t>Total revenues</t>
  </si>
  <si>
    <t>Costs and expenses</t>
  </si>
  <si>
    <t>Cost of goods sold (excluding depreciation and amortization expenses reflected below)</t>
  </si>
  <si>
    <t>Operations and maintenance expenses</t>
  </si>
  <si>
    <t>Selling, general and administrative expenses</t>
  </si>
  <si>
    <t>Gain on sale of assets, net</t>
  </si>
  <si>
    <t>Gain on Disposals</t>
  </si>
  <si>
    <t>Depreciation and amortization expenses</t>
  </si>
  <si>
    <t>Total costs and expenses</t>
  </si>
  <si>
    <t>Operating income</t>
  </si>
  <si>
    <t>Other income (expense)</t>
  </si>
  <si>
    <t>Interest income</t>
  </si>
  <si>
    <t>Interest expense</t>
  </si>
  <si>
    <t>Other, net</t>
  </si>
  <si>
    <t>Other Income - net</t>
  </si>
  <si>
    <t>Total other expense</t>
  </si>
  <si>
    <t>Other Expenses</t>
  </si>
  <si>
    <t>Income (loss) before income taxes</t>
  </si>
  <si>
    <t>Profit before Zakat</t>
  </si>
  <si>
    <t>Income tax benefit (expense)</t>
  </si>
  <si>
    <t>Net income</t>
  </si>
  <si>
    <t>Net income attributable to noncontrolling interests</t>
  </si>
  <si>
    <t>Net income attributable to Green Plains</t>
  </si>
  <si>
    <t>Earnings per share:</t>
  </si>
  <si>
    <t>Net income attributable to Green Plains - basic</t>
  </si>
  <si>
    <t>Net income attributable to Green Plains - diluted</t>
  </si>
  <si>
    <t>Weighted average shares outstanding:</t>
  </si>
  <si>
    <t>Basic</t>
  </si>
  <si>
    <t>Diluted</t>
  </si>
  <si>
    <t>Cash flows from operating activities:</t>
  </si>
  <si>
    <t>Operating Activities</t>
  </si>
  <si>
    <t>Adjustments to reconcile net income to net cash provided by (used in)</t>
  </si>
  <si>
    <t>operating activities:</t>
  </si>
  <si>
    <t>Depreciation and amortization</t>
  </si>
  <si>
    <t>Amortization of debt issuance costs and debt discount</t>
  </si>
  <si>
    <t>Loss on exchange of 3.25% convertible notes due 2018</t>
  </si>
  <si>
    <t>Write-off of deferred financing fees related to extinguishment of debt</t>
  </si>
  <si>
    <t>Gain on the disposal of assets</t>
  </si>
  <si>
    <t>Gain from insurance proceeds</t>
  </si>
  <si>
    <t>Stock-based compensation</t>
  </si>
  <si>
    <t>Undistributed equity in loss of affiliates</t>
  </si>
  <si>
    <t>Other</t>
  </si>
  <si>
    <t>Changes in operating assets and liabilities before effects of</t>
  </si>
  <si>
    <t>business combinations and dispositions:</t>
  </si>
  <si>
    <t>Accounts receivable</t>
  </si>
  <si>
    <t>Prepaid expenses and other assets</t>
  </si>
  <si>
    <t>Accounts payable and accrued liabilities</t>
  </si>
  <si>
    <t>Current income taxes</t>
  </si>
  <si>
    <t>Net cash provided by (used in) operating activities</t>
  </si>
  <si>
    <t>Cash flows from investing activities:</t>
  </si>
  <si>
    <t>Investing Activities</t>
  </si>
  <si>
    <t>Purchases of property and equipment, net</t>
  </si>
  <si>
    <t>Proceeds from the sale of assets, net</t>
  </si>
  <si>
    <t>Financing Activities</t>
  </si>
  <si>
    <t>Acquisition of businesses, net of cash acquired</t>
  </si>
  <si>
    <t>Investments in unconsolidated subsidiaries</t>
  </si>
  <si>
    <t>Other investing activities</t>
  </si>
  <si>
    <t>Net cash provided by (used in) investing activities</t>
  </si>
  <si>
    <t>Cash flows from financing activities:</t>
  </si>
  <si>
    <t>Proceeds from the issuance of long-term debt</t>
  </si>
  <si>
    <t>Payments of principal on long-term debt</t>
  </si>
  <si>
    <t>Proceeds from short-term borrowings</t>
  </si>
  <si>
    <t>Payments on short-term borrowings</t>
  </si>
  <si>
    <t>Cash payment for exchange of 3.25% convertible notes due 2018</t>
  </si>
  <si>
    <t>Payments for repurchase of common stock</t>
  </si>
  <si>
    <t>Finance Costs</t>
  </si>
  <si>
    <t>Payments of cash dividends and distributions</t>
  </si>
  <si>
    <t xml:space="preserve">Dividend paid to shareholders to parent on minority interests </t>
  </si>
  <si>
    <t>Payment penalty on early extinguishment of debt</t>
  </si>
  <si>
    <t>Payments of loan fees</t>
  </si>
  <si>
    <t>Payments related to tax withholdings for stock-based compensation</t>
  </si>
  <si>
    <t>Proceeds from exercises of stock options</t>
  </si>
  <si>
    <t>Net cash provided by (used in) financing activities</t>
  </si>
  <si>
    <t>Net change in cash and cash equivalents</t>
  </si>
  <si>
    <t>Cash and cash equivalents, beginning of period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</si>
  <si>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</si>
  <si>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</si>
  <si>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</si>
  <si>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</si>
  <si>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</si>
  <si>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</si>
  <si>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</si>
  <si>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</si>
  <si>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interest income</t>
  </si>
  <si>
    <t>interest expense</t>
  </si>
  <si>
    <t>property, plant and equipment</t>
  </si>
  <si>
    <t>leased assets</t>
  </si>
  <si>
    <t>construction in progress</t>
  </si>
  <si>
    <t>accumulated depreciation and amortisation</t>
  </si>
  <si>
    <t>changed value</t>
  </si>
  <si>
    <t>deleted value</t>
  </si>
  <si>
    <t>added value</t>
  </si>
  <si>
    <t>product revenues</t>
  </si>
  <si>
    <t>service revenues</t>
  </si>
  <si>
    <t>cost of goods sold</t>
  </si>
  <si>
    <t>operations and maintenance expenses</t>
  </si>
  <si>
    <t>changed sign</t>
  </si>
  <si>
    <t>interest paid and financial costs</t>
  </si>
  <si>
    <t>moved to row 48</t>
  </si>
  <si>
    <t>current taxation</t>
  </si>
  <si>
    <t>income tax benefit (expense)</t>
  </si>
  <si>
    <t>other income (expenses)</t>
  </si>
  <si>
    <t>other, net</t>
  </si>
  <si>
    <t>changed value and sign</t>
  </si>
  <si>
    <t>minority interest</t>
  </si>
  <si>
    <t>net income attributable to noncontrolling interests</t>
  </si>
  <si>
    <t>plant equipment</t>
  </si>
  <si>
    <t>buildings and improvements</t>
  </si>
  <si>
    <t>land and improvements</t>
  </si>
  <si>
    <t>railroad track and equipment</t>
  </si>
  <si>
    <t>construction-in-progress</t>
  </si>
  <si>
    <t>computer hardware and software</t>
  </si>
  <si>
    <t>office furniture and equipment</t>
  </si>
  <si>
    <t>leasehold improvements and other</t>
  </si>
  <si>
    <t>land and buildings</t>
  </si>
  <si>
    <t>Less: accumulated depreciation and amortization</t>
  </si>
  <si>
    <t>restricted cash</t>
  </si>
  <si>
    <t>accounts receivable, net of allowances of</t>
  </si>
  <si>
    <t>derivative financial instruments</t>
  </si>
  <si>
    <t>other assets</t>
  </si>
  <si>
    <t>accounts payable</t>
  </si>
  <si>
    <t>accrued and other liabilities</t>
  </si>
  <si>
    <t>deferred tax liability</t>
  </si>
  <si>
    <t>deferred income taxes</t>
  </si>
  <si>
    <t>other liabilities</t>
  </si>
  <si>
    <t>ordinary shares</t>
  </si>
  <si>
    <t>common stock, $0.001 par value</t>
  </si>
  <si>
    <t>additional paid-in capital</t>
  </si>
  <si>
    <t>treasury stock (-)</t>
  </si>
  <si>
    <t>treasury stock, 5,535,574 and 5,325,942 shares,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</si>
</sst>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DD-471B-BF4C-A60ECD93F9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84-4581-B6BA-F71E4F176B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16-4140-9C5E-49C7BC8B34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3A-4AA2-93E6-B5685D791E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21-4B78-952F-39CB529B74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DC-4CF5-93C2-A22D53DB6F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FF-4043-A75D-B95CBD92FA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06-40EF-8416-89C4550A6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30-4F94-9E15-87BC843299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EB-486D-BC45-81591734C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DD-487F-8FD7-46F86DA81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2F-4651-BDB3-4476EEA5FB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2-4CDA-8727-C6E92CC6C9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AC-49F5-B08F-A702658326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16-4556-84BD-6E80A73C03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7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15923</v>
      </c>
      <c r="G6" s="7">
        <f t="shared" ref="G6:O6" si="1">IF(G4=$BF$1,"",G71)</f>
        <v>61061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1009790</v>
      </c>
      <c r="G7" s="7">
        <f t="shared" ref="G7:O7" si="2">IF(G4=$BF$1,"",G128)</f>
        <v>1578179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1206642</v>
      </c>
      <c r="G8" s="7">
        <f t="shared" ref="G8:O8" si="3">IF(G4=$BF$1,"",G161)</f>
        <v>1206471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833700</v>
      </c>
      <c r="G9" s="7">
        <f t="shared" ref="G9:O9" si="4">IF(G4=$BF$1,"",G189)</f>
        <v>886261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319743</v>
      </c>
      <c r="G10" s="7">
        <f t="shared" ref="G10:O10" si="5">IF(G4=$BF$1,"",G210)</f>
        <v>839253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1062989</v>
      </c>
      <c r="G11" s="7">
        <f t="shared" ref="G11:O11" si="6">IF(G4=$BF$1,"",G227)</f>
        <v>1059136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2216432</v>
      </c>
      <c r="G12" s="35">
        <f t="shared" ref="G12:O12" si="7">IF(G4=$BF$1,"",SUM(G7:G8))</f>
        <v>2784650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2216432</v>
      </c>
      <c r="G13" s="35">
        <f t="shared" ref="G13:O13" si="8">IF(G4=$BF$1,"",SUM(G9:G11))</f>
        <v>2784650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3836872+6481</f>
        <v>3843353</v>
      </c>
      <c r="G24">
        <f>3589981+6185</f>
        <v>3596166</v>
      </c>
      <c r="H24">
        <v>3502569</v>
      </c>
      <c r="P24" s="49" t="s">
        <v>506</v>
      </c>
    </row>
    <row r="25" spans="5:16">
      <c r="E25" s="1" t="s">
        <v>27</v>
      </c>
      <c r="F25">
        <v>3627633</v>
      </c>
      <c r="G25">
        <v>3301587</v>
      </c>
      <c r="P25" s="49" t="s">
        <v>508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  <c r="F28"/>
      <c r="G28"/>
      <c r="H28">
        <v>3096079</v>
      </c>
      <c r="P28" s="49" t="s">
        <v>507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215720</v>
      </c>
      <c r="G30" s="7">
        <f>IF(G4=$BF$1,"",G24-G25+ABS(G26)-G27-G28-G29)</f>
        <v>294579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F31"/>
      <c r="G31"/>
      <c r="H31">
        <v>-3027</v>
      </c>
      <c r="P31" s="49" t="s">
        <v>507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115878</v>
      </c>
      <c r="G34">
        <v>112024</v>
      </c>
      <c r="H34">
        <v>104677</v>
      </c>
    </row>
    <row r="35" spans="5:16">
      <c r="E35" s="1" t="s">
        <v>37</v>
      </c>
    </row>
    <row r="36" spans="5:16">
      <c r="E36" s="1" t="s">
        <v>38</v>
      </c>
      <c r="F36" s="38">
        <v>30844</v>
      </c>
      <c r="G36" s="38">
        <v>33448</v>
      </c>
      <c r="P36" s="49" t="s">
        <v>508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103619</v>
      </c>
      <c r="G40">
        <v>107361</v>
      </c>
      <c r="H40">
        <v>84226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250341</v>
      </c>
      <c r="G43" s="7">
        <f>G32+G33+G34+G35+G36+G37+G38+G39+G40+G41+G42</f>
        <v>252833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-34621</v>
      </c>
      <c r="G44" s="7">
        <f>IF(G4=$BF$1,"",G30+G31-G43)</f>
        <v>41746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>
        <v>150351</v>
      </c>
      <c r="G45">
        <v>0</v>
      </c>
      <c r="H45">
        <v>0</v>
      </c>
      <c r="P45" s="49" t="s">
        <v>513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>
        <v>3108</v>
      </c>
      <c r="G48">
        <v>1597</v>
      </c>
      <c r="P48" s="49" t="s">
        <v>508</v>
      </c>
    </row>
    <row r="49" spans="5:16">
      <c r="E49" s="1" t="s">
        <v>51</v>
      </c>
      <c r="F49">
        <v>101025</v>
      </c>
      <c r="G49">
        <v>90160</v>
      </c>
      <c r="H49">
        <v>-51851</v>
      </c>
      <c r="P49" s="49" t="s">
        <v>513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1541</v>
      </c>
      <c r="P52" s="49" t="s">
        <v>515</v>
      </c>
    </row>
    <row r="53" spans="5:16">
      <c r="E53" s="1" t="s">
        <v>55</v>
      </c>
    </row>
    <row r="54" spans="5:16">
      <c r="E54" s="1" t="s">
        <v>56</v>
      </c>
      <c r="F54">
        <v>2195</v>
      </c>
      <c r="G54">
        <v>3666</v>
      </c>
      <c r="H54">
        <v>0</v>
      </c>
      <c r="P54" s="49" t="s">
        <v>508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-53337</v>
      </c>
      <c r="P56" s="49" t="s">
        <v>507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20008</v>
      </c>
      <c r="G59" s="7">
        <f>IF(G4=$BF$1,"",G44+G45+G46+G47+G48-G49-G50-G51+G52-G53+G54+G55-G56+G57+G58)</f>
        <v>-43151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-16726</v>
      </c>
      <c r="G60">
        <v>-124782</v>
      </c>
      <c r="H60">
        <v>-7860</v>
      </c>
      <c r="P60" s="49" t="s">
        <v>513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36734</v>
      </c>
      <c r="G67" s="7">
        <f>IF(G4=$BF$1,"",SUM(G59,-G60,-ABS(G61),-G62,-G66))</f>
        <v>81631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  <c r="F68">
        <v>-20811</v>
      </c>
      <c r="G68">
        <v>-20570</v>
      </c>
      <c r="H68">
        <v>19856</v>
      </c>
      <c r="P68" s="49" t="s">
        <v>520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15923</v>
      </c>
      <c r="G71" s="7">
        <f t="shared" ref="G71:O71" si="14">IF(G4=$BF$1,"",SUM(G67:G70))</f>
        <v>61061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15923</v>
      </c>
      <c r="G83" s="7">
        <f t="shared" ref="G83:O83" si="15">IF(G4=$BF$1,"",SUM(G71:G82))</f>
        <v>61061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176279+115503</f>
        <v>291782</v>
      </c>
      <c r="G89" s="38">
        <f>212426+136274</f>
        <v>348700</v>
      </c>
      <c r="P89" s="49" t="s">
        <v>508</v>
      </c>
    </row>
    <row r="90" spans="5:16">
      <c r="E90" s="1" t="s">
        <v>82</v>
      </c>
      <c r="F90" s="38">
        <v>12484</v>
      </c>
      <c r="G90" s="38">
        <v>17019</v>
      </c>
      <c r="P90" s="49" t="s">
        <v>508</v>
      </c>
    </row>
    <row r="91" spans="5:16">
      <c r="E91" s="1" t="s">
        <v>83</v>
      </c>
    </row>
    <row r="92" spans="5:16">
      <c r="E92" s="12" t="s">
        <v>84</v>
      </c>
      <c r="F92">
        <f>931321+34163+19082+3733</f>
        <v>988299</v>
      </c>
      <c r="G92">
        <f>1232724+42149+19653+3854</f>
        <v>1298380</v>
      </c>
      <c r="P92" s="49" t="s">
        <v>506</v>
      </c>
    </row>
    <row r="93" spans="5:16">
      <c r="E93" s="1" t="s">
        <v>85</v>
      </c>
    </row>
    <row r="94" spans="5:16">
      <c r="E94" s="1" t="s">
        <v>86</v>
      </c>
      <c r="F94" s="38">
        <v>24416</v>
      </c>
      <c r="G94" s="38">
        <v>27193</v>
      </c>
      <c r="P94" s="49" t="s">
        <v>508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1316981</v>
      </c>
      <c r="G98" s="7">
        <f>IF(G4=$BF$1,"",G89+G90+G91+G92+G93+G94+G95+G96)</f>
        <v>1691292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-430405</v>
      </c>
      <c r="G99" s="38">
        <v>-514585</v>
      </c>
      <c r="P99" s="49" t="s">
        <v>508</v>
      </c>
    </row>
    <row r="100" spans="5:16">
      <c r="E100" s="6" t="s">
        <v>90</v>
      </c>
      <c r="F100" s="7">
        <f>F98+F99</f>
        <v>886576</v>
      </c>
      <c r="G100" s="7">
        <f t="shared" ref="G100:O100" si="17">IF(G4=$BF$1,"",G98+G99)</f>
        <v>1176707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34689</v>
      </c>
      <c r="G101">
        <v>182879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34689</v>
      </c>
      <c r="G104" s="7">
        <f t="shared" ref="G104:O104" si="18">IF(G4=$BF$1,"",G101+G102+G103)</f>
        <v>182879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9" t="s">
        <v>507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507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88525</v>
      </c>
      <c r="G125" s="38">
        <v>218593</v>
      </c>
      <c r="P125" s="49" t="s">
        <v>508</v>
      </c>
    </row>
    <row r="126" spans="5:16">
      <c r="E126" s="1" t="s">
        <v>113</v>
      </c>
      <c r="F126"/>
      <c r="G126"/>
      <c r="P126" s="49" t="s">
        <v>507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1009790</v>
      </c>
      <c r="G128" s="7">
        <f t="shared" ref="G128:O128" si="19">IF(G4=$BF$1,"",G100+SUM(G104:G126))</f>
        <v>1578179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251683</v>
      </c>
      <c r="G130">
        <v>266651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/>
      <c r="G133"/>
      <c r="P133" s="49" t="s">
        <v>507</v>
      </c>
    </row>
    <row r="134" spans="5:16">
      <c r="E134" s="1" t="s">
        <v>95</v>
      </c>
      <c r="F134" s="38">
        <v>26315</v>
      </c>
      <c r="G134" s="38">
        <v>6890</v>
      </c>
      <c r="P134" s="49" t="s">
        <v>508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277998</v>
      </c>
      <c r="G140" s="7">
        <f t="shared" ref="G140:O140" si="20">IF(G4=$BF$1,"",G130+G131+G132+G133+G134+G135+G136+G139)</f>
        <v>273541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734883</v>
      </c>
      <c r="G144">
        <v>711878</v>
      </c>
    </row>
    <row r="145" spans="5:16">
      <c r="E145" s="6" t="s">
        <v>127</v>
      </c>
      <c r="F145" s="7">
        <f>F141+F142+F143+F144</f>
        <v>734883</v>
      </c>
      <c r="G145" s="7">
        <f t="shared" ref="G145:O145" si="21">IF(G4=$BF$1,"",G141+G142+G143+G144)</f>
        <v>711878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12418</v>
      </c>
      <c r="G151">
        <v>6413</v>
      </c>
    </row>
    <row r="154" spans="5:16">
      <c r="E154" s="12" t="s">
        <v>134</v>
      </c>
      <c r="F154">
        <v>14470</v>
      </c>
      <c r="G154">
        <v>17808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100361</v>
      </c>
      <c r="G157" s="38">
        <v>151122</v>
      </c>
      <c r="P157" s="49" t="s">
        <v>508</v>
      </c>
    </row>
    <row r="158" spans="5:16">
      <c r="E158" s="1" t="s">
        <v>138</v>
      </c>
    </row>
    <row r="159" spans="5:16">
      <c r="E159" s="1" t="s">
        <v>139</v>
      </c>
      <c r="F159" s="38">
        <v>66512</v>
      </c>
      <c r="G159" s="38">
        <v>45709</v>
      </c>
      <c r="P159" s="49" t="s">
        <v>508</v>
      </c>
    </row>
    <row r="160" spans="5:16">
      <c r="E160" s="6" t="s">
        <v>140</v>
      </c>
      <c r="F160" s="7">
        <f>F146+F147+F148+F149+F150+F151+F152+F153+F154+F155+F156+F157+F158+F159</f>
        <v>193761</v>
      </c>
      <c r="G160" s="7">
        <f>IF(G4=$BF$1,"",G146+G147+G148+G149+G150+G151+G152+G153+G154+G155+G156+G157+G158+G159)</f>
        <v>221052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1206642</v>
      </c>
      <c r="G161" s="7">
        <f t="shared" ref="G161:O161" si="22">IF(G4=$BF$1,"",G140+G145+G160)</f>
        <v>1206471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54807</v>
      </c>
      <c r="G167">
        <v>67923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538243</v>
      </c>
      <c r="G172">
        <v>526180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0</v>
      </c>
      <c r="G181">
        <v>9909</v>
      </c>
    </row>
    <row r="183" spans="5:16">
      <c r="E183" s="1" t="s">
        <v>160</v>
      </c>
    </row>
    <row r="184" spans="5:16">
      <c r="E184" s="12" t="s">
        <v>161</v>
      </c>
      <c r="F184">
        <f>156901+58973</f>
        <v>215874</v>
      </c>
      <c r="G184">
        <f>205479+63886</f>
        <v>269365</v>
      </c>
      <c r="P184" s="49" t="s">
        <v>506</v>
      </c>
    </row>
    <row r="185" spans="5:16">
      <c r="E185" s="12" t="s">
        <v>162</v>
      </c>
    </row>
    <row r="187" spans="5:16">
      <c r="E187" s="1" t="s">
        <v>163</v>
      </c>
      <c r="F187">
        <f>24776</f>
        <v>24776</v>
      </c>
      <c r="G187">
        <f>12884</f>
        <v>12884</v>
      </c>
      <c r="P187" s="49" t="s">
        <v>506</v>
      </c>
    </row>
    <row r="188" spans="5:16">
      <c r="E188" s="1" t="s">
        <v>164</v>
      </c>
      <c r="F188"/>
      <c r="G188"/>
      <c r="P188" s="49" t="s">
        <v>507</v>
      </c>
    </row>
    <row r="189" spans="5:16">
      <c r="E189" s="6" t="s">
        <v>13</v>
      </c>
      <c r="F189" s="7">
        <f>SUM(F163:F188)</f>
        <v>833700</v>
      </c>
      <c r="G189" s="7">
        <f t="shared" ref="G189:O189" si="23">IF(G4=$BF$1,"",SUM(G163:G188))</f>
        <v>886261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298190</v>
      </c>
      <c r="G193">
        <v>767396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10123</v>
      </c>
      <c r="G203" s="38">
        <v>56801</v>
      </c>
      <c r="P203" s="49" t="s">
        <v>508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11430</v>
      </c>
      <c r="G209">
        <v>15056</v>
      </c>
      <c r="P209" s="49" t="s">
        <v>508</v>
      </c>
    </row>
    <row r="210" spans="5:16">
      <c r="E210" s="6" t="s">
        <v>14</v>
      </c>
      <c r="F210" s="7">
        <f>SUM(F191:F209)</f>
        <v>319743</v>
      </c>
      <c r="G210" s="7">
        <f t="shared" ref="G210:O210" si="24">IF(G4=$BF$1,"",SUM(G191:G209))</f>
        <v>839253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47+696222</f>
        <v>696269</v>
      </c>
      <c r="G212">
        <f>46+685019</f>
        <v>685065</v>
      </c>
      <c r="P212" s="49" t="s">
        <v>506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324728</v>
      </c>
      <c r="G217">
        <v>325411</v>
      </c>
    </row>
    <row r="218" spans="5:16">
      <c r="E218" s="1" t="s">
        <v>188</v>
      </c>
    </row>
    <row r="219" spans="5:16">
      <c r="E219" s="1" t="s">
        <v>189</v>
      </c>
      <c r="F219">
        <v>-16016</v>
      </c>
      <c r="G219">
        <v>-13110</v>
      </c>
    </row>
    <row r="220" spans="5:16">
      <c r="E220" s="1" t="s">
        <v>190</v>
      </c>
    </row>
    <row r="221" spans="5:16">
      <c r="E221" s="1" t="s">
        <v>67</v>
      </c>
      <c r="F221">
        <v>116170</v>
      </c>
      <c r="G221">
        <v>116954</v>
      </c>
    </row>
    <row r="222" spans="5:16">
      <c r="E222" s="1" t="s">
        <v>191</v>
      </c>
    </row>
    <row r="223" spans="5:16">
      <c r="E223" s="1" t="s">
        <v>192</v>
      </c>
      <c r="F223" s="38">
        <v>-58162</v>
      </c>
      <c r="G223" s="38">
        <v>-55184</v>
      </c>
      <c r="P223" s="49" t="s">
        <v>508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1062989</v>
      </c>
      <c r="G227" s="7">
        <f t="shared" ref="G227:O227" si="25">IF(G4=$BF$1,"",SUM(G212:G226))</f>
        <v>1059136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36734</v>
      </c>
      <c r="G267">
        <v>81631</v>
      </c>
      <c r="H267">
        <v>30491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103619</v>
      </c>
      <c r="G271">
        <v>107361</v>
      </c>
      <c r="H271">
        <v>84226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14311</v>
      </c>
      <c r="G275">
        <v>14758</v>
      </c>
      <c r="H275">
        <v>11488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11420</v>
      </c>
      <c r="G285">
        <v>12161</v>
      </c>
      <c r="H285">
        <v>9491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-10644</v>
      </c>
      <c r="G288">
        <v>-4495</v>
      </c>
      <c r="H288">
        <v>4235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118706</v>
      </c>
      <c r="G296" s="7">
        <f>IF(G4=$BF$1,"",G271+G272+G273+G274+G275+G276+G277+G278+G279+G280+G281+G282+G283+G284+G285+G286+G287+G288+G289+G290+G291+G292+G293+G294+G295)</f>
        <v>129785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155440</v>
      </c>
      <c r="G297" s="7">
        <f t="shared" ref="G297:O297" si="27">IF(G4=$BF$1,"",MIN(F267,F268,F269)+F296)</f>
        <v>155440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31284</v>
      </c>
      <c r="G299">
        <v>-268219</v>
      </c>
      <c r="H299">
        <v>-42012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1848</v>
      </c>
      <c r="G302">
        <v>-794</v>
      </c>
      <c r="H302">
        <v>-4092</v>
      </c>
    </row>
    <row r="303" spans="5:15">
      <c r="E303" s="1" t="s">
        <v>265</v>
      </c>
      <c r="F303">
        <v>39695</v>
      </c>
      <c r="G303">
        <v>3624</v>
      </c>
      <c r="H303">
        <v>-36888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-49929</v>
      </c>
      <c r="G313">
        <v>6500</v>
      </c>
      <c r="H313">
        <v>49077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22898</v>
      </c>
      <c r="G318" s="7">
        <f>IF(G4=$BF$1,"",G299+G300+G301+G302+G303+G304+G305+G306+G307+G308+G309+G310+G311+G312+G313+G314+G315+G316+G317)</f>
        <v>-258889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178338</v>
      </c>
      <c r="G319" s="7">
        <f t="shared" ref="G319:O319" si="28">IF(G4=$BF$1,"",G297+G318)</f>
        <v>-103449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178338</v>
      </c>
      <c r="G326" s="7">
        <f t="shared" ref="G326:O326" si="30">IF(G4=$BF$1,"",G325+G319)</f>
        <v>-103449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-44187</v>
      </c>
      <c r="G328">
        <v>-46467</v>
      </c>
      <c r="H328">
        <v>-58113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-124407</v>
      </c>
      <c r="G331">
        <v>-61727</v>
      </c>
      <c r="H331">
        <v>-508143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-168594</v>
      </c>
      <c r="G337" s="7">
        <f>IF(G4=$BF$1,"",SUM(G328:G336))</f>
        <v>-108194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671800</v>
      </c>
      <c r="G339">
        <v>50</v>
      </c>
      <c r="H339">
        <v>1757</v>
      </c>
    </row>
    <row r="340" spans="5:15">
      <c r="E340" s="1" t="s">
        <v>299</v>
      </c>
      <c r="F340">
        <v>3980325</v>
      </c>
      <c r="G340">
        <v>4956046</v>
      </c>
      <c r="H340">
        <v>4654946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-4476829</v>
      </c>
      <c r="G343">
        <v>-4682373</v>
      </c>
      <c r="H343">
        <v>-4188030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-41265</v>
      </c>
      <c r="G348">
        <v>-39383</v>
      </c>
      <c r="H348">
        <v>-37278</v>
      </c>
    </row>
    <row r="349" spans="5:15">
      <c r="E349" s="12" t="s">
        <v>308</v>
      </c>
      <c r="F349">
        <v>-2978</v>
      </c>
      <c r="G349">
        <v>-6724</v>
      </c>
      <c r="H349">
        <v>-6005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131053</v>
      </c>
      <c r="G352" s="7">
        <f>IF(G4=$BF$1,"",SUM(G339:G351))</f>
        <v>227616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140797</v>
      </c>
      <c r="G353" s="7">
        <f t="shared" ref="G353:O353" si="33">IF(G4=$BF$1,"",G326+G337+G352)</f>
        <v>15973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140797</v>
      </c>
      <c r="G355" s="7">
        <f t="shared" ref="G355:O355" si="34">IF(G4=$BF$1,"",G353+G354)</f>
        <v>15973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312360</v>
      </c>
      <c r="G356">
        <v>406791</v>
      </c>
      <c r="H356">
        <v>453298</v>
      </c>
    </row>
    <row r="357" spans="5:15">
      <c r="E357" s="6" t="s">
        <v>316</v>
      </c>
      <c r="F357" s="7">
        <f>F355+F356</f>
        <v>453157</v>
      </c>
      <c r="G357" s="7">
        <f t="shared" ref="G357:O357" si="35">IF(G4=$BF$1,"",G355+G356)</f>
        <v>422764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6.8736259672106351E-2</v>
      </c>
      <c r="G364" s="24">
        <f t="shared" si="37"/>
        <v>2.6722385768845669E-2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-0.73922798512962451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-0.20405365126676603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5.6128073585746611E-2</v>
      </c>
      <c r="G369" s="27">
        <f t="shared" si="41"/>
        <v>8.1914739197245068E-2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-9.0080198201934608E-3</v>
      </c>
      <c r="G370" s="27">
        <f t="shared" si="42"/>
        <v>1.1608474136066022E-2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4.1429970132850144E-3</v>
      </c>
      <c r="G371" s="28">
        <f t="shared" si="43"/>
        <v>1.6979472026597216E-2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7.18406880969053E-3</v>
      </c>
      <c r="G372" s="27">
        <f t="shared" si="44"/>
        <v>2.1927710843373496E-2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1.4979458865519775E-2</v>
      </c>
      <c r="G373" s="27">
        <f t="shared" si="45"/>
        <v>5.7651708562450901E-2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0.5204053180968331</v>
      </c>
      <c r="G376" s="30">
        <f t="shared" si="47"/>
        <v>0.6196520209002927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1.0850940132023943</v>
      </c>
      <c r="G377" s="30">
        <f t="shared" si="48"/>
        <v>1.6291713245513324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-0.34269735214055924</v>
      </c>
      <c r="G378" s="30">
        <f t="shared" si="49"/>
        <v>0.4630212954747116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1.4473335732277797</v>
      </c>
      <c r="G382" s="32">
        <f t="shared" si="51"/>
        <v>1.3613044012993916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0.5658618207988485</v>
      </c>
      <c r="G383" s="32">
        <f t="shared" si="52"/>
        <v>0.5580669802687922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0.30188676982127866</v>
      </c>
      <c r="G384" s="32">
        <f t="shared" si="53"/>
        <v>0.30087186506006697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0.21391147894926232</v>
      </c>
      <c r="G385" s="32">
        <f t="shared" si="54"/>
        <v>-0.11672520848824443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251683</v>
      </c>
      <c r="G418" s="17">
        <f>G130-G417</f>
        <v>266651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538243</v>
      </c>
      <c r="G433" s="17">
        <f>G172-G432</f>
        <v>526180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493</v>
      </c>
      <c r="B1" s="39" t="s">
        <v>494</v>
      </c>
      <c r="C1" s="39" t="s">
        <v>495</v>
      </c>
      <c r="D1" s="39" t="s">
        <v>496</v>
      </c>
      <c r="E1" s="39"/>
    </row>
    <row r="2" spans="1:5">
      <c r="A2" s="41" t="s">
        <v>509</v>
      </c>
      <c r="B2" s="41" t="s">
        <v>497</v>
      </c>
      <c r="C2" s="39">
        <v>1</v>
      </c>
      <c r="D2" s="39" t="s">
        <v>498</v>
      </c>
      <c r="E2" s="39"/>
    </row>
    <row r="3" spans="1:5">
      <c r="A3" t="s">
        <v>510</v>
      </c>
      <c r="B3" s="42" t="s">
        <v>497</v>
      </c>
      <c r="C3" s="39">
        <v>1</v>
      </c>
      <c r="D3" s="39" t="s">
        <v>498</v>
      </c>
    </row>
    <row r="4" spans="1:5">
      <c r="A4" t="s">
        <v>419</v>
      </c>
      <c r="B4" s="41" t="s">
        <v>511</v>
      </c>
      <c r="C4" s="39">
        <v>0</v>
      </c>
      <c r="D4" s="39" t="s">
        <v>498</v>
      </c>
    </row>
    <row r="5" spans="1:5">
      <c r="A5" t="s">
        <v>512</v>
      </c>
      <c r="B5" s="43" t="s">
        <v>499</v>
      </c>
      <c r="C5" s="39">
        <v>0</v>
      </c>
      <c r="D5" s="39" t="s">
        <v>498</v>
      </c>
    </row>
    <row r="6" spans="1:5">
      <c r="A6" t="s">
        <v>501</v>
      </c>
      <c r="B6" s="43" t="s">
        <v>514</v>
      </c>
      <c r="C6" s="39">
        <v>0</v>
      </c>
      <c r="D6" s="39" t="s">
        <v>498</v>
      </c>
    </row>
    <row r="7" spans="1:5" ht="25.5">
      <c r="A7" t="s">
        <v>500</v>
      </c>
      <c r="B7" s="41" t="s">
        <v>50</v>
      </c>
      <c r="C7" s="39">
        <v>1</v>
      </c>
      <c r="D7" s="39" t="s">
        <v>498</v>
      </c>
    </row>
    <row r="8" spans="1:5">
      <c r="A8" t="s">
        <v>422</v>
      </c>
      <c r="B8" s="42" t="s">
        <v>47</v>
      </c>
      <c r="C8" s="39">
        <v>0</v>
      </c>
      <c r="D8" s="39" t="s">
        <v>498</v>
      </c>
    </row>
    <row r="9" spans="1:5">
      <c r="A9" t="s">
        <v>517</v>
      </c>
      <c r="B9" s="42" t="s">
        <v>516</v>
      </c>
      <c r="C9" s="39">
        <v>0</v>
      </c>
      <c r="D9" s="39" t="s">
        <v>498</v>
      </c>
    </row>
    <row r="10" spans="1:5">
      <c r="A10" s="44" t="s">
        <v>519</v>
      </c>
      <c r="B10" s="42" t="s">
        <v>518</v>
      </c>
      <c r="C10" s="39">
        <v>1</v>
      </c>
      <c r="D10" s="39" t="s">
        <v>498</v>
      </c>
    </row>
    <row r="11" spans="1:5">
      <c r="A11" s="44" t="s">
        <v>522</v>
      </c>
      <c r="B11" s="42" t="s">
        <v>521</v>
      </c>
      <c r="C11" s="39">
        <v>2</v>
      </c>
      <c r="D11" s="39" t="s">
        <v>498</v>
      </c>
    </row>
    <row r="12" spans="1:5">
      <c r="A12" s="44" t="s">
        <v>523</v>
      </c>
      <c r="B12" s="42" t="s">
        <v>502</v>
      </c>
      <c r="C12" s="39">
        <v>1</v>
      </c>
      <c r="D12" s="39" t="s">
        <v>498</v>
      </c>
    </row>
    <row r="13" spans="1:5">
      <c r="A13" s="44" t="s">
        <v>524</v>
      </c>
      <c r="B13" s="44" t="s">
        <v>531</v>
      </c>
      <c r="C13" s="39">
        <v>1</v>
      </c>
      <c r="D13" s="39" t="s">
        <v>498</v>
      </c>
    </row>
    <row r="14" spans="1:5">
      <c r="A14" s="44" t="s">
        <v>525</v>
      </c>
      <c r="B14" s="45" t="s">
        <v>531</v>
      </c>
      <c r="C14" s="39">
        <v>1</v>
      </c>
      <c r="D14" s="39" t="s">
        <v>498</v>
      </c>
    </row>
    <row r="15" spans="1:5">
      <c r="A15" s="46" t="s">
        <v>526</v>
      </c>
      <c r="B15" s="46" t="s">
        <v>502</v>
      </c>
      <c r="C15" s="39">
        <v>1</v>
      </c>
      <c r="D15" s="39" t="s">
        <v>498</v>
      </c>
    </row>
    <row r="16" spans="1:5">
      <c r="A16" s="46" t="s">
        <v>527</v>
      </c>
      <c r="B16" s="46" t="s">
        <v>504</v>
      </c>
      <c r="C16" s="39">
        <v>1</v>
      </c>
      <c r="D16" s="39" t="s">
        <v>498</v>
      </c>
    </row>
    <row r="17" spans="1:4">
      <c r="A17" s="46" t="s">
        <v>528</v>
      </c>
      <c r="B17" s="46" t="s">
        <v>502</v>
      </c>
      <c r="C17" s="39">
        <v>1</v>
      </c>
      <c r="D17" s="39" t="s">
        <v>498</v>
      </c>
    </row>
    <row r="18" spans="1:4">
      <c r="A18" s="46" t="s">
        <v>529</v>
      </c>
      <c r="B18" s="46" t="s">
        <v>502</v>
      </c>
      <c r="C18" s="39">
        <v>1</v>
      </c>
      <c r="D18" s="39" t="s">
        <v>498</v>
      </c>
    </row>
    <row r="19" spans="1:4">
      <c r="A19" s="46" t="s">
        <v>530</v>
      </c>
      <c r="B19" s="43" t="s">
        <v>503</v>
      </c>
      <c r="C19" s="39">
        <v>1</v>
      </c>
      <c r="D19" s="39" t="s">
        <v>498</v>
      </c>
    </row>
    <row r="20" spans="1:4" ht="25.5">
      <c r="A20" t="s">
        <v>532</v>
      </c>
      <c r="B20" s="43" t="s">
        <v>505</v>
      </c>
      <c r="C20" s="39">
        <v>1</v>
      </c>
      <c r="D20" s="39" t="s">
        <v>498</v>
      </c>
    </row>
    <row r="21" spans="1:4">
      <c r="A21" s="46" t="s">
        <v>533</v>
      </c>
      <c r="B21" s="46" t="s">
        <v>139</v>
      </c>
      <c r="C21" s="39">
        <v>1</v>
      </c>
      <c r="D21" s="39" t="s">
        <v>498</v>
      </c>
    </row>
    <row r="22" spans="1:4">
      <c r="A22" s="46" t="s">
        <v>534</v>
      </c>
      <c r="B22" s="46" t="s">
        <v>137</v>
      </c>
      <c r="C22" s="39">
        <v>1</v>
      </c>
      <c r="D22" s="39" t="s">
        <v>498</v>
      </c>
    </row>
    <row r="23" spans="1:4">
      <c r="A23" s="47" t="s">
        <v>535</v>
      </c>
      <c r="B23" s="47" t="s">
        <v>95</v>
      </c>
      <c r="C23" s="39">
        <v>1</v>
      </c>
      <c r="D23" s="39" t="s">
        <v>498</v>
      </c>
    </row>
    <row r="24" spans="1:4">
      <c r="A24" s="46" t="s">
        <v>536</v>
      </c>
      <c r="B24" s="42" t="s">
        <v>112</v>
      </c>
      <c r="C24" s="39">
        <v>1</v>
      </c>
      <c r="D24" s="39" t="s">
        <v>498</v>
      </c>
    </row>
    <row r="25" spans="1:4">
      <c r="A25" s="46" t="s">
        <v>535</v>
      </c>
      <c r="B25" s="47" t="s">
        <v>163</v>
      </c>
      <c r="C25" s="39">
        <v>1</v>
      </c>
      <c r="D25" s="39" t="s">
        <v>498</v>
      </c>
    </row>
    <row r="26" spans="1:4" ht="25.5">
      <c r="A26" s="47" t="s">
        <v>537</v>
      </c>
      <c r="B26" s="47" t="s">
        <v>161</v>
      </c>
      <c r="C26" s="39">
        <v>1</v>
      </c>
      <c r="D26" s="39" t="s">
        <v>498</v>
      </c>
    </row>
    <row r="27" spans="1:4" ht="25.5">
      <c r="A27" s="46" t="s">
        <v>538</v>
      </c>
      <c r="B27" s="47" t="s">
        <v>161</v>
      </c>
      <c r="C27" s="39">
        <v>1</v>
      </c>
      <c r="D27" s="39" t="s">
        <v>498</v>
      </c>
    </row>
    <row r="28" spans="1:4">
      <c r="A28" s="46" t="s">
        <v>540</v>
      </c>
      <c r="B28" s="46" t="s">
        <v>539</v>
      </c>
      <c r="C28" s="39">
        <v>1</v>
      </c>
      <c r="D28" s="39" t="s">
        <v>498</v>
      </c>
    </row>
    <row r="29" spans="1:4">
      <c r="A29" s="46" t="s">
        <v>541</v>
      </c>
      <c r="B29" s="47" t="s">
        <v>180</v>
      </c>
      <c r="C29" s="39">
        <v>1</v>
      </c>
      <c r="D29" s="39" t="s">
        <v>498</v>
      </c>
    </row>
    <row r="30" spans="1:4">
      <c r="A30" s="46" t="s">
        <v>543</v>
      </c>
      <c r="B30" s="47" t="s">
        <v>542</v>
      </c>
      <c r="C30" s="39">
        <v>1</v>
      </c>
      <c r="D30" s="39" t="s">
        <v>498</v>
      </c>
    </row>
    <row r="31" spans="1:4">
      <c r="A31" s="46" t="s">
        <v>544</v>
      </c>
      <c r="B31" s="47" t="s">
        <v>542</v>
      </c>
      <c r="C31" s="39">
        <v>1</v>
      </c>
      <c r="D31" s="39" t="s">
        <v>498</v>
      </c>
    </row>
    <row r="32" spans="1:4">
      <c r="A32" s="44" t="s">
        <v>546</v>
      </c>
      <c r="B32" s="47" t="s">
        <v>545</v>
      </c>
      <c r="C32" s="39">
        <v>1</v>
      </c>
      <c r="D32" s="39" t="s">
        <v>498</v>
      </c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4"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251683</v>
      </c>
      <c r="F5">
        <v>266651</v>
      </c>
    </row>
    <row r="6" spans="1:6">
      <c r="A6" t="s">
        <v>377</v>
      </c>
      <c r="B6" t="s">
        <v>113</v>
      </c>
      <c r="C6" t="s">
        <v>113</v>
      </c>
      <c r="D6" t="s">
        <v>80</v>
      </c>
      <c r="E6">
        <v>66512</v>
      </c>
      <c r="F6">
        <v>45709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100361</v>
      </c>
      <c r="F7">
        <v>151122</v>
      </c>
    </row>
    <row r="8" spans="1:6">
      <c r="A8" t="s">
        <v>379</v>
      </c>
      <c r="B8" t="s">
        <v>133</v>
      </c>
      <c r="C8" t="s">
        <v>133</v>
      </c>
      <c r="D8" t="s">
        <v>116</v>
      </c>
      <c r="E8">
        <v>12418</v>
      </c>
      <c r="F8">
        <v>6413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734883</v>
      </c>
      <c r="F9">
        <v>711878</v>
      </c>
    </row>
    <row r="10" spans="1:6">
      <c r="A10" t="s">
        <v>381</v>
      </c>
      <c r="B10" t="s">
        <v>134</v>
      </c>
      <c r="C10" t="s">
        <v>134</v>
      </c>
      <c r="D10" t="s">
        <v>116</v>
      </c>
      <c r="E10">
        <v>14470</v>
      </c>
      <c r="F10">
        <v>17808</v>
      </c>
    </row>
    <row r="11" spans="1:6">
      <c r="A11" t="s">
        <v>382</v>
      </c>
      <c r="B11" t="s">
        <v>103</v>
      </c>
      <c r="C11" t="s">
        <v>103</v>
      </c>
      <c r="D11" t="s">
        <v>80</v>
      </c>
      <c r="E11">
        <v>26315</v>
      </c>
      <c r="F11">
        <v>6890</v>
      </c>
    </row>
    <row r="12" spans="1:6">
      <c r="A12" t="s">
        <v>383</v>
      </c>
      <c r="B12" t="s">
        <v>115</v>
      </c>
      <c r="C12" t="s">
        <v>115</v>
      </c>
      <c r="D12" t="s">
        <v>116</v>
      </c>
      <c r="E12">
        <v>1206642</v>
      </c>
      <c r="F12">
        <v>1206471</v>
      </c>
    </row>
    <row r="13" spans="1:6">
      <c r="A13" t="s">
        <v>384</v>
      </c>
      <c r="B13" t="s">
        <v>385</v>
      </c>
      <c r="C13" t="s">
        <v>84</v>
      </c>
      <c r="D13" t="s">
        <v>80</v>
      </c>
      <c r="E13">
        <v>886576</v>
      </c>
      <c r="F13">
        <v>1176707</v>
      </c>
    </row>
    <row r="14" spans="1:6">
      <c r="A14" t="s">
        <v>386</v>
      </c>
      <c r="B14" t="s">
        <v>386</v>
      </c>
      <c r="C14" t="s">
        <v>91</v>
      </c>
      <c r="D14" t="s">
        <v>80</v>
      </c>
      <c r="E14">
        <v>34689</v>
      </c>
      <c r="F14">
        <v>182879</v>
      </c>
    </row>
    <row r="15" spans="1:6">
      <c r="A15" t="s">
        <v>387</v>
      </c>
      <c r="B15" t="s">
        <v>139</v>
      </c>
      <c r="C15" t="s">
        <v>139</v>
      </c>
      <c r="D15" t="s">
        <v>80</v>
      </c>
      <c r="E15">
        <v>88525</v>
      </c>
      <c r="F15">
        <v>218593</v>
      </c>
    </row>
    <row r="16" spans="1:6">
      <c r="A16" t="s">
        <v>388</v>
      </c>
      <c r="D16" t="s">
        <v>80</v>
      </c>
      <c r="E16">
        <v>2216432</v>
      </c>
      <c r="F16">
        <v>2784650</v>
      </c>
    </row>
    <row r="17" spans="1:6">
      <c r="D17" t="s">
        <v>80</v>
      </c>
    </row>
    <row r="18" spans="1:6">
      <c r="A18" t="s">
        <v>389</v>
      </c>
      <c r="B18" t="s">
        <v>141</v>
      </c>
      <c r="C18" t="s">
        <v>141</v>
      </c>
      <c r="D18" t="s">
        <v>141</v>
      </c>
    </row>
    <row r="19" spans="1:6">
      <c r="A19" t="s">
        <v>390</v>
      </c>
      <c r="B19" t="s">
        <v>390</v>
      </c>
      <c r="C19" t="s">
        <v>163</v>
      </c>
      <c r="D19" t="s">
        <v>141</v>
      </c>
      <c r="E19">
        <v>156901</v>
      </c>
      <c r="F19">
        <v>205479</v>
      </c>
    </row>
    <row r="20" spans="1:6">
      <c r="A20" t="s">
        <v>391</v>
      </c>
      <c r="B20" t="s">
        <v>392</v>
      </c>
      <c r="C20" t="s">
        <v>161</v>
      </c>
      <c r="D20" t="s">
        <v>141</v>
      </c>
      <c r="E20">
        <v>58973</v>
      </c>
      <c r="F20">
        <v>63886</v>
      </c>
    </row>
    <row r="21" spans="1:6">
      <c r="A21" t="s">
        <v>382</v>
      </c>
      <c r="B21" t="s">
        <v>393</v>
      </c>
      <c r="C21" t="s">
        <v>164</v>
      </c>
      <c r="D21" t="s">
        <v>80</v>
      </c>
      <c r="E21">
        <v>24776</v>
      </c>
      <c r="F21">
        <v>12884</v>
      </c>
    </row>
    <row r="22" spans="1:6">
      <c r="A22" t="s">
        <v>394</v>
      </c>
      <c r="B22" t="s">
        <v>159</v>
      </c>
      <c r="C22" t="s">
        <v>159</v>
      </c>
      <c r="D22" t="s">
        <v>141</v>
      </c>
      <c r="F22">
        <v>9909</v>
      </c>
    </row>
    <row r="23" spans="1:6">
      <c r="A23" t="s">
        <v>395</v>
      </c>
      <c r="B23" t="s">
        <v>151</v>
      </c>
      <c r="C23" t="s">
        <v>151</v>
      </c>
      <c r="D23" t="s">
        <v>141</v>
      </c>
      <c r="E23">
        <v>538243</v>
      </c>
      <c r="F23">
        <v>526180</v>
      </c>
    </row>
    <row r="24" spans="1:6">
      <c r="A24" t="s">
        <v>396</v>
      </c>
      <c r="B24" t="s">
        <v>146</v>
      </c>
      <c r="C24" t="s">
        <v>146</v>
      </c>
      <c r="D24" t="s">
        <v>141</v>
      </c>
      <c r="E24">
        <v>54807</v>
      </c>
      <c r="F24">
        <v>67923</v>
      </c>
    </row>
    <row r="25" spans="1:6">
      <c r="A25" t="s">
        <v>397</v>
      </c>
      <c r="B25" t="s">
        <v>13</v>
      </c>
      <c r="C25" t="s">
        <v>13</v>
      </c>
      <c r="D25" t="s">
        <v>141</v>
      </c>
      <c r="E25">
        <v>833700</v>
      </c>
      <c r="F25">
        <v>886261</v>
      </c>
    </row>
    <row r="26" spans="1:6">
      <c r="A26" t="s">
        <v>398</v>
      </c>
      <c r="B26" t="s">
        <v>169</v>
      </c>
      <c r="C26" t="s">
        <v>168</v>
      </c>
      <c r="D26" t="s">
        <v>165</v>
      </c>
      <c r="E26">
        <v>298190</v>
      </c>
      <c r="F26">
        <v>767396</v>
      </c>
    </row>
    <row r="27" spans="1:6">
      <c r="A27" t="s">
        <v>399</v>
      </c>
      <c r="B27" t="s">
        <v>101</v>
      </c>
      <c r="C27" t="s">
        <v>101</v>
      </c>
      <c r="D27" t="s">
        <v>80</v>
      </c>
      <c r="E27">
        <v>10123</v>
      </c>
      <c r="F27">
        <v>56801</v>
      </c>
    </row>
    <row r="28" spans="1:6">
      <c r="A28" t="s">
        <v>400</v>
      </c>
      <c r="B28" t="s">
        <v>164</v>
      </c>
      <c r="C28" t="s">
        <v>164</v>
      </c>
      <c r="D28" t="s">
        <v>141</v>
      </c>
      <c r="E28">
        <v>11430</v>
      </c>
      <c r="F28">
        <v>15056</v>
      </c>
    </row>
    <row r="29" spans="1:6">
      <c r="A29" t="s">
        <v>401</v>
      </c>
      <c r="B29" t="s">
        <v>164</v>
      </c>
      <c r="C29" t="s">
        <v>164</v>
      </c>
      <c r="D29" t="s">
        <v>141</v>
      </c>
      <c r="E29">
        <v>1153443</v>
      </c>
      <c r="F29">
        <v>1725514</v>
      </c>
    </row>
    <row r="30" spans="1:6">
      <c r="A30" t="s">
        <v>402</v>
      </c>
      <c r="B30" t="s">
        <v>180</v>
      </c>
      <c r="C30" t="s">
        <v>180</v>
      </c>
      <c r="D30" t="s">
        <v>165</v>
      </c>
    </row>
    <row r="31" spans="1:6">
      <c r="A31" t="s">
        <v>403</v>
      </c>
      <c r="B31" t="s">
        <v>181</v>
      </c>
      <c r="C31" t="s">
        <v>181</v>
      </c>
      <c r="D31" t="s">
        <v>141</v>
      </c>
    </row>
    <row r="32" spans="1:6">
      <c r="A32" t="s">
        <v>404</v>
      </c>
      <c r="B32" t="s">
        <v>182</v>
      </c>
      <c r="C32" t="s">
        <v>182</v>
      </c>
      <c r="D32" t="s">
        <v>181</v>
      </c>
    </row>
    <row r="33" spans="1:6">
      <c r="A33" t="s">
        <v>405</v>
      </c>
      <c r="D33" t="s">
        <v>181</v>
      </c>
      <c r="E33">
        <v>47</v>
      </c>
      <c r="F33">
        <v>46</v>
      </c>
    </row>
    <row r="34" spans="1:6">
      <c r="A34" t="s">
        <v>406</v>
      </c>
      <c r="B34" t="s">
        <v>182</v>
      </c>
      <c r="C34" t="s">
        <v>182</v>
      </c>
      <c r="D34" t="s">
        <v>181</v>
      </c>
      <c r="E34">
        <v>696222</v>
      </c>
      <c r="F34">
        <v>685019</v>
      </c>
    </row>
    <row r="35" spans="1:6">
      <c r="A35" t="s">
        <v>407</v>
      </c>
      <c r="B35" t="s">
        <v>187</v>
      </c>
      <c r="C35" t="s">
        <v>187</v>
      </c>
      <c r="D35" t="s">
        <v>181</v>
      </c>
      <c r="E35">
        <v>324728</v>
      </c>
      <c r="F35">
        <v>325411</v>
      </c>
    </row>
    <row r="36" spans="1:6">
      <c r="A36" t="s">
        <v>408</v>
      </c>
      <c r="B36" t="s">
        <v>189</v>
      </c>
      <c r="C36" t="s">
        <v>189</v>
      </c>
      <c r="D36" t="s">
        <v>181</v>
      </c>
      <c r="E36">
        <v>-16016</v>
      </c>
      <c r="F36">
        <v>-13110</v>
      </c>
    </row>
    <row r="37" spans="1:6">
      <c r="A37" t="s">
        <v>409</v>
      </c>
      <c r="D37" t="s">
        <v>181</v>
      </c>
      <c r="E37">
        <v>-58162</v>
      </c>
      <c r="F37">
        <v>-55184</v>
      </c>
    </row>
    <row r="38" spans="1:6">
      <c r="A38" t="s">
        <v>410</v>
      </c>
      <c r="D38" t="s">
        <v>181</v>
      </c>
      <c r="E38">
        <v>946819</v>
      </c>
      <c r="F38">
        <v>942182</v>
      </c>
    </row>
    <row r="39" spans="1:6">
      <c r="A39" t="s">
        <v>411</v>
      </c>
      <c r="B39" t="s">
        <v>67</v>
      </c>
      <c r="C39" t="s">
        <v>67</v>
      </c>
      <c r="D39" t="s">
        <v>181</v>
      </c>
      <c r="E39">
        <v>116170</v>
      </c>
      <c r="F39">
        <v>116954</v>
      </c>
    </row>
    <row r="40" spans="1:6">
      <c r="A40" t="s">
        <v>412</v>
      </c>
      <c r="B40" t="s">
        <v>195</v>
      </c>
      <c r="C40" t="s">
        <v>195</v>
      </c>
      <c r="D40" t="s">
        <v>181</v>
      </c>
      <c r="E40">
        <v>1062989</v>
      </c>
      <c r="F40">
        <v>1059136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413</v>
      </c>
      <c r="B3" t="s">
        <v>414</v>
      </c>
      <c r="C3" t="s">
        <v>26</v>
      </c>
      <c r="D3" t="s">
        <v>414</v>
      </c>
    </row>
    <row r="4" spans="1:7">
      <c r="A4" t="s">
        <v>415</v>
      </c>
      <c r="B4" t="s">
        <v>414</v>
      </c>
      <c r="C4" t="s">
        <v>26</v>
      </c>
      <c r="D4" t="s">
        <v>414</v>
      </c>
      <c r="E4">
        <v>3836872</v>
      </c>
      <c r="F4">
        <v>3589981</v>
      </c>
      <c r="G4">
        <v>3402579</v>
      </c>
    </row>
    <row r="5" spans="1:7">
      <c r="A5" t="s">
        <v>416</v>
      </c>
      <c r="B5" t="s">
        <v>414</v>
      </c>
      <c r="C5" t="s">
        <v>26</v>
      </c>
      <c r="D5" t="s">
        <v>414</v>
      </c>
      <c r="E5">
        <v>6481</v>
      </c>
      <c r="F5">
        <v>6185</v>
      </c>
      <c r="G5">
        <v>8302</v>
      </c>
    </row>
    <row r="6" spans="1:7">
      <c r="A6" t="s">
        <v>417</v>
      </c>
      <c r="B6" t="s">
        <v>45</v>
      </c>
      <c r="C6" t="s">
        <v>45</v>
      </c>
      <c r="D6" t="s">
        <v>414</v>
      </c>
      <c r="E6">
        <v>-3843353</v>
      </c>
      <c r="F6">
        <v>-3596166</v>
      </c>
      <c r="G6">
        <v>3410881</v>
      </c>
    </row>
    <row r="7" spans="1:7">
      <c r="A7" t="s">
        <v>418</v>
      </c>
      <c r="D7" t="s">
        <v>414</v>
      </c>
    </row>
    <row r="8" spans="1:7">
      <c r="A8" t="s">
        <v>419</v>
      </c>
      <c r="B8" t="s">
        <v>30</v>
      </c>
      <c r="C8" t="s">
        <v>30</v>
      </c>
      <c r="D8" t="s">
        <v>414</v>
      </c>
      <c r="E8">
        <v>3627633</v>
      </c>
      <c r="F8">
        <v>3301587</v>
      </c>
      <c r="G8">
        <v>3096079</v>
      </c>
    </row>
    <row r="9" spans="1:7">
      <c r="A9" t="s">
        <v>420</v>
      </c>
      <c r="D9" t="s">
        <v>414</v>
      </c>
      <c r="E9">
        <v>30844</v>
      </c>
      <c r="F9">
        <v>33448</v>
      </c>
      <c r="G9">
        <v>34211</v>
      </c>
    </row>
    <row r="10" spans="1:7">
      <c r="A10" t="s">
        <v>421</v>
      </c>
      <c r="B10" t="s">
        <v>36</v>
      </c>
      <c r="C10" t="s">
        <v>36</v>
      </c>
      <c r="D10" t="s">
        <v>414</v>
      </c>
      <c r="E10">
        <v>115878</v>
      </c>
      <c r="F10">
        <v>112024</v>
      </c>
      <c r="G10">
        <v>104677</v>
      </c>
    </row>
    <row r="11" spans="1:7">
      <c r="A11" t="s">
        <v>422</v>
      </c>
      <c r="B11" t="s">
        <v>423</v>
      </c>
      <c r="C11" t="s">
        <v>47</v>
      </c>
      <c r="D11" t="s">
        <v>414</v>
      </c>
      <c r="E11">
        <v>-150351</v>
      </c>
    </row>
    <row r="12" spans="1:7">
      <c r="A12" t="s">
        <v>424</v>
      </c>
      <c r="B12" t="s">
        <v>42</v>
      </c>
      <c r="C12" t="s">
        <v>42</v>
      </c>
      <c r="D12" t="s">
        <v>414</v>
      </c>
      <c r="E12">
        <v>103619</v>
      </c>
      <c r="F12">
        <v>107361</v>
      </c>
      <c r="G12">
        <v>84226</v>
      </c>
    </row>
    <row r="13" spans="1:7">
      <c r="A13" t="s">
        <v>425</v>
      </c>
      <c r="D13" t="s">
        <v>414</v>
      </c>
      <c r="E13">
        <v>3727623</v>
      </c>
      <c r="F13">
        <v>3554420</v>
      </c>
      <c r="G13">
        <v>3319193</v>
      </c>
    </row>
    <row r="14" spans="1:7">
      <c r="A14" t="s">
        <v>426</v>
      </c>
      <c r="B14" t="s">
        <v>414</v>
      </c>
      <c r="C14" t="s">
        <v>26</v>
      </c>
      <c r="D14" t="s">
        <v>414</v>
      </c>
      <c r="E14">
        <v>115730</v>
      </c>
      <c r="F14">
        <v>41746</v>
      </c>
      <c r="G14">
        <v>91688</v>
      </c>
    </row>
    <row r="15" spans="1:7">
      <c r="A15" t="s">
        <v>427</v>
      </c>
      <c r="B15" t="s">
        <v>56</v>
      </c>
      <c r="C15" t="s">
        <v>56</v>
      </c>
      <c r="D15" t="s">
        <v>414</v>
      </c>
    </row>
    <row r="16" spans="1:7">
      <c r="A16" t="s">
        <v>428</v>
      </c>
      <c r="B16" t="s">
        <v>54</v>
      </c>
      <c r="C16" t="s">
        <v>54</v>
      </c>
      <c r="D16" t="s">
        <v>414</v>
      </c>
      <c r="E16">
        <v>3108</v>
      </c>
      <c r="F16">
        <v>1597</v>
      </c>
      <c r="G16">
        <v>1541</v>
      </c>
    </row>
    <row r="17" spans="1:7">
      <c r="A17" t="s">
        <v>429</v>
      </c>
      <c r="B17" t="s">
        <v>51</v>
      </c>
      <c r="C17" t="s">
        <v>51</v>
      </c>
      <c r="D17" t="s">
        <v>414</v>
      </c>
      <c r="E17">
        <v>-101025</v>
      </c>
      <c r="F17">
        <v>-90160</v>
      </c>
      <c r="G17">
        <v>-51851</v>
      </c>
    </row>
    <row r="18" spans="1:7">
      <c r="A18" t="s">
        <v>430</v>
      </c>
      <c r="B18" t="s">
        <v>431</v>
      </c>
      <c r="C18" t="s">
        <v>33</v>
      </c>
      <c r="D18" t="s">
        <v>414</v>
      </c>
      <c r="E18">
        <v>2195</v>
      </c>
      <c r="F18">
        <v>3666</v>
      </c>
      <c r="G18">
        <v>-3027</v>
      </c>
    </row>
    <row r="19" spans="1:7">
      <c r="A19" t="s">
        <v>432</v>
      </c>
      <c r="B19" t="s">
        <v>433</v>
      </c>
      <c r="C19" t="s">
        <v>58</v>
      </c>
      <c r="D19" t="s">
        <v>414</v>
      </c>
      <c r="E19">
        <v>-95722</v>
      </c>
      <c r="F19">
        <v>-84897</v>
      </c>
      <c r="G19">
        <v>-53337</v>
      </c>
    </row>
    <row r="20" spans="1:7">
      <c r="A20" t="s">
        <v>434</v>
      </c>
      <c r="B20" t="s">
        <v>435</v>
      </c>
      <c r="C20" t="s">
        <v>61</v>
      </c>
      <c r="D20" t="s">
        <v>414</v>
      </c>
      <c r="E20">
        <v>20008</v>
      </c>
      <c r="F20">
        <v>-43151</v>
      </c>
      <c r="G20">
        <v>38351</v>
      </c>
    </row>
    <row r="21" spans="1:7">
      <c r="A21" t="s">
        <v>436</v>
      </c>
      <c r="B21" t="s">
        <v>62</v>
      </c>
      <c r="C21" t="s">
        <v>62</v>
      </c>
      <c r="D21" t="s">
        <v>414</v>
      </c>
      <c r="E21">
        <v>16726</v>
      </c>
      <c r="F21">
        <v>124782</v>
      </c>
      <c r="G21">
        <v>-7860</v>
      </c>
    </row>
    <row r="22" spans="1:7">
      <c r="A22" t="s">
        <v>437</v>
      </c>
      <c r="B22" t="s">
        <v>70</v>
      </c>
      <c r="C22" t="s">
        <v>70</v>
      </c>
      <c r="D22" t="s">
        <v>414</v>
      </c>
      <c r="E22">
        <v>36734</v>
      </c>
      <c r="F22">
        <v>81631</v>
      </c>
      <c r="G22">
        <v>30491</v>
      </c>
    </row>
    <row r="23" spans="1:7">
      <c r="A23" t="s">
        <v>438</v>
      </c>
      <c r="B23" t="s">
        <v>67</v>
      </c>
      <c r="C23" t="s">
        <v>67</v>
      </c>
      <c r="D23" t="s">
        <v>414</v>
      </c>
      <c r="E23">
        <v>20811</v>
      </c>
      <c r="F23">
        <v>20570</v>
      </c>
      <c r="G23">
        <v>19828</v>
      </c>
    </row>
    <row r="24" spans="1:7">
      <c r="A24" t="s">
        <v>439</v>
      </c>
      <c r="D24" t="s">
        <v>414</v>
      </c>
      <c r="E24">
        <v>15923</v>
      </c>
      <c r="F24">
        <v>61061</v>
      </c>
      <c r="G24">
        <v>10663</v>
      </c>
    </row>
    <row r="25" spans="1:7">
      <c r="A25" t="s">
        <v>440</v>
      </c>
      <c r="D25" t="s">
        <v>414</v>
      </c>
    </row>
    <row r="26" spans="1:7">
      <c r="A26" t="s">
        <v>441</v>
      </c>
      <c r="D26" t="s">
        <v>414</v>
      </c>
      <c r="E26">
        <v>39</v>
      </c>
      <c r="F26">
        <v>156</v>
      </c>
      <c r="G26">
        <v>28</v>
      </c>
    </row>
    <row r="27" spans="1:7">
      <c r="A27" t="s">
        <v>442</v>
      </c>
      <c r="B27" t="s">
        <v>67</v>
      </c>
      <c r="C27" t="s">
        <v>67</v>
      </c>
      <c r="D27" t="s">
        <v>414</v>
      </c>
      <c r="E27">
        <v>39</v>
      </c>
      <c r="F27">
        <v>147</v>
      </c>
      <c r="G27">
        <v>28</v>
      </c>
    </row>
    <row r="28" spans="1:7">
      <c r="A28" t="s">
        <v>443</v>
      </c>
      <c r="D28" t="s">
        <v>414</v>
      </c>
    </row>
    <row r="29" spans="1:7">
      <c r="A29" t="s">
        <v>444</v>
      </c>
      <c r="D29" t="s">
        <v>414</v>
      </c>
      <c r="E29">
        <v>40320</v>
      </c>
      <c r="F29">
        <v>39247</v>
      </c>
      <c r="G29">
        <v>38318</v>
      </c>
    </row>
    <row r="30" spans="1:7">
      <c r="A30" t="s">
        <v>445</v>
      </c>
      <c r="D30" t="s">
        <v>414</v>
      </c>
      <c r="E30">
        <v>41254</v>
      </c>
      <c r="F30">
        <v>50240</v>
      </c>
      <c r="G30">
        <v>38573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446</v>
      </c>
      <c r="B3" t="s">
        <v>231</v>
      </c>
      <c r="C3" t="s">
        <v>231</v>
      </c>
      <c r="D3" t="s">
        <v>447</v>
      </c>
    </row>
    <row r="4" spans="1:7">
      <c r="A4" t="s">
        <v>437</v>
      </c>
      <c r="B4" t="s">
        <v>232</v>
      </c>
      <c r="C4" t="s">
        <v>232</v>
      </c>
      <c r="D4" t="s">
        <v>447</v>
      </c>
      <c r="E4">
        <v>36734</v>
      </c>
      <c r="F4">
        <v>81631</v>
      </c>
      <c r="G4">
        <v>30491</v>
      </c>
    </row>
    <row r="5" spans="1:7">
      <c r="A5" t="s">
        <v>448</v>
      </c>
    </row>
    <row r="6" spans="1:7">
      <c r="A6" t="s">
        <v>449</v>
      </c>
      <c r="B6" t="s">
        <v>231</v>
      </c>
      <c r="C6" t="s">
        <v>231</v>
      </c>
      <c r="D6" t="s">
        <v>447</v>
      </c>
    </row>
    <row r="7" spans="1:7">
      <c r="A7" t="s">
        <v>450</v>
      </c>
      <c r="B7" t="s">
        <v>236</v>
      </c>
      <c r="C7" t="s">
        <v>236</v>
      </c>
      <c r="D7" t="s">
        <v>447</v>
      </c>
      <c r="E7">
        <v>103619</v>
      </c>
      <c r="F7">
        <v>107361</v>
      </c>
      <c r="G7">
        <v>84226</v>
      </c>
    </row>
    <row r="8" spans="1:7">
      <c r="A8" t="s">
        <v>451</v>
      </c>
      <c r="B8" t="s">
        <v>240</v>
      </c>
      <c r="C8" t="s">
        <v>240</v>
      </c>
      <c r="D8" t="s">
        <v>447</v>
      </c>
      <c r="E8">
        <v>14311</v>
      </c>
      <c r="F8">
        <v>14758</v>
      </c>
      <c r="G8">
        <v>11488</v>
      </c>
    </row>
    <row r="9" spans="1:7">
      <c r="A9" t="s">
        <v>452</v>
      </c>
      <c r="F9">
        <v>1291</v>
      </c>
    </row>
    <row r="10" spans="1:7">
      <c r="A10" t="s">
        <v>453</v>
      </c>
      <c r="E10">
        <v>13178</v>
      </c>
      <c r="F10">
        <v>9460</v>
      </c>
    </row>
    <row r="11" spans="1:7">
      <c r="A11" t="s">
        <v>454</v>
      </c>
      <c r="E11">
        <v>-150351</v>
      </c>
    </row>
    <row r="12" spans="1:7">
      <c r="A12" t="s">
        <v>455</v>
      </c>
      <c r="E12">
        <v>-2591</v>
      </c>
      <c r="F12">
        <v>-3250</v>
      </c>
    </row>
    <row r="13" spans="1:7">
      <c r="A13" t="s">
        <v>399</v>
      </c>
      <c r="B13" t="s">
        <v>269</v>
      </c>
      <c r="C13" t="s">
        <v>269</v>
      </c>
      <c r="E13">
        <v>-24484</v>
      </c>
      <c r="F13">
        <v>-81077</v>
      </c>
      <c r="G13">
        <v>4910</v>
      </c>
    </row>
    <row r="14" spans="1:7">
      <c r="A14" t="s">
        <v>456</v>
      </c>
      <c r="B14" t="s">
        <v>248</v>
      </c>
      <c r="C14" t="s">
        <v>248</v>
      </c>
      <c r="D14" t="s">
        <v>447</v>
      </c>
      <c r="E14">
        <v>11420</v>
      </c>
      <c r="F14">
        <v>12161</v>
      </c>
      <c r="G14">
        <v>9491</v>
      </c>
    </row>
    <row r="15" spans="1:7">
      <c r="A15" t="s">
        <v>457</v>
      </c>
      <c r="D15" t="s">
        <v>447</v>
      </c>
      <c r="E15">
        <v>595</v>
      </c>
      <c r="F15">
        <v>274</v>
      </c>
      <c r="G15">
        <v>3055</v>
      </c>
    </row>
    <row r="16" spans="1:7">
      <c r="A16" t="s">
        <v>458</v>
      </c>
      <c r="B16" t="s">
        <v>251</v>
      </c>
      <c r="C16" t="s">
        <v>251</v>
      </c>
      <c r="D16" t="s">
        <v>447</v>
      </c>
      <c r="E16">
        <v>-11612</v>
      </c>
      <c r="F16">
        <v>-7869</v>
      </c>
    </row>
    <row r="17" spans="1:7">
      <c r="A17" t="s">
        <v>459</v>
      </c>
      <c r="B17" t="s">
        <v>251</v>
      </c>
      <c r="C17" t="s">
        <v>251</v>
      </c>
      <c r="D17" t="s">
        <v>447</v>
      </c>
    </row>
    <row r="18" spans="1:7">
      <c r="A18" t="s">
        <v>460</v>
      </c>
      <c r="D18" t="s">
        <v>447</v>
      </c>
    </row>
    <row r="19" spans="1:7">
      <c r="A19" t="s">
        <v>461</v>
      </c>
      <c r="B19" t="s">
        <v>265</v>
      </c>
      <c r="C19" t="s">
        <v>265</v>
      </c>
      <c r="D19" t="s">
        <v>447</v>
      </c>
      <c r="E19">
        <v>39695</v>
      </c>
      <c r="F19">
        <v>3624</v>
      </c>
      <c r="G19">
        <v>-36888</v>
      </c>
    </row>
    <row r="20" spans="1:7">
      <c r="A20" t="s">
        <v>380</v>
      </c>
      <c r="B20" t="s">
        <v>261</v>
      </c>
      <c r="C20" t="s">
        <v>261</v>
      </c>
      <c r="D20" t="s">
        <v>447</v>
      </c>
      <c r="E20">
        <v>31284</v>
      </c>
      <c r="F20">
        <v>-268219</v>
      </c>
      <c r="G20">
        <v>-42012</v>
      </c>
    </row>
    <row r="21" spans="1:7">
      <c r="A21" t="s">
        <v>382</v>
      </c>
      <c r="D21" t="s">
        <v>447</v>
      </c>
      <c r="E21">
        <v>-7709</v>
      </c>
      <c r="F21">
        <v>-20522</v>
      </c>
      <c r="G21">
        <v>-11393</v>
      </c>
    </row>
    <row r="22" spans="1:7">
      <c r="A22" t="s">
        <v>462</v>
      </c>
      <c r="B22" t="s">
        <v>264</v>
      </c>
      <c r="C22" t="s">
        <v>264</v>
      </c>
      <c r="D22" t="s">
        <v>447</v>
      </c>
      <c r="E22">
        <v>1848</v>
      </c>
      <c r="F22">
        <v>-794</v>
      </c>
      <c r="G22">
        <v>-4092</v>
      </c>
    </row>
    <row r="23" spans="1:7">
      <c r="A23" t="s">
        <v>463</v>
      </c>
      <c r="B23" t="s">
        <v>273</v>
      </c>
      <c r="C23" t="s">
        <v>273</v>
      </c>
      <c r="D23" t="s">
        <v>447</v>
      </c>
      <c r="E23">
        <v>-49929</v>
      </c>
      <c r="F23">
        <v>6500</v>
      </c>
      <c r="G23">
        <v>49077</v>
      </c>
    </row>
    <row r="24" spans="1:7">
      <c r="A24" t="s">
        <v>464</v>
      </c>
      <c r="D24" t="s">
        <v>447</v>
      </c>
      <c r="E24">
        <v>31991</v>
      </c>
      <c r="F24">
        <v>-40866</v>
      </c>
      <c r="G24">
        <v>-1887</v>
      </c>
    </row>
    <row r="25" spans="1:7">
      <c r="A25" t="s">
        <v>458</v>
      </c>
      <c r="B25" t="s">
        <v>251</v>
      </c>
      <c r="C25" t="s">
        <v>251</v>
      </c>
      <c r="D25" t="s">
        <v>447</v>
      </c>
      <c r="E25">
        <v>968</v>
      </c>
      <c r="F25">
        <v>3374</v>
      </c>
      <c r="G25">
        <v>4235</v>
      </c>
    </row>
    <row r="26" spans="1:7">
      <c r="A26" t="s">
        <v>465</v>
      </c>
      <c r="B26" t="s">
        <v>285</v>
      </c>
      <c r="C26" t="s">
        <v>285</v>
      </c>
      <c r="D26" t="s">
        <v>447</v>
      </c>
      <c r="E26">
        <v>38967</v>
      </c>
      <c r="F26">
        <v>-182163</v>
      </c>
      <c r="G26">
        <v>100701</v>
      </c>
    </row>
    <row r="27" spans="1:7">
      <c r="A27" t="s">
        <v>466</v>
      </c>
      <c r="B27" t="s">
        <v>231</v>
      </c>
      <c r="C27" t="s">
        <v>231</v>
      </c>
      <c r="D27" t="s">
        <v>467</v>
      </c>
    </row>
    <row r="28" spans="1:7">
      <c r="A28" t="s">
        <v>468</v>
      </c>
      <c r="B28" t="s">
        <v>287</v>
      </c>
      <c r="C28" t="s">
        <v>287</v>
      </c>
      <c r="D28" t="s">
        <v>467</v>
      </c>
      <c r="E28">
        <v>-44187</v>
      </c>
      <c r="F28">
        <v>-46467</v>
      </c>
      <c r="G28">
        <v>-58113</v>
      </c>
    </row>
    <row r="29" spans="1:7">
      <c r="A29" t="s">
        <v>469</v>
      </c>
      <c r="B29" t="s">
        <v>298</v>
      </c>
      <c r="C29" t="s">
        <v>298</v>
      </c>
      <c r="D29" t="s">
        <v>470</v>
      </c>
      <c r="E29">
        <v>671650</v>
      </c>
    </row>
    <row r="30" spans="1:7">
      <c r="A30" t="s">
        <v>471</v>
      </c>
      <c r="B30" t="s">
        <v>290</v>
      </c>
      <c r="C30" t="s">
        <v>290</v>
      </c>
      <c r="D30" t="s">
        <v>467</v>
      </c>
      <c r="E30">
        <v>-124407</v>
      </c>
      <c r="F30">
        <v>-61727</v>
      </c>
      <c r="G30">
        <v>-508143</v>
      </c>
    </row>
    <row r="31" spans="1:7">
      <c r="A31" t="s">
        <v>472</v>
      </c>
      <c r="D31" t="s">
        <v>467</v>
      </c>
      <c r="E31">
        <v>-3091</v>
      </c>
      <c r="F31">
        <v>-20286</v>
      </c>
      <c r="G31">
        <v>-6342</v>
      </c>
    </row>
    <row r="32" spans="1:7">
      <c r="A32" t="s">
        <v>473</v>
      </c>
      <c r="B32" t="s">
        <v>286</v>
      </c>
      <c r="C32" t="s">
        <v>286</v>
      </c>
      <c r="D32" t="s">
        <v>467</v>
      </c>
      <c r="E32">
        <v>7500</v>
      </c>
    </row>
    <row r="33" spans="1:7">
      <c r="A33" t="s">
        <v>474</v>
      </c>
      <c r="B33" t="s">
        <v>296</v>
      </c>
      <c r="C33" t="s">
        <v>296</v>
      </c>
      <c r="D33" t="s">
        <v>467</v>
      </c>
      <c r="E33">
        <v>507465</v>
      </c>
      <c r="F33">
        <v>-128480</v>
      </c>
      <c r="G33">
        <v>-572598</v>
      </c>
    </row>
    <row r="34" spans="1:7">
      <c r="A34" t="s">
        <v>475</v>
      </c>
      <c r="B34" t="s">
        <v>297</v>
      </c>
      <c r="C34" t="s">
        <v>297</v>
      </c>
      <c r="D34" t="s">
        <v>470</v>
      </c>
    </row>
    <row r="35" spans="1:7">
      <c r="A35" t="s">
        <v>476</v>
      </c>
      <c r="B35" t="s">
        <v>299</v>
      </c>
      <c r="C35" t="s">
        <v>299</v>
      </c>
      <c r="D35" t="s">
        <v>470</v>
      </c>
      <c r="E35">
        <v>83100</v>
      </c>
      <c r="F35">
        <v>570600</v>
      </c>
      <c r="G35">
        <v>524000</v>
      </c>
    </row>
    <row r="36" spans="1:7">
      <c r="A36" t="s">
        <v>477</v>
      </c>
      <c r="B36" t="s">
        <v>302</v>
      </c>
      <c r="C36" t="s">
        <v>302</v>
      </c>
      <c r="D36" t="s">
        <v>470</v>
      </c>
      <c r="E36">
        <v>-576427</v>
      </c>
      <c r="F36">
        <v>-510209</v>
      </c>
      <c r="G36">
        <v>-106803</v>
      </c>
    </row>
    <row r="37" spans="1:7">
      <c r="A37" t="s">
        <v>478</v>
      </c>
      <c r="B37" t="s">
        <v>299</v>
      </c>
      <c r="C37" t="s">
        <v>299</v>
      </c>
      <c r="D37" t="s">
        <v>470</v>
      </c>
      <c r="E37">
        <v>3897225</v>
      </c>
      <c r="F37">
        <v>4385446</v>
      </c>
      <c r="G37">
        <v>4130946</v>
      </c>
    </row>
    <row r="38" spans="1:7">
      <c r="A38" t="s">
        <v>479</v>
      </c>
      <c r="B38" t="s">
        <v>302</v>
      </c>
      <c r="C38" t="s">
        <v>302</v>
      </c>
      <c r="D38" t="s">
        <v>470</v>
      </c>
      <c r="E38">
        <v>-3892438</v>
      </c>
      <c r="F38">
        <v>-4150994</v>
      </c>
      <c r="G38">
        <v>-4066968</v>
      </c>
    </row>
    <row r="39" spans="1:7">
      <c r="A39" t="s">
        <v>480</v>
      </c>
      <c r="D39" t="s">
        <v>470</v>
      </c>
      <c r="F39">
        <v>-8523</v>
      </c>
    </row>
    <row r="40" spans="1:7">
      <c r="A40" t="s">
        <v>481</v>
      </c>
      <c r="B40" t="s">
        <v>482</v>
      </c>
      <c r="C40" t="s">
        <v>482</v>
      </c>
      <c r="D40" t="s">
        <v>470</v>
      </c>
      <c r="E40">
        <v>-2978</v>
      </c>
      <c r="F40">
        <v>-6724</v>
      </c>
      <c r="G40">
        <v>-6005</v>
      </c>
    </row>
    <row r="41" spans="1:7">
      <c r="A41" t="s">
        <v>483</v>
      </c>
      <c r="B41" t="s">
        <v>484</v>
      </c>
      <c r="C41" t="s">
        <v>307</v>
      </c>
      <c r="D41" t="s">
        <v>470</v>
      </c>
      <c r="E41">
        <v>-41265</v>
      </c>
      <c r="F41">
        <v>-39383</v>
      </c>
      <c r="G41">
        <v>-37278</v>
      </c>
    </row>
    <row r="42" spans="1:7">
      <c r="A42" t="s">
        <v>485</v>
      </c>
      <c r="D42" t="s">
        <v>470</v>
      </c>
      <c r="F42">
        <v>-2881</v>
      </c>
    </row>
    <row r="43" spans="1:7">
      <c r="A43" t="s">
        <v>486</v>
      </c>
      <c r="B43" t="s">
        <v>302</v>
      </c>
      <c r="C43" t="s">
        <v>302</v>
      </c>
      <c r="D43" t="s">
        <v>470</v>
      </c>
      <c r="E43">
        <v>-4395</v>
      </c>
      <c r="F43">
        <v>-16671</v>
      </c>
      <c r="G43">
        <v>-12053</v>
      </c>
    </row>
    <row r="44" spans="1:7">
      <c r="A44" t="s">
        <v>487</v>
      </c>
      <c r="B44" t="s">
        <v>302</v>
      </c>
      <c r="C44" t="s">
        <v>302</v>
      </c>
      <c r="D44" t="s">
        <v>470</v>
      </c>
      <c r="E44">
        <v>-3569</v>
      </c>
      <c r="F44">
        <v>-4499</v>
      </c>
      <c r="G44">
        <v>-2206</v>
      </c>
    </row>
    <row r="45" spans="1:7">
      <c r="A45" t="s">
        <v>488</v>
      </c>
      <c r="B45" t="s">
        <v>298</v>
      </c>
      <c r="C45" t="s">
        <v>298</v>
      </c>
      <c r="D45" t="s">
        <v>470</v>
      </c>
      <c r="E45">
        <v>150</v>
      </c>
      <c r="F45">
        <v>50</v>
      </c>
      <c r="G45">
        <v>1757</v>
      </c>
    </row>
    <row r="46" spans="1:7">
      <c r="A46" t="s">
        <v>489</v>
      </c>
      <c r="B46" t="s">
        <v>311</v>
      </c>
      <c r="C46" t="s">
        <v>311</v>
      </c>
      <c r="D46" t="s">
        <v>470</v>
      </c>
      <c r="E46">
        <v>-540597</v>
      </c>
      <c r="F46">
        <v>216212</v>
      </c>
      <c r="G46">
        <v>425390</v>
      </c>
    </row>
    <row r="47" spans="1:7">
      <c r="A47" t="s">
        <v>490</v>
      </c>
      <c r="B47" t="s">
        <v>314</v>
      </c>
      <c r="C47" t="s">
        <v>314</v>
      </c>
      <c r="D47" t="s">
        <v>470</v>
      </c>
      <c r="E47">
        <v>5835</v>
      </c>
      <c r="F47">
        <v>-94431</v>
      </c>
      <c r="G47">
        <v>-46507</v>
      </c>
    </row>
    <row r="48" spans="1:7">
      <c r="A48" t="s">
        <v>491</v>
      </c>
      <c r="B48" t="s">
        <v>492</v>
      </c>
      <c r="C48" t="s">
        <v>315</v>
      </c>
      <c r="D48" t="s">
        <v>470</v>
      </c>
      <c r="E48">
        <v>312360</v>
      </c>
      <c r="F48">
        <v>406791</v>
      </c>
      <c r="G48">
        <v>453298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64599-26F6-4D7C-81ED-8585934096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94F3F2-D58E-44BE-A891-1468D345A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67989-69F8-42A9-BAFB-02DCF7188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2021-11-15T06:21:01Z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