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14" i="1" l="1"/>
  <c r="F114" i="1"/>
  <c r="G60" i="1"/>
  <c r="G36" i="1"/>
  <c r="F36" i="1"/>
  <c r="G24" i="1"/>
  <c r="F24" i="1"/>
  <c r="G432" i="1" l="1"/>
  <c r="G433" i="1" s="1"/>
  <c r="F432" i="1"/>
  <c r="F433" i="1" s="1"/>
  <c r="F418" i="1"/>
  <c r="G417" i="1"/>
  <c r="G418" i="1" s="1"/>
  <c r="F417" i="1"/>
  <c r="G397" i="1"/>
  <c r="G409" i="1" s="1"/>
  <c r="G410" i="1" s="1"/>
  <c r="F397" i="1"/>
  <c r="F409" i="1" s="1"/>
  <c r="F410" i="1" s="1"/>
  <c r="N382" i="1"/>
  <c r="O381" i="1"/>
  <c r="N381" i="1"/>
  <c r="M381" i="1"/>
  <c r="L381" i="1"/>
  <c r="K381" i="1"/>
  <c r="J381" i="1"/>
  <c r="H381" i="1"/>
  <c r="L377" i="1"/>
  <c r="N376" i="1"/>
  <c r="O375" i="1"/>
  <c r="N375" i="1"/>
  <c r="M375" i="1"/>
  <c r="L375" i="1"/>
  <c r="K375" i="1"/>
  <c r="J375" i="1"/>
  <c r="H375" i="1"/>
  <c r="J373" i="1"/>
  <c r="N371" i="1"/>
  <c r="H370" i="1"/>
  <c r="J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O296" i="1"/>
  <c r="N296" i="1"/>
  <c r="M296" i="1"/>
  <c r="L296" i="1"/>
  <c r="K296" i="1"/>
  <c r="J296" i="1"/>
  <c r="I296" i="1"/>
  <c r="H296" i="1"/>
  <c r="G296" i="1"/>
  <c r="F296" i="1"/>
  <c r="F297" i="1" s="1"/>
  <c r="F319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F9" i="1" s="1"/>
  <c r="F384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F100" i="1"/>
  <c r="F128" i="1" s="1"/>
  <c r="F7" i="1" s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2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12" i="1" s="1"/>
  <c r="F161" i="1"/>
  <c r="F8" i="1" s="1"/>
  <c r="F12" i="1" s="1"/>
  <c r="F326" i="1"/>
  <c r="G326" i="1"/>
  <c r="L383" i="1"/>
  <c r="J368" i="1"/>
  <c r="N370" i="1"/>
  <c r="H373" i="1"/>
  <c r="F375" i="1"/>
  <c r="L376" i="1"/>
  <c r="J377" i="1"/>
  <c r="F381" i="1"/>
  <c r="J383" i="1"/>
  <c r="H384" i="1"/>
  <c r="H365" i="1"/>
  <c r="J378" i="1"/>
  <c r="J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L373" i="1"/>
  <c r="H376" i="1"/>
  <c r="F377" i="1"/>
  <c r="N377" i="1"/>
  <c r="L378" i="1"/>
  <c r="H382" i="1"/>
  <c r="G363" i="1"/>
  <c r="O368" i="1"/>
  <c r="O372" i="1"/>
  <c r="I376" i="1"/>
  <c r="G377" i="1"/>
  <c r="O377" i="1"/>
  <c r="M378" i="1"/>
  <c r="I382" i="1"/>
  <c r="F13" i="1"/>
  <c r="F44" i="1"/>
  <c r="H363" i="1"/>
  <c r="G13" i="1"/>
  <c r="G44" i="1"/>
  <c r="I363" i="1"/>
  <c r="G366" i="1" l="1"/>
  <c r="G376" i="1"/>
  <c r="G382" i="1"/>
  <c r="G383" i="1"/>
  <c r="G14" i="1"/>
  <c r="F376" i="1"/>
  <c r="F366" i="1"/>
  <c r="F382" i="1"/>
  <c r="F383" i="1"/>
  <c r="F14" i="1"/>
  <c r="G378" i="1"/>
  <c r="G370" i="1"/>
  <c r="G59" i="1"/>
  <c r="G67" i="1" s="1"/>
  <c r="G71" i="1" s="1"/>
  <c r="G353" i="1"/>
  <c r="G355" i="1" s="1"/>
  <c r="G357" i="1" s="1"/>
  <c r="G385" i="1"/>
  <c r="F378" i="1"/>
  <c r="F370" i="1"/>
  <c r="F59" i="1"/>
  <c r="F67" i="1" s="1"/>
  <c r="F71" i="1" s="1"/>
  <c r="F353" i="1"/>
  <c r="F355" i="1" s="1"/>
  <c r="F357" i="1" s="1"/>
  <c r="F385" i="1"/>
  <c r="F373" i="1" l="1"/>
  <c r="F83" i="1"/>
  <c r="F372" i="1"/>
  <c r="F6" i="1"/>
  <c r="G373" i="1"/>
  <c r="G83" i="1"/>
  <c r="G372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<sst xmlns="http://schemas.openxmlformats.org/spreadsheetml/2006/main" count="888" uniqueCount="520">
  <si>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</si>
  <si>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</si>
  <si>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</si>
  <si>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</si>
  <si>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</si>
  <si>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</si>
  <si>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</si>
  <si>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</si>
  <si>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</si>
  <si>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</si>
  <si>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</si>
  <si>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</si>
  <si>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</si>
  <si>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</si>
  <si>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</si>
  <si>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</si>
  <si>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</si>
  <si>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</si>
  <si>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</si>
  <si>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</si>
  <si>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</si>
  <si>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</si>
  <si>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</si>
  <si>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</si>
  <si>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</si>
  <si>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</si>
  <si>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</si>
  <si>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</si>
  <si>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</si>
  <si>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</si>
  <si>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</si>
  <si>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</si>
  <si>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</si>
  <si>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</si>
  <si>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</si>
  <si>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</si>
  <si>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</si>
  <si>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</si>
  <si>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</si>
  <si>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</si>
  <si>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</si>
  <si>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</si>
  <si>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</si>
  <si>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</si>
  <si>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</si>
  <si>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</si>
  <si>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</si>
  <si>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</si>
  <si>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</si>
  <si>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</si>
  <si>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</si>
  <si>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</si>
  <si>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</si>
  <si>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</si>
  <si>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</si>
  <si>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</si>
  <si>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</si>
  <si>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</si>
  <si>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</si>
  <si>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</si>
  <si>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</si>
  <si>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</si>
  <si>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</si>
  <si>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</si>
  <si>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</si>
  <si>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</si>
  <si>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</si>
  <si>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</si>
  <si>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</si>
  <si>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</si>
  <si>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</si>
  <si>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</si>
  <si>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</si>
  <si>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</si>
  <si>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</si>
  <si>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</si>
  <si>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</si>
  <si>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</si>
  <si>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</si>
  <si>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</si>
  <si>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</si>
  <si>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</si>
  <si>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</si>
  <si>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</si>
  <si>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</si>
  <si>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</si>
  <si>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</si>
  <si>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</si>
  <si>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</si>
  <si>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</si>
  <si>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</si>
  <si>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</si>
  <si>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</si>
  <si>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</si>
  <si>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</si>
  <si>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</si>
  <si>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</si>
  <si>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</si>
  <si>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</si>
  <si>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</si>
  <si>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</si>
  <si>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</si>
  <si>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</si>
  <si>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</si>
  <si>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</si>
  <si>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</si>
  <si>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</si>
  <si>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</si>
  <si>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</si>
  <si>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</si>
  <si>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</si>
  <si>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</si>
  <si>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</si>
  <si>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</si>
  <si>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</si>
  <si>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</si>
  <si>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</si>
  <si>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</si>
  <si>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</si>
  <si>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</si>
  <si>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</si>
  <si>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</si>
  <si>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</si>
  <si>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</si>
  <si>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</si>
  <si>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</si>
  <si>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</si>
  <si>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</si>
  <si>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</si>
  <si>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</si>
  <si>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</si>
  <si>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</si>
  <si>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</si>
  <si>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</si>
  <si>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</si>
  <si>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</si>
  <si>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</si>
  <si>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</si>
  <si>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</si>
  <si>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</si>
  <si>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</si>
  <si>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</si>
  <si>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</si>
  <si>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</si>
  <si>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</si>
  <si>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</si>
  <si>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</si>
  <si>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</si>
  <si>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</si>
  <si>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</si>
  <si>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</si>
  <si>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</si>
  <si>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</si>
  <si>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</si>
  <si>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</si>
  <si>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</si>
  <si>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</si>
  <si>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</si>
  <si>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</si>
  <si>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</si>
  <si>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</si>
  <si>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</si>
  <si>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</si>
  <si>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</si>
  <si>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</si>
  <si>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</si>
  <si>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</si>
  <si>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</si>
  <si>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</si>
  <si>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</si>
  <si>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</si>
  <si>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</si>
  <si>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</si>
  <si>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</si>
  <si>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</si>
  <si>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</si>
  <si>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</si>
  <si>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</si>
  <si>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</si>
  <si>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</si>
  <si>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</si>
  <si>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</si>
  <si>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</si>
  <si>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</si>
  <si>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</si>
  <si>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</si>
  <si>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</si>
  <si>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</si>
  <si>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</si>
  <si>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</si>
  <si>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</si>
  <si>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</si>
  <si>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</si>
  <si>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</si>
  <si>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</si>
  <si>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</si>
  <si>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</si>
  <si>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</si>
  <si>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</si>
  <si>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</si>
  <si>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</si>
  <si>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</si>
  <si>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</si>
  <si>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</si>
  <si>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</si>
  <si>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</si>
  <si>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</si>
  <si>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</si>
  <si>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</si>
  <si>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</si>
  <si>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</si>
  <si>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</si>
  <si>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</si>
  <si>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</si>
  <si>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</si>
  <si>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</si>
  <si>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</si>
  <si>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</si>
  <si>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</si>
  <si>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</si>
  <si>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</si>
  <si>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</si>
  <si>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</si>
  <si>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</si>
  <si>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</si>
  <si>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</si>
  <si>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</si>
  <si>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</si>
  <si>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</si>
  <si>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</si>
  <si>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</si>
  <si>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</si>
  <si>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</si>
  <si>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</si>
  <si>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</si>
  <si>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</si>
  <si>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</si>
  <si>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</si>
  <si>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</si>
  <si>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</si>
  <si>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</si>
  <si>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</si>
  <si>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</si>
  <si>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</si>
  <si>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</si>
  <si>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</si>
  <si>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</si>
  <si>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</si>
  <si>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</si>
  <si>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</si>
  <si>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</si>
  <si>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</si>
  <si>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</si>
  <si>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</si>
  <si>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</si>
  <si>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</si>
  <si>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</si>
  <si>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</si>
  <si>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</si>
  <si>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</si>
  <si>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</si>
  <si>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</si>
  <si>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</si>
  <si>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</si>
  <si>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</si>
  <si>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</si>
  <si>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</si>
  <si>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</si>
  <si>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</si>
  <si>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</si>
  <si>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</si>
  <si>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</si>
  <si>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</si>
  <si>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</si>
  <si>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</si>
  <si>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</si>
  <si>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</si>
  <si>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</si>
  <si>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</si>
  <si>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</si>
  <si>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</si>
  <si>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</si>
  <si>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</si>
  <si>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</si>
  <si>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</si>
  <si>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</si>
  <si>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</si>
  <si>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</si>
  <si>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</si>
  <si>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</si>
  <si>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</si>
  <si>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</si>
  <si>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</si>
  <si>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</si>
  <si>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</si>
  <si>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</si>
  <si>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</si>
  <si>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</si>
  <si>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</si>
  <si>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</si>
  <si>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</si>
  <si>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</si>
  <si>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</si>
  <si>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</si>
  <si>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</si>
  <si>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</si>
  <si>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</si>
  <si>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</si>
  <si>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</si>
  <si>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</si>
  <si>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</si>
  <si>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</si>
  <si>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</si>
  <si>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</si>
  <si>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</si>
  <si>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</si>
  <si>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</si>
  <si>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</si>
  <si>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</si>
  <si>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</si>
  <si>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</si>
  <si>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</si>
  <si>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</si>
  <si>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</si>
  <si>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</si>
  <si>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</si>
  <si>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</si>
  <si>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</si>
  <si>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</si>
  <si>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</si>
  <si>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</si>
  <si>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</si>
  <si>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</si>
  <si>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</si>
  <si>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</si>
  <si>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</si>
  <si>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</si>
  <si>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</si>
  <si>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</si>
  <si>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</si>
  <si>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</si>
  <si>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</si>
  <si>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</si>
  <si>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</si>
  <si>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</si>
  <si>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</si>
  <si>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</si>
  <si>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</si>
  <si>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</si>
  <si>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</si>
  <si>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</si>
  <si>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</si>
  <si>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</si>
  <si>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</si>
  <si>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</si>
  <si>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</si>
  <si>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</si>
  <si>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</si>
  <si>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</si>
  <si>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</si>
  <si>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</si>
  <si>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</si>
  <si>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</si>
  <si>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</si>
  <si>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</si>
  <si>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</si>
  <si>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</si>
  <si>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</si>
  <si>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</si>
  <si>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</si>
  <si>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</si>
  <si>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</si>
  <si>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</si>
  <si>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</si>
  <si>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</si>
  <si>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</si>
  <si>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</si>
  <si>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Marketable securities</t>
  </si>
  <si>
    <t>Accounts receivable</t>
  </si>
  <si>
    <t>Prepaid income taxes</t>
  </si>
  <si>
    <t>Coal inventory</t>
  </si>
  <si>
    <t>Parts and supply inventory</t>
  </si>
  <si>
    <t>Other</t>
  </si>
  <si>
    <t>Total current assets</t>
  </si>
  <si>
    <t>Coal properties, at cost:</t>
  </si>
  <si>
    <t>Property</t>
  </si>
  <si>
    <t>Land and mineral rights</t>
  </si>
  <si>
    <t>Buildings and equipment</t>
  </si>
  <si>
    <t>Property and Equipment</t>
  </si>
  <si>
    <t>Mine development</t>
  </si>
  <si>
    <t>Less - accumulated DD&amp;A</t>
  </si>
  <si>
    <t>Investment in Savoy</t>
  </si>
  <si>
    <t>Investment in Sunrise Energy</t>
  </si>
  <si>
    <t>Other assets (Note 8)</t>
  </si>
  <si>
    <t>LIABILITIES AND STOCKHOLDERS' EQUITY</t>
  </si>
  <si>
    <t>Current liabilities:</t>
  </si>
  <si>
    <t>Current portion of bank debt</t>
  </si>
  <si>
    <t>Accounts payable and accrued liabilities</t>
  </si>
  <si>
    <t>Total current liabilities</t>
  </si>
  <si>
    <t>Long-term liabilities:</t>
  </si>
  <si>
    <t>Bank debt</t>
  </si>
  <si>
    <t>Deferred income taxes</t>
  </si>
  <si>
    <t>Asset retirement obligations</t>
  </si>
  <si>
    <t>Total long-term liabilities</t>
  </si>
  <si>
    <t>Total liabilities</t>
  </si>
  <si>
    <t>Commitments and contingencies</t>
  </si>
  <si>
    <t>Stockholders' equity:</t>
  </si>
  <si>
    <t>Preferred Stock, $.10 par value, 10,000 shares authorized; none issued</t>
  </si>
  <si>
    <t>Common stock, $.01 par value, 100,000 shares authorized; 29,251 and 28,962 shares outstanding, respectively</t>
  </si>
  <si>
    <t>Additional paid-in capital</t>
  </si>
  <si>
    <t>Retained earnings</t>
  </si>
  <si>
    <t>Accumulated other comprehensive income (loss)</t>
  </si>
  <si>
    <t>Total stockholders equity</t>
  </si>
  <si>
    <t>Revenue:</t>
  </si>
  <si>
    <t>Revenue</t>
  </si>
  <si>
    <t>Coal sales</t>
  </si>
  <si>
    <t>Equity income (loss)  Savoy</t>
  </si>
  <si>
    <t>Equity income (loss) - Sunrise Energy</t>
  </si>
  <si>
    <t>Liability extinguishment (Note 10)</t>
  </si>
  <si>
    <t>Other Income - net</t>
  </si>
  <si>
    <t>Other  (Note 8)</t>
  </si>
  <si>
    <t>Costs and expenses:</t>
  </si>
  <si>
    <t>Operating costs and expenses</t>
  </si>
  <si>
    <t>DD&amp;A</t>
  </si>
  <si>
    <t>Coal exploration costs</t>
  </si>
  <si>
    <t>SG&amp;A</t>
  </si>
  <si>
    <t>Selling and distribution expenses</t>
  </si>
  <si>
    <t>Interest (1)</t>
  </si>
  <si>
    <t>Vectren deal costs (Note 2)</t>
  </si>
  <si>
    <t>Income before income taxes</t>
  </si>
  <si>
    <t>Profit before Zakat</t>
  </si>
  <si>
    <t>Less income taxes:</t>
  </si>
  <si>
    <t>Current</t>
  </si>
  <si>
    <t>Deferred</t>
  </si>
  <si>
    <t>Net income*</t>
  </si>
  <si>
    <t>Net income per share (Note 11):</t>
  </si>
  <si>
    <t>Basic and diluted</t>
  </si>
  <si>
    <t>Weighted average shares outstanding:</t>
  </si>
  <si>
    <t>Operating activities:</t>
  </si>
  <si>
    <t>Operating Activities</t>
  </si>
  <si>
    <t>Net income</t>
  </si>
  <si>
    <t>Liability extinguishment</t>
  </si>
  <si>
    <t>Equity (income) loss  Savoy and Sunrise Energy</t>
  </si>
  <si>
    <t>Cash distributions from Savoy</t>
  </si>
  <si>
    <t>Change in fair value of interest rate swaps</t>
  </si>
  <si>
    <t>Amortization and write off of deferred financing costs</t>
  </si>
  <si>
    <t>Accretion of ARO</t>
  </si>
  <si>
    <t>Stock-based compensation</t>
  </si>
  <si>
    <t>Taxes paid on vesting of RSUs</t>
  </si>
  <si>
    <t>Change in current assets and liabilities:</t>
  </si>
  <si>
    <t>Income taxes</t>
  </si>
  <si>
    <t>Cash provided by operating activities</t>
  </si>
  <si>
    <t>Investing activities:</t>
  </si>
  <si>
    <t>Investing Activities</t>
  </si>
  <si>
    <t>Capital expenditures for coal properties</t>
  </si>
  <si>
    <t>Vectren acquisition</t>
  </si>
  <si>
    <t>Cash used in investing activities</t>
  </si>
  <si>
    <t>Financing activities:</t>
  </si>
  <si>
    <t>Financing Activities</t>
  </si>
  <si>
    <t>Payments of bank debt</t>
  </si>
  <si>
    <t>Bank borrowings</t>
  </si>
  <si>
    <t>Deferred financing costs</t>
  </si>
  <si>
    <t>Finance Costs</t>
  </si>
  <si>
    <t>Dividends</t>
  </si>
  <si>
    <t>Cash (used in) provided by financing activities</t>
  </si>
  <si>
    <t>Increase (decrease) in cash and cash equivalents</t>
  </si>
  <si>
    <t>Cash and cash equivalents, beginning of year</t>
  </si>
  <si>
    <t>Cash and cash equivalents at beginning of period</t>
  </si>
  <si>
    <t>Cash and cash equivalents, end of year</t>
  </si>
  <si>
    <t>Cash paid for interest</t>
  </si>
  <si>
    <t>Cash (received) paid for income taxes, net</t>
  </si>
  <si>
    <t>Increase in ARO</t>
  </si>
  <si>
    <t>Balance January 1, 2013</t>
  </si>
  <si>
    <t>Adjustment  (Note 1)</t>
  </si>
  <si>
    <t>Stock issued on vesting of RSUs</t>
  </si>
  <si>
    <t>Balance December 31, 2013</t>
  </si>
  <si>
    <t>Balance December 31, 2014</t>
  </si>
  <si>
    <t xml:space="preserve">Dividend paid to shareholders to parent on minority interests </t>
  </si>
  <si>
    <t>Balance December 31, 2015</t>
  </si>
  <si>
    <t>_____________________________________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</si>
  <si>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</si>
  <si>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</si>
  <si>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</si>
  <si>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</si>
  <si>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</si>
  <si>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</si>
  <si>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other</t>
  </si>
  <si>
    <t>other operating expenses</t>
  </si>
  <si>
    <t>interest paid and financial costs</t>
  </si>
  <si>
    <t>current taxation</t>
  </si>
  <si>
    <t>stock - finished goods</t>
  </si>
  <si>
    <t>stock - raw materials</t>
  </si>
  <si>
    <t>deferred income taxes</t>
  </si>
  <si>
    <t>should be 2015 &amp; 2014</t>
  </si>
  <si>
    <t>changed value</t>
  </si>
  <si>
    <t>deleted value</t>
  </si>
  <si>
    <t>coal sales</t>
  </si>
  <si>
    <t>equity income (loss) - savoy</t>
  </si>
  <si>
    <t>equity income (loss) - sunrise energy</t>
  </si>
  <si>
    <t>liability extinguishment</t>
  </si>
  <si>
    <t>operating costs and expenses</t>
  </si>
  <si>
    <t>changed value and sign</t>
  </si>
  <si>
    <t>coal exploration costs</t>
  </si>
  <si>
    <t>added value</t>
  </si>
  <si>
    <t>interest</t>
  </si>
  <si>
    <t>vectren deal costs</t>
  </si>
  <si>
    <t>changed value for 2014</t>
  </si>
  <si>
    <t>deferred</t>
  </si>
  <si>
    <t>marketable investments</t>
  </si>
  <si>
    <t>marketable securities</t>
  </si>
  <si>
    <t>parts and supply inventory</t>
  </si>
  <si>
    <t>coal inventory</t>
  </si>
  <si>
    <t>other operating current assets</t>
  </si>
  <si>
    <t>less - accumulated DD&amp;A</t>
  </si>
  <si>
    <t>investment in savoy</t>
  </si>
  <si>
    <t>investment in sunrise energy</t>
  </si>
  <si>
    <t>accounts payable and accrued liabilities</t>
  </si>
  <si>
    <t>deferred tax liability</t>
  </si>
  <si>
    <t>asset retirement obligations</t>
  </si>
  <si>
    <t>other non-current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</si>
</sst>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0" applyFont="1"/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EA-432C-A851-02412A138E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C47-4E40-B8D3-329BF9D3F9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26-43A4-8328-92596BAC76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615-46BC-9A63-83E13D3520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36-4B39-8438-73A9461261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913-433D-A2E1-33C1A5323A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8AF-428C-BF7A-8350C157B1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A6-4B2E-8B02-FB17927D78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98F-44A6-BB44-C4A166F63F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B7D-4411-812F-2312672AC9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BA-461B-A6E9-64E7C39794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6F-4200-B06F-0246DA7884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0D0-43F7-AAFA-75FF04880D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4F-4EB5-B6DD-FC14DB6A24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64-4826-AAAF-A7D2BA0F4C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9.28515625" style="1" customWidth="1"/>
    <col min="6" max="7" width="16.140625" style="38" customWidth="1"/>
    <col min="8" max="15" width="0" hidden="1" customWidth="1"/>
  </cols>
  <sheetData>
    <row r="1" spans="5:16">
      <c r="E1" s="3" t="s">
        <v>0</v>
      </c>
      <c r="F1" s="2" t="s">
        <v>1</v>
      </c>
      <c r="G1" s="2"/>
    </row>
    <row r="2" spans="5:16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6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  <c r="P3" s="49" t="s">
        <v>493</v>
      </c>
    </row>
    <row r="4" spans="5:16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6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6">
      <c r="E6" s="6" t="s">
        <v>10</v>
      </c>
      <c r="F6" s="7">
        <f>F71</f>
        <v>20132</v>
      </c>
      <c r="G6" s="7">
        <f t="shared" ref="G6:O6" si="1">IF(G4=$BF$1,"",G71)</f>
        <v>10219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6">
      <c r="E7" s="6" t="s">
        <v>11</v>
      </c>
      <c r="F7" s="7">
        <f>F128</f>
        <v>478875</v>
      </c>
      <c r="G7" s="7">
        <f t="shared" ref="G7:O7" si="2">IF(G4=$BF$1,"",G128)</f>
        <v>495176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6">
      <c r="E8" s="6" t="s">
        <v>12</v>
      </c>
      <c r="F8" s="7">
        <f>F161</f>
        <v>66615</v>
      </c>
      <c r="G8" s="7">
        <f t="shared" ref="G8:O8" si="3">IF(G4=$BF$1,"",G161)</f>
        <v>84409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6">
      <c r="E9" s="6" t="s">
        <v>13</v>
      </c>
      <c r="F9" s="7">
        <f>F189</f>
        <v>52434</v>
      </c>
      <c r="G9" s="7">
        <f t="shared" ref="G9:O9" si="4">IF(G4=$BF$1,"",G189)</f>
        <v>49980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6">
      <c r="E10" s="6" t="s">
        <v>14</v>
      </c>
      <c r="F10" s="7">
        <f>F210</f>
        <v>286236</v>
      </c>
      <c r="G10" s="7">
        <f t="shared" ref="G10:O10" si="5">IF(G4=$BF$1,"",G210)</f>
        <v>339730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6">
      <c r="E11" s="6" t="s">
        <v>15</v>
      </c>
      <c r="F11" s="7">
        <f>F227</f>
        <v>206820</v>
      </c>
      <c r="G11" s="7">
        <f t="shared" ref="G11:O11" si="6">IF(G4=$BF$1,"",G227)</f>
        <v>189875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6">
      <c r="E12" s="1" t="s">
        <v>16</v>
      </c>
      <c r="F12" s="35">
        <f>SUM(F7:F8)</f>
        <v>545490</v>
      </c>
      <c r="G12" s="35">
        <f t="shared" ref="G12:O12" si="7">IF(G4=$BF$1,"",SUM(G7:G8))</f>
        <v>579585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6">
      <c r="E13" s="1" t="s">
        <v>17</v>
      </c>
      <c r="F13" s="35">
        <f>SUM(F9:F11)</f>
        <v>545490</v>
      </c>
      <c r="G13" s="35">
        <f t="shared" ref="G13:O13" si="8">IF(G4=$BF$1,"",SUM(G9:G11))</f>
        <v>579585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6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6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339490-1532-74+2236</f>
        <v>340120</v>
      </c>
      <c r="G24">
        <f>233902+5272+248+1749</f>
        <v>241171</v>
      </c>
      <c r="H24">
        <v>137436</v>
      </c>
      <c r="P24" s="49" t="s">
        <v>494</v>
      </c>
    </row>
    <row r="25" spans="5:16">
      <c r="E25" s="1" t="s">
        <v>27</v>
      </c>
      <c r="F25"/>
      <c r="G25"/>
      <c r="H25">
        <v>2360</v>
      </c>
      <c r="P25" s="49" t="s">
        <v>495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340120</v>
      </c>
      <c r="G30" s="7">
        <f>IF(G4=$BF$1,"",G24-G25+ABS(G26)-G27-G28-G29)</f>
        <v>241171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H31">
        <v>9978</v>
      </c>
      <c r="P31" s="49" t="s">
        <v>495</v>
      </c>
    </row>
    <row r="32" spans="5:16">
      <c r="E32" s="1" t="s">
        <v>34</v>
      </c>
    </row>
    <row r="33" spans="5:16">
      <c r="E33" s="1" t="s">
        <v>35</v>
      </c>
      <c r="F33">
        <v>12617</v>
      </c>
      <c r="G33">
        <v>12039</v>
      </c>
      <c r="H33">
        <v>7669</v>
      </c>
    </row>
    <row r="34" spans="5:16">
      <c r="E34" s="1" t="s">
        <v>36</v>
      </c>
    </row>
    <row r="35" spans="5:16">
      <c r="E35" s="1" t="s">
        <v>37</v>
      </c>
    </row>
    <row r="36" spans="5:16">
      <c r="E36" s="1" t="s">
        <v>38</v>
      </c>
      <c r="F36">
        <f>2039+237897</f>
        <v>239936</v>
      </c>
      <c r="G36">
        <f>2362+169691+8057</f>
        <v>180110</v>
      </c>
      <c r="H36">
        <v>94111</v>
      </c>
      <c r="P36" s="49" t="s">
        <v>501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43942</v>
      </c>
      <c r="G40">
        <v>29262</v>
      </c>
      <c r="H40">
        <v>18585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296495</v>
      </c>
      <c r="G43" s="7">
        <f>G32+G33+G34+G35+G36+G37+G38+G39+G40+G41+G42</f>
        <v>221411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43625</v>
      </c>
      <c r="G44" s="7">
        <f>IF(G4=$BF$1,"",G30+G31-G43)</f>
        <v>19760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/>
      <c r="G48"/>
      <c r="H48">
        <v>8003</v>
      </c>
      <c r="P48" s="49" t="s">
        <v>495</v>
      </c>
    </row>
    <row r="49" spans="5:16">
      <c r="E49" s="1" t="s">
        <v>51</v>
      </c>
      <c r="F49" s="38">
        <v>16055</v>
      </c>
      <c r="G49" s="38">
        <v>9059</v>
      </c>
      <c r="P49" s="49" t="s">
        <v>503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27570</v>
      </c>
      <c r="G59" s="7">
        <f>IF(G4=$BF$1,"",G44+G45+G46+G47+G48-G49-G50-G51+G52-G53+G54+G55-G56+G57+G58)</f>
        <v>10701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>
        <v>-14</v>
      </c>
      <c r="G60">
        <f>2205-1723</f>
        <v>482</v>
      </c>
      <c r="H60">
        <v>-266</v>
      </c>
      <c r="P60" s="49" t="s">
        <v>506</v>
      </c>
    </row>
    <row r="61" spans="5:16">
      <c r="E61" s="1" t="s">
        <v>63</v>
      </c>
      <c r="F61">
        <v>-7452</v>
      </c>
      <c r="G61"/>
      <c r="H61">
        <v>7441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20132</v>
      </c>
      <c r="G67" s="7">
        <f>IF(G4=$BF$1,"",SUM(G59,-G60,-ABS(G61),-G62,-G66))</f>
        <v>10219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20132</v>
      </c>
      <c r="G71" s="7">
        <f t="shared" ref="G71:O71" si="14">IF(G4=$BF$1,"",SUM(G67:G70))</f>
        <v>10219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5">
      <c r="E81" s="1" t="s">
        <v>75</v>
      </c>
    </row>
    <row r="82" spans="5:15">
      <c r="E82" s="1" t="s">
        <v>76</v>
      </c>
    </row>
    <row r="83" spans="5:15">
      <c r="E83" s="6" t="s">
        <v>77</v>
      </c>
      <c r="F83" s="7">
        <f>SUM(F71:F82)</f>
        <v>20132</v>
      </c>
      <c r="G83" s="7">
        <f t="shared" ref="G83:O83" si="15">IF(G4=$BF$1,"",SUM(G71:G82))</f>
        <v>10219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5">
      <c r="E84" s="1" t="s">
        <v>78</v>
      </c>
    </row>
    <row r="85" spans="5:15">
      <c r="E85" s="1" t="s">
        <v>79</v>
      </c>
    </row>
    <row r="88" spans="5:15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5">
      <c r="E89" s="1" t="s">
        <v>81</v>
      </c>
      <c r="F89">
        <v>116209</v>
      </c>
      <c r="G89">
        <v>118053</v>
      </c>
    </row>
    <row r="90" spans="5:15">
      <c r="E90" s="1" t="s">
        <v>82</v>
      </c>
    </row>
    <row r="91" spans="5:15">
      <c r="E91" s="1" t="s">
        <v>83</v>
      </c>
    </row>
    <row r="92" spans="5:15">
      <c r="E92" s="12" t="s">
        <v>84</v>
      </c>
      <c r="F92">
        <v>478990</v>
      </c>
      <c r="G92">
        <v>446165</v>
      </c>
    </row>
    <row r="93" spans="5:15">
      <c r="E93" s="1" t="s">
        <v>85</v>
      </c>
    </row>
    <row r="94" spans="5:15">
      <c r="E94" s="1" t="s">
        <v>86</v>
      </c>
    </row>
    <row r="95" spans="5:15">
      <c r="E95" s="1" t="s">
        <v>87</v>
      </c>
    </row>
    <row r="96" spans="5:15">
      <c r="E96" s="12"/>
    </row>
    <row r="98" spans="5:16">
      <c r="E98" s="6" t="s">
        <v>88</v>
      </c>
      <c r="F98" s="7">
        <f>F89+F90+F91+F92+F93+F94+F95+F96</f>
        <v>595199</v>
      </c>
      <c r="G98" s="7">
        <f>IF(G4=$BF$1,"",G89+G90+G91+G92+G93+G94+G95+G96)</f>
        <v>564218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6">
      <c r="E99" s="1" t="s">
        <v>89</v>
      </c>
      <c r="F99" s="38">
        <v>-149964</v>
      </c>
      <c r="G99" s="38">
        <v>-106608</v>
      </c>
      <c r="P99" s="49" t="s">
        <v>503</v>
      </c>
    </row>
    <row r="100" spans="5:16">
      <c r="E100" s="6" t="s">
        <v>90</v>
      </c>
      <c r="F100" s="7">
        <f>F98+F99</f>
        <v>445235</v>
      </c>
      <c r="G100" s="7">
        <f t="shared" ref="G100:O100" si="17">IF(G4=$BF$1,"",G98+G99)</f>
        <v>457610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/>
      <c r="G111"/>
      <c r="P111" s="49" t="s">
        <v>495</v>
      </c>
    </row>
    <row r="112" spans="5:16">
      <c r="E112" s="1" t="s">
        <v>102</v>
      </c>
    </row>
    <row r="113" spans="5:16">
      <c r="E113" s="1" t="s">
        <v>103</v>
      </c>
      <c r="F113"/>
      <c r="G113"/>
      <c r="P113" s="49" t="s">
        <v>495</v>
      </c>
    </row>
    <row r="114" spans="5:16">
      <c r="E114" s="1" t="s">
        <v>104</v>
      </c>
      <c r="F114" s="38">
        <f>12365+4747</f>
        <v>17112</v>
      </c>
      <c r="G114" s="38">
        <f>4821+13896</f>
        <v>18717</v>
      </c>
      <c r="P114" s="49" t="s">
        <v>503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16528</v>
      </c>
      <c r="G126">
        <v>18849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478875</v>
      </c>
      <c r="G128" s="7">
        <f t="shared" ref="G128:O128" si="19">IF(G4=$BF$1,"",G100+SUM(G104:G126))</f>
        <v>495176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15930</v>
      </c>
      <c r="G130">
        <v>13469</v>
      </c>
    </row>
    <row r="131" spans="5:16">
      <c r="E131" s="1" t="s">
        <v>118</v>
      </c>
      <c r="F131" s="38">
        <v>1343</v>
      </c>
      <c r="G131" s="38">
        <v>1656</v>
      </c>
      <c r="P131" s="49" t="s">
        <v>503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17273</v>
      </c>
      <c r="G140" s="7">
        <f t="shared" ref="G140:O140" si="20">IF(G4=$BF$1,"",G130+G131+G132+G133+G134+G135+G136+G139)</f>
        <v>15125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11255</v>
      </c>
      <c r="G142" s="38">
        <v>14919</v>
      </c>
      <c r="P142" s="49" t="s">
        <v>503</v>
      </c>
    </row>
    <row r="143" spans="5:16">
      <c r="E143" s="1" t="s">
        <v>125</v>
      </c>
    </row>
    <row r="144" spans="5:16">
      <c r="E144" s="1" t="s">
        <v>126</v>
      </c>
      <c r="F144">
        <v>14915</v>
      </c>
      <c r="G144">
        <v>19722</v>
      </c>
      <c r="P144" s="49" t="s">
        <v>494</v>
      </c>
    </row>
    <row r="145" spans="5:16">
      <c r="E145" s="6" t="s">
        <v>127</v>
      </c>
      <c r="F145" s="7">
        <f>F141+F142+F143+F144</f>
        <v>26170</v>
      </c>
      <c r="G145" s="7">
        <f t="shared" ref="G145:O145" si="21">IF(G4=$BF$1,"",G141+G142+G143+G144)</f>
        <v>34641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  <c r="F156">
        <v>5312</v>
      </c>
      <c r="G156">
        <v>5791</v>
      </c>
    </row>
    <row r="157" spans="5:16">
      <c r="E157" s="12" t="s">
        <v>137</v>
      </c>
      <c r="F157">
        <v>16675</v>
      </c>
      <c r="G157">
        <v>27297</v>
      </c>
    </row>
    <row r="158" spans="5:16">
      <c r="E158" s="1" t="s">
        <v>138</v>
      </c>
      <c r="F158" s="38">
        <v>1185</v>
      </c>
      <c r="G158" s="38">
        <v>1555</v>
      </c>
      <c r="P158" s="49" t="s">
        <v>503</v>
      </c>
    </row>
    <row r="159" spans="5:16">
      <c r="E159" s="1" t="s">
        <v>139</v>
      </c>
      <c r="F159"/>
      <c r="G159"/>
      <c r="P159" s="49" t="s">
        <v>495</v>
      </c>
    </row>
    <row r="160" spans="5:16">
      <c r="E160" s="6" t="s">
        <v>140</v>
      </c>
      <c r="F160" s="7">
        <f>F146+F147+F148+F149+F150+F151+F152+F153+F154+F155+F156+F157+F158+F159</f>
        <v>23172</v>
      </c>
      <c r="G160" s="7">
        <f>IF(G4=$BF$1,"",G146+G147+G148+G149+G150+G151+G152+G153+G154+G155+G156+G157+G158+G159)</f>
        <v>34643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66615</v>
      </c>
      <c r="G161" s="7">
        <f t="shared" ref="G161:O161" si="22">IF(G4=$BF$1,"",G140+G145+G160)</f>
        <v>84409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  <c r="F170">
        <v>26250</v>
      </c>
      <c r="G170">
        <v>21875</v>
      </c>
    </row>
    <row r="171" spans="5:16">
      <c r="E171" s="1" t="s">
        <v>150</v>
      </c>
    </row>
    <row r="172" spans="5:16">
      <c r="E172" s="1" t="s">
        <v>151</v>
      </c>
      <c r="F172"/>
      <c r="G172"/>
      <c r="P172" s="49" t="s">
        <v>495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26184</v>
      </c>
      <c r="G184">
        <v>28105</v>
      </c>
      <c r="P184" s="49" t="s">
        <v>503</v>
      </c>
    </row>
    <row r="185" spans="5:16">
      <c r="E185" s="12" t="s">
        <v>162</v>
      </c>
    </row>
    <row r="187" spans="5:16">
      <c r="E187" s="1" t="s">
        <v>163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52434</v>
      </c>
      <c r="G189" s="7">
        <f t="shared" ref="G189:O189" si="23">IF(G4=$BF$1,"",SUM(G163:G188))</f>
        <v>49980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223220</v>
      </c>
      <c r="G193">
        <v>284470</v>
      </c>
    </row>
    <row r="194" spans="5:16">
      <c r="E194" s="1" t="s">
        <v>169</v>
      </c>
    </row>
    <row r="195" spans="5:16">
      <c r="E195" s="1" t="s">
        <v>170</v>
      </c>
      <c r="F195" s="38">
        <v>12231</v>
      </c>
      <c r="G195" s="38">
        <v>12074</v>
      </c>
      <c r="P195" s="49" t="s">
        <v>503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49033</v>
      </c>
      <c r="G203" s="38">
        <v>41581</v>
      </c>
      <c r="P203" s="49" t="s">
        <v>503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1752</v>
      </c>
      <c r="G209">
        <v>1605</v>
      </c>
      <c r="P209" s="49" t="s">
        <v>494</v>
      </c>
    </row>
    <row r="210" spans="5:16">
      <c r="E210" s="6" t="s">
        <v>14</v>
      </c>
      <c r="F210" s="7">
        <f>SUM(F191:F209)</f>
        <v>286236</v>
      </c>
      <c r="G210" s="7">
        <f t="shared" ref="G210:O210" si="24">IF(G4=$BF$1,"",SUM(G191:G209))</f>
        <v>339730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92567</v>
      </c>
      <c r="G212">
        <v>90507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  <c r="F215">
        <v>-88</v>
      </c>
      <c r="G215">
        <v>365</v>
      </c>
    </row>
    <row r="216" spans="5:16">
      <c r="E216" s="1" t="s">
        <v>186</v>
      </c>
    </row>
    <row r="217" spans="5:16">
      <c r="E217" s="1" t="s">
        <v>187</v>
      </c>
      <c r="F217">
        <v>114341</v>
      </c>
      <c r="G217">
        <v>99003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206820</v>
      </c>
      <c r="G227" s="7">
        <f t="shared" ref="G227:O227" si="25">IF(G4=$BF$1,"",SUM(G212:G226))</f>
        <v>189875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20132</v>
      </c>
      <c r="G267">
        <v>10219</v>
      </c>
      <c r="H267">
        <v>22423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1394</v>
      </c>
      <c r="G275">
        <v>1572</v>
      </c>
      <c r="H275">
        <v>299</v>
      </c>
    </row>
    <row r="276" spans="5:8">
      <c r="E276" s="1" t="s">
        <v>241</v>
      </c>
      <c r="F276">
        <v>159</v>
      </c>
      <c r="G276">
        <v>658</v>
      </c>
      <c r="H276">
        <v>0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3168</v>
      </c>
      <c r="G285">
        <v>3220</v>
      </c>
      <c r="H285">
        <v>10664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149</v>
      </c>
      <c r="G288">
        <v>2054</v>
      </c>
      <c r="H288">
        <v>-5124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4870</v>
      </c>
      <c r="G296" s="7">
        <f>IF(G4=$BF$1,"",G271+G272+G273+G274+G275+G276+G277+G278+G279+G280+G281+G282+G283+G284+G285+G286+G287+G288+G289+G290+G291+G292+G293+G294+G295)</f>
        <v>7504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25002</v>
      </c>
      <c r="G297" s="7">
        <f t="shared" ref="G297:O297" si="27">IF(G4=$BF$1,"",MIN(F267,F268,F269)+F296)</f>
        <v>25002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F303">
        <v>10627</v>
      </c>
      <c r="G303">
        <v>-324</v>
      </c>
      <c r="H303">
        <v>-2394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-1686</v>
      </c>
      <c r="G313">
        <v>1409</v>
      </c>
      <c r="H313">
        <v>1130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8941</v>
      </c>
      <c r="G318" s="7">
        <f>IF(G4=$BF$1,"",G299+G300+G301+G302+G303+G304+G305+G306+G307+G308+G309+G310+G311+G312+G313+G314+G315+G316+G317)</f>
        <v>1085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33943</v>
      </c>
      <c r="G319" s="7">
        <f t="shared" ref="G319:O319" si="28">IF(G4=$BF$1,"",G297+G318)</f>
        <v>26087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33943</v>
      </c>
      <c r="G326" s="7">
        <f t="shared" ref="G326:O326" si="30">IF(G4=$BF$1,"",G325+G319)</f>
        <v>26087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-31167</v>
      </c>
      <c r="G328">
        <v>-25835</v>
      </c>
      <c r="H328">
        <v>-31392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-31167</v>
      </c>
      <c r="G337" s="7">
        <f>IF(G4=$BF$1,"",SUM(G328:G336))</f>
        <v>-25835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0</v>
      </c>
      <c r="G352" s="7">
        <f>IF(G4=$BF$1,"",SUM(G339:G351))</f>
        <v>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2776</v>
      </c>
      <c r="G353" s="7">
        <f t="shared" ref="G353:O353" si="33">IF(G4=$BF$1,"",G326+G337+G352)</f>
        <v>252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2776</v>
      </c>
      <c r="G355" s="7">
        <f t="shared" ref="G355:O355" si="34">IF(G4=$BF$1,"",G353+G354)</f>
        <v>252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13469</v>
      </c>
      <c r="G356">
        <v>16228</v>
      </c>
      <c r="H356">
        <v>21888</v>
      </c>
    </row>
    <row r="357" spans="5:15">
      <c r="E357" s="6" t="s">
        <v>316</v>
      </c>
      <c r="F357" s="7">
        <f>F355+F356</f>
        <v>16245</v>
      </c>
      <c r="G357" s="7">
        <f t="shared" ref="G357:O357" si="35">IF(G4=$BF$1,"",G355+G356)</f>
        <v>16480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0.41028564794274602</v>
      </c>
      <c r="G364" s="24">
        <f t="shared" si="37"/>
        <v>0.75478768299426646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0.97005577845190327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-5.8826574186702556E-2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0.12826355403975068</v>
      </c>
      <c r="G370" s="27">
        <f t="shared" si="42"/>
        <v>8.1933565810151307E-2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5.9190873809243795E-2</v>
      </c>
      <c r="G371" s="28">
        <f t="shared" si="43"/>
        <v>4.2372424545239686E-2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3.6906267759262312E-2</v>
      </c>
      <c r="G372" s="27">
        <f t="shared" si="44"/>
        <v>1.7631581217595348E-2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9.7340682719272792E-2</v>
      </c>
      <c r="G373" s="27">
        <f t="shared" si="45"/>
        <v>5.3819618169848586E-2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0.62085464444811089</v>
      </c>
      <c r="G376" s="30">
        <f t="shared" si="47"/>
        <v>0.67239490324973905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1.6375108790252393</v>
      </c>
      <c r="G377" s="30">
        <f t="shared" si="48"/>
        <v>2.0524555628703096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2.717222049205855</v>
      </c>
      <c r="G378" s="30">
        <f t="shared" si="49"/>
        <v>2.1812562092946242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1.2704542853873442</v>
      </c>
      <c r="G382" s="32">
        <f t="shared" si="51"/>
        <v>1.6888555422168867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0.77135065034138151</v>
      </c>
      <c r="G383" s="32">
        <f t="shared" si="52"/>
        <v>0.99575830332132853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0.32942365640614868</v>
      </c>
      <c r="G384" s="32">
        <f t="shared" si="53"/>
        <v>0.30262104841936777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0.64734714116794445</v>
      </c>
      <c r="G385" s="32">
        <f t="shared" si="54"/>
        <v>0.52194877951180474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15930</v>
      </c>
      <c r="G418" s="17">
        <f>G130-G417</f>
        <v>13469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480</v>
      </c>
      <c r="B1" s="39" t="s">
        <v>481</v>
      </c>
      <c r="C1" s="39" t="s">
        <v>482</v>
      </c>
      <c r="D1" s="39" t="s">
        <v>483</v>
      </c>
      <c r="E1" s="39"/>
    </row>
    <row r="2" spans="1:5">
      <c r="A2" s="41" t="s">
        <v>496</v>
      </c>
      <c r="B2" s="41" t="s">
        <v>484</v>
      </c>
      <c r="C2" s="39">
        <v>1</v>
      </c>
      <c r="D2" s="39" t="s">
        <v>485</v>
      </c>
      <c r="E2" s="39"/>
    </row>
    <row r="3" spans="1:5">
      <c r="A3" s="42" t="s">
        <v>497</v>
      </c>
      <c r="B3" s="42" t="s">
        <v>484</v>
      </c>
      <c r="C3" s="39">
        <v>1</v>
      </c>
      <c r="D3" s="39" t="s">
        <v>485</v>
      </c>
    </row>
    <row r="4" spans="1:5">
      <c r="A4" s="41" t="s">
        <v>498</v>
      </c>
      <c r="B4" s="41" t="s">
        <v>484</v>
      </c>
      <c r="C4" s="39">
        <v>1</v>
      </c>
      <c r="D4" s="39" t="s">
        <v>485</v>
      </c>
    </row>
    <row r="5" spans="1:5">
      <c r="A5" s="43" t="s">
        <v>499</v>
      </c>
      <c r="B5" s="44" t="s">
        <v>484</v>
      </c>
      <c r="C5" s="39">
        <v>1</v>
      </c>
      <c r="D5" s="39" t="s">
        <v>485</v>
      </c>
    </row>
    <row r="6" spans="1:5">
      <c r="A6" s="42" t="s">
        <v>486</v>
      </c>
      <c r="B6" s="44" t="s">
        <v>484</v>
      </c>
      <c r="C6" s="39">
        <v>1</v>
      </c>
      <c r="D6" s="39" t="s">
        <v>485</v>
      </c>
    </row>
    <row r="7" spans="1:5">
      <c r="A7" s="43" t="s">
        <v>500</v>
      </c>
      <c r="B7" s="41" t="s">
        <v>487</v>
      </c>
      <c r="C7" s="39">
        <v>0</v>
      </c>
      <c r="D7" s="39" t="s">
        <v>485</v>
      </c>
    </row>
    <row r="8" spans="1:5">
      <c r="A8" s="42" t="s">
        <v>502</v>
      </c>
      <c r="B8" s="42" t="s">
        <v>487</v>
      </c>
      <c r="C8" s="39">
        <v>0</v>
      </c>
      <c r="D8" s="39" t="s">
        <v>485</v>
      </c>
    </row>
    <row r="9" spans="1:5">
      <c r="A9" s="42" t="s">
        <v>504</v>
      </c>
      <c r="B9" s="42" t="s">
        <v>488</v>
      </c>
      <c r="C9" s="39">
        <v>0</v>
      </c>
      <c r="D9" s="39" t="s">
        <v>485</v>
      </c>
    </row>
    <row r="10" spans="1:5">
      <c r="A10" s="45" t="s">
        <v>505</v>
      </c>
      <c r="B10" s="42" t="s">
        <v>487</v>
      </c>
      <c r="C10" s="39">
        <v>0</v>
      </c>
      <c r="D10" s="39" t="s">
        <v>485</v>
      </c>
    </row>
    <row r="11" spans="1:5">
      <c r="A11" s="45" t="s">
        <v>507</v>
      </c>
      <c r="B11" s="42" t="s">
        <v>489</v>
      </c>
      <c r="C11" s="39">
        <v>2</v>
      </c>
      <c r="D11" s="39" t="s">
        <v>485</v>
      </c>
    </row>
    <row r="12" spans="1:5">
      <c r="A12" s="46" t="s">
        <v>509</v>
      </c>
      <c r="B12" s="42" t="s">
        <v>508</v>
      </c>
      <c r="C12" s="39">
        <v>1</v>
      </c>
      <c r="D12" s="39" t="s">
        <v>485</v>
      </c>
    </row>
    <row r="13" spans="1:5">
      <c r="A13" s="46" t="s">
        <v>510</v>
      </c>
      <c r="B13" s="46" t="s">
        <v>491</v>
      </c>
      <c r="C13" s="39">
        <v>1</v>
      </c>
      <c r="D13" s="39" t="s">
        <v>485</v>
      </c>
    </row>
    <row r="14" spans="1:5">
      <c r="A14" s="46" t="s">
        <v>511</v>
      </c>
      <c r="B14" s="46" t="s">
        <v>490</v>
      </c>
      <c r="C14" s="39">
        <v>1</v>
      </c>
      <c r="D14" s="39" t="s">
        <v>485</v>
      </c>
    </row>
    <row r="15" spans="1:5">
      <c r="A15" s="47" t="s">
        <v>486</v>
      </c>
      <c r="B15" s="47" t="s">
        <v>512</v>
      </c>
      <c r="C15" s="39">
        <v>1</v>
      </c>
      <c r="D15" s="39" t="s">
        <v>485</v>
      </c>
    </row>
    <row r="16" spans="1:5">
      <c r="A16" s="47" t="s">
        <v>513</v>
      </c>
      <c r="B16" s="47" t="s">
        <v>89</v>
      </c>
      <c r="C16" s="39">
        <v>1</v>
      </c>
      <c r="D16" s="39" t="s">
        <v>485</v>
      </c>
    </row>
    <row r="17" spans="1:4">
      <c r="A17" s="47" t="s">
        <v>514</v>
      </c>
      <c r="B17" s="47" t="s">
        <v>104</v>
      </c>
      <c r="C17" s="39">
        <v>1</v>
      </c>
      <c r="D17" s="39" t="s">
        <v>485</v>
      </c>
    </row>
    <row r="18" spans="1:4">
      <c r="A18" s="47" t="s">
        <v>515</v>
      </c>
      <c r="B18" s="47" t="s">
        <v>104</v>
      </c>
      <c r="C18" s="39">
        <v>1</v>
      </c>
      <c r="D18" s="39" t="s">
        <v>485</v>
      </c>
    </row>
    <row r="19" spans="1:4">
      <c r="A19" s="47" t="s">
        <v>516</v>
      </c>
      <c r="B19" s="44" t="s">
        <v>161</v>
      </c>
      <c r="C19" s="39">
        <v>1</v>
      </c>
      <c r="D19" s="39" t="s">
        <v>485</v>
      </c>
    </row>
    <row r="20" spans="1:4">
      <c r="A20" s="45" t="s">
        <v>492</v>
      </c>
      <c r="B20" s="44" t="s">
        <v>517</v>
      </c>
      <c r="C20" s="39">
        <v>1</v>
      </c>
      <c r="D20" s="39" t="s">
        <v>485</v>
      </c>
    </row>
    <row r="21" spans="1:4">
      <c r="A21" s="47" t="s">
        <v>518</v>
      </c>
      <c r="B21" s="47" t="s">
        <v>170</v>
      </c>
      <c r="C21" s="39">
        <v>1</v>
      </c>
      <c r="D21" s="39" t="s">
        <v>485</v>
      </c>
    </row>
    <row r="22" spans="1:4">
      <c r="A22" s="47" t="s">
        <v>486</v>
      </c>
      <c r="B22" s="47" t="s">
        <v>519</v>
      </c>
      <c r="C22" s="39">
        <v>1</v>
      </c>
      <c r="D22" s="39" t="s">
        <v>485</v>
      </c>
    </row>
    <row r="23" spans="1:4">
      <c r="A23" s="48"/>
      <c r="B23" s="48"/>
      <c r="C23" s="39"/>
      <c r="D23" s="39"/>
    </row>
    <row r="24" spans="1:4">
      <c r="A24" s="47"/>
      <c r="B24" s="42"/>
      <c r="C24" s="39"/>
      <c r="D24" s="39"/>
    </row>
    <row r="25" spans="1:4">
      <c r="A25" s="47"/>
      <c r="B25" s="48"/>
      <c r="C25" s="39"/>
      <c r="D25" s="39"/>
    </row>
    <row r="26" spans="1:4">
      <c r="A26" s="48"/>
      <c r="B26" s="48"/>
      <c r="C26" s="39"/>
      <c r="D26" s="39"/>
    </row>
    <row r="27" spans="1:4">
      <c r="A27" s="47"/>
      <c r="B27" s="48"/>
      <c r="C27" s="39"/>
      <c r="D27" s="39"/>
    </row>
    <row r="28" spans="1:4">
      <c r="A28" s="47"/>
      <c r="B28" s="47"/>
      <c r="C28" s="39"/>
      <c r="D28" s="39"/>
    </row>
    <row r="29" spans="1:4">
      <c r="A29" s="47"/>
      <c r="B29" s="48"/>
      <c r="C29" s="39"/>
      <c r="D29" s="39"/>
    </row>
    <row r="30" spans="1:4">
      <c r="A30" s="42"/>
      <c r="B30" s="48"/>
      <c r="C30" s="39"/>
      <c r="D30" s="39"/>
    </row>
    <row r="31" spans="1:4">
      <c r="A31" s="42"/>
      <c r="B31" s="42"/>
      <c r="C31" s="39"/>
      <c r="D31" s="39"/>
    </row>
    <row r="32" spans="1:4">
      <c r="A32" s="42"/>
      <c r="B32" s="42"/>
      <c r="C32" s="39"/>
      <c r="D32" s="39"/>
    </row>
    <row r="33" spans="1:4">
      <c r="A33" s="46"/>
      <c r="B33" s="48"/>
      <c r="C33" s="39"/>
      <c r="D33" s="39"/>
    </row>
    <row r="34" spans="1:4">
      <c r="A34" s="46"/>
      <c r="B34" s="48"/>
      <c r="C34" s="39"/>
      <c r="D34" s="39"/>
    </row>
    <row r="35" spans="1:4">
      <c r="A35" s="46"/>
      <c r="B35" s="48"/>
      <c r="C35" s="39"/>
      <c r="D35" s="39"/>
    </row>
    <row r="36" spans="1:4">
      <c r="A36" s="42"/>
      <c r="B36" s="42"/>
      <c r="C36" s="39"/>
      <c r="D36" s="39"/>
    </row>
    <row r="37" spans="1:4">
      <c r="A37" s="46"/>
      <c r="B37" s="48"/>
      <c r="C37" s="39"/>
      <c r="D37" s="39"/>
    </row>
    <row r="38" spans="1:4">
      <c r="A38" s="42"/>
      <c r="B38" s="42"/>
      <c r="C38" s="39"/>
      <c r="D38" s="39"/>
    </row>
    <row r="39" spans="1:4">
      <c r="A39" s="46"/>
      <c r="B39" s="48"/>
      <c r="C39" s="39"/>
      <c r="D39" s="39"/>
    </row>
    <row r="40" spans="1:4">
      <c r="A40" s="42"/>
      <c r="B40" s="48"/>
      <c r="C40" s="39"/>
      <c r="D40" s="39"/>
    </row>
    <row r="41" spans="1:4">
      <c r="A41" s="42"/>
      <c r="B41" s="48"/>
      <c r="C41" s="39"/>
      <c r="D41" s="39"/>
    </row>
    <row r="42" spans="1:4">
      <c r="A42" s="48"/>
      <c r="B42" s="48"/>
      <c r="C42" s="39"/>
      <c r="D42" s="39"/>
    </row>
    <row r="43" spans="1:4">
      <c r="A43"/>
      <c r="B43" s="48"/>
      <c r="C43" s="39"/>
      <c r="D43" s="39"/>
    </row>
    <row r="44" spans="1:4">
      <c r="A44" s="42"/>
      <c r="B44" s="48"/>
      <c r="C44" s="39"/>
      <c r="D44" s="39"/>
    </row>
    <row r="45" spans="1:4">
      <c r="A45"/>
      <c r="B45" s="48"/>
      <c r="C45" s="39"/>
      <c r="D45" s="39"/>
    </row>
    <row r="46" spans="1:4">
      <c r="A46" s="48"/>
      <c r="B46" s="48"/>
      <c r="C46" s="39"/>
      <c r="D46" s="39"/>
    </row>
    <row r="47" spans="1:4">
      <c r="A47" s="48"/>
      <c r="B47" s="48"/>
      <c r="C47" s="39"/>
      <c r="D47" s="39"/>
    </row>
    <row r="48" spans="1:4">
      <c r="A48" s="48"/>
      <c r="B48" s="48"/>
      <c r="C48" s="39"/>
      <c r="D48" s="39"/>
    </row>
    <row r="49" spans="1:2">
      <c r="A49" s="48"/>
      <c r="B49" s="48"/>
    </row>
    <row r="50" spans="1:2">
      <c r="A50" s="48"/>
      <c r="B50" s="48"/>
    </row>
    <row r="51" spans="1:2">
      <c r="A51" s="48"/>
      <c r="B51" s="48"/>
    </row>
    <row r="52" spans="1:2">
      <c r="A52" s="48"/>
      <c r="B52" s="48"/>
    </row>
    <row r="53" spans="1:2">
      <c r="A53" s="48"/>
      <c r="B53" s="48"/>
    </row>
    <row r="54" spans="1:2">
      <c r="A54" s="48"/>
      <c r="B54" s="48"/>
    </row>
    <row r="55" spans="1:2">
      <c r="A55" s="48"/>
      <c r="B55" s="48"/>
    </row>
    <row r="56" spans="1:2">
      <c r="A56" s="48"/>
      <c r="B56" s="48"/>
    </row>
    <row r="57" spans="1:2">
      <c r="A57" s="48"/>
      <c r="B57" s="48"/>
    </row>
    <row r="58" spans="1:2">
      <c r="A58" s="48"/>
      <c r="B58" s="48"/>
    </row>
    <row r="59" spans="1:2">
      <c r="A59" s="48"/>
      <c r="B59" s="48"/>
    </row>
    <row r="60" spans="1:2">
      <c r="A60" s="48"/>
      <c r="B60" s="48"/>
    </row>
    <row r="61" spans="1:2">
      <c r="A61" s="48"/>
      <c r="B61" s="48"/>
    </row>
    <row r="62" spans="1:2">
      <c r="A62" s="48"/>
      <c r="B62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workbookViewId="0"/>
  </sheetViews>
  <sheetFormatPr defaultRowHeight="12.75"/>
  <cols>
    <col min="1" max="4" width="25.7109375" customWidth="1"/>
  </cols>
  <sheetData>
    <row r="2" spans="1:6">
      <c r="E2">
        <v>2015</v>
      </c>
      <c r="F2">
        <v>2014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15930</v>
      </c>
      <c r="F5">
        <v>13469</v>
      </c>
    </row>
    <row r="6" spans="1:6">
      <c r="A6" t="s">
        <v>377</v>
      </c>
      <c r="B6" t="s">
        <v>103</v>
      </c>
      <c r="C6" t="s">
        <v>103</v>
      </c>
      <c r="D6" t="s">
        <v>80</v>
      </c>
      <c r="E6">
        <v>1343</v>
      </c>
      <c r="F6">
        <v>1656</v>
      </c>
    </row>
    <row r="7" spans="1:6">
      <c r="A7" t="s">
        <v>378</v>
      </c>
      <c r="B7" t="s">
        <v>352</v>
      </c>
      <c r="C7" t="s">
        <v>137</v>
      </c>
      <c r="D7" t="s">
        <v>116</v>
      </c>
      <c r="E7">
        <v>16675</v>
      </c>
      <c r="F7">
        <v>27297</v>
      </c>
    </row>
    <row r="8" spans="1:6">
      <c r="A8" t="s">
        <v>379</v>
      </c>
      <c r="B8" t="s">
        <v>136</v>
      </c>
      <c r="C8" t="s">
        <v>136</v>
      </c>
      <c r="D8" t="s">
        <v>116</v>
      </c>
      <c r="E8">
        <v>5312</v>
      </c>
      <c r="F8">
        <v>5791</v>
      </c>
    </row>
    <row r="9" spans="1:6">
      <c r="A9" t="s">
        <v>380</v>
      </c>
      <c r="B9" t="s">
        <v>126</v>
      </c>
      <c r="C9" t="s">
        <v>126</v>
      </c>
      <c r="D9" t="s">
        <v>116</v>
      </c>
      <c r="E9">
        <v>14915</v>
      </c>
      <c r="F9">
        <v>19722</v>
      </c>
    </row>
    <row r="10" spans="1:6">
      <c r="A10" t="s">
        <v>381</v>
      </c>
      <c r="B10" t="s">
        <v>126</v>
      </c>
      <c r="C10" t="s">
        <v>126</v>
      </c>
      <c r="D10" t="s">
        <v>116</v>
      </c>
      <c r="E10">
        <v>11255</v>
      </c>
      <c r="F10">
        <v>14919</v>
      </c>
    </row>
    <row r="11" spans="1:6">
      <c r="A11" t="s">
        <v>382</v>
      </c>
      <c r="B11" t="s">
        <v>139</v>
      </c>
      <c r="C11" t="s">
        <v>139</v>
      </c>
      <c r="D11" t="s">
        <v>116</v>
      </c>
      <c r="E11">
        <v>1185</v>
      </c>
      <c r="F11">
        <v>1555</v>
      </c>
    </row>
    <row r="12" spans="1:6">
      <c r="A12" t="s">
        <v>383</v>
      </c>
      <c r="B12" t="s">
        <v>12</v>
      </c>
      <c r="C12" t="s">
        <v>12</v>
      </c>
      <c r="D12" t="s">
        <v>116</v>
      </c>
      <c r="E12">
        <v>66615</v>
      </c>
      <c r="F12">
        <v>84409</v>
      </c>
    </row>
    <row r="13" spans="1:6">
      <c r="A13" t="s">
        <v>384</v>
      </c>
      <c r="B13" t="s">
        <v>385</v>
      </c>
      <c r="C13" t="s">
        <v>84</v>
      </c>
      <c r="D13" t="s">
        <v>116</v>
      </c>
    </row>
    <row r="14" spans="1:6">
      <c r="A14" t="s">
        <v>386</v>
      </c>
      <c r="B14" t="s">
        <v>81</v>
      </c>
      <c r="C14" t="s">
        <v>81</v>
      </c>
      <c r="D14" t="s">
        <v>80</v>
      </c>
      <c r="E14">
        <v>116209</v>
      </c>
      <c r="F14">
        <v>118053</v>
      </c>
    </row>
    <row r="15" spans="1:6">
      <c r="A15" t="s">
        <v>387</v>
      </c>
      <c r="B15" t="s">
        <v>388</v>
      </c>
      <c r="C15" t="s">
        <v>84</v>
      </c>
      <c r="D15" t="s">
        <v>80</v>
      </c>
      <c r="E15">
        <v>347963</v>
      </c>
      <c r="F15">
        <v>321730</v>
      </c>
    </row>
    <row r="16" spans="1:6">
      <c r="A16" t="s">
        <v>389</v>
      </c>
      <c r="B16" t="s">
        <v>385</v>
      </c>
      <c r="C16" t="s">
        <v>84</v>
      </c>
      <c r="D16" t="s">
        <v>80</v>
      </c>
      <c r="E16">
        <v>131027</v>
      </c>
      <c r="F16">
        <v>124435</v>
      </c>
    </row>
    <row r="17" spans="1:6">
      <c r="D17" t="s">
        <v>80</v>
      </c>
      <c r="E17">
        <v>595199</v>
      </c>
      <c r="F17">
        <v>564218</v>
      </c>
    </row>
    <row r="18" spans="1:6">
      <c r="A18" t="s">
        <v>390</v>
      </c>
      <c r="B18" t="s">
        <v>187</v>
      </c>
      <c r="C18" t="s">
        <v>187</v>
      </c>
      <c r="D18" t="s">
        <v>80</v>
      </c>
      <c r="E18">
        <v>-149964</v>
      </c>
      <c r="F18">
        <v>-106608</v>
      </c>
    </row>
    <row r="19" spans="1:6">
      <c r="D19" t="s">
        <v>80</v>
      </c>
      <c r="E19">
        <v>445235</v>
      </c>
      <c r="F19">
        <v>457610</v>
      </c>
    </row>
    <row r="20" spans="1:6">
      <c r="A20" t="s">
        <v>391</v>
      </c>
      <c r="D20" t="s">
        <v>80</v>
      </c>
      <c r="E20">
        <v>12365</v>
      </c>
      <c r="F20">
        <v>13896</v>
      </c>
    </row>
    <row r="21" spans="1:6">
      <c r="A21" t="s">
        <v>392</v>
      </c>
      <c r="D21" t="s">
        <v>80</v>
      </c>
      <c r="E21">
        <v>4747</v>
      </c>
      <c r="F21">
        <v>4821</v>
      </c>
    </row>
    <row r="22" spans="1:6">
      <c r="A22" t="s">
        <v>393</v>
      </c>
      <c r="B22" t="s">
        <v>113</v>
      </c>
      <c r="C22" t="s">
        <v>113</v>
      </c>
      <c r="D22" t="s">
        <v>80</v>
      </c>
      <c r="E22">
        <v>16528</v>
      </c>
      <c r="F22">
        <v>18849</v>
      </c>
    </row>
    <row r="23" spans="1:6">
      <c r="D23" t="s">
        <v>80</v>
      </c>
      <c r="E23">
        <v>545490</v>
      </c>
      <c r="F23">
        <v>579585</v>
      </c>
    </row>
    <row r="24" spans="1:6">
      <c r="A24" t="s">
        <v>394</v>
      </c>
      <c r="D24" t="s">
        <v>80</v>
      </c>
    </row>
    <row r="25" spans="1:6">
      <c r="A25" t="s">
        <v>395</v>
      </c>
      <c r="B25" t="s">
        <v>141</v>
      </c>
      <c r="C25" t="s">
        <v>141</v>
      </c>
      <c r="D25" t="s">
        <v>141</v>
      </c>
    </row>
    <row r="26" spans="1:6">
      <c r="A26" t="s">
        <v>396</v>
      </c>
      <c r="B26" t="s">
        <v>149</v>
      </c>
      <c r="C26" t="s">
        <v>149</v>
      </c>
      <c r="D26" t="s">
        <v>141</v>
      </c>
      <c r="E26">
        <v>26250</v>
      </c>
      <c r="F26">
        <v>21875</v>
      </c>
    </row>
    <row r="27" spans="1:6">
      <c r="A27" t="s">
        <v>397</v>
      </c>
      <c r="B27" t="s">
        <v>151</v>
      </c>
      <c r="C27" t="s">
        <v>151</v>
      </c>
      <c r="D27" t="s">
        <v>141</v>
      </c>
      <c r="E27">
        <v>26184</v>
      </c>
      <c r="F27">
        <v>28105</v>
      </c>
    </row>
    <row r="28" spans="1:6">
      <c r="A28" t="s">
        <v>398</v>
      </c>
      <c r="B28" t="s">
        <v>13</v>
      </c>
      <c r="C28" t="s">
        <v>13</v>
      </c>
      <c r="D28" t="s">
        <v>141</v>
      </c>
      <c r="E28">
        <v>52434</v>
      </c>
      <c r="F28">
        <v>49980</v>
      </c>
    </row>
    <row r="29" spans="1:6">
      <c r="A29" t="s">
        <v>399</v>
      </c>
      <c r="B29" t="s">
        <v>180</v>
      </c>
      <c r="C29" t="s">
        <v>180</v>
      </c>
      <c r="D29" t="s">
        <v>165</v>
      </c>
    </row>
    <row r="30" spans="1:6">
      <c r="A30" t="s">
        <v>400</v>
      </c>
      <c r="B30" t="s">
        <v>169</v>
      </c>
      <c r="C30" t="s">
        <v>168</v>
      </c>
      <c r="D30" t="s">
        <v>165</v>
      </c>
      <c r="E30">
        <v>223220</v>
      </c>
      <c r="F30">
        <v>284470</v>
      </c>
    </row>
    <row r="31" spans="1:6">
      <c r="A31" t="s">
        <v>401</v>
      </c>
      <c r="B31" t="s">
        <v>101</v>
      </c>
      <c r="C31" t="s">
        <v>101</v>
      </c>
      <c r="D31" t="s">
        <v>80</v>
      </c>
      <c r="E31">
        <v>49033</v>
      </c>
      <c r="F31">
        <v>41581</v>
      </c>
    </row>
    <row r="32" spans="1:6">
      <c r="A32" t="s">
        <v>402</v>
      </c>
      <c r="B32" t="s">
        <v>180</v>
      </c>
      <c r="C32" t="s">
        <v>180</v>
      </c>
      <c r="D32" t="s">
        <v>165</v>
      </c>
      <c r="E32">
        <v>12231</v>
      </c>
      <c r="F32">
        <v>12074</v>
      </c>
    </row>
    <row r="33" spans="1:6">
      <c r="A33" t="s">
        <v>382</v>
      </c>
      <c r="B33" t="s">
        <v>139</v>
      </c>
      <c r="C33" t="s">
        <v>139</v>
      </c>
      <c r="D33" t="s">
        <v>116</v>
      </c>
      <c r="E33">
        <v>1752</v>
      </c>
      <c r="F33">
        <v>1605</v>
      </c>
    </row>
    <row r="34" spans="1:6">
      <c r="A34" t="s">
        <v>403</v>
      </c>
      <c r="B34" t="s">
        <v>180</v>
      </c>
      <c r="C34" t="s">
        <v>180</v>
      </c>
      <c r="D34" t="s">
        <v>165</v>
      </c>
      <c r="E34">
        <v>286236</v>
      </c>
      <c r="F34">
        <v>339730</v>
      </c>
    </row>
    <row r="35" spans="1:6">
      <c r="A35" t="s">
        <v>404</v>
      </c>
      <c r="B35" t="s">
        <v>164</v>
      </c>
      <c r="C35" t="s">
        <v>164</v>
      </c>
      <c r="D35" t="s">
        <v>165</v>
      </c>
      <c r="E35">
        <v>338670</v>
      </c>
      <c r="F35">
        <v>389710</v>
      </c>
    </row>
    <row r="36" spans="1:6">
      <c r="A36" t="s">
        <v>405</v>
      </c>
      <c r="B36" t="s">
        <v>180</v>
      </c>
      <c r="C36" t="s">
        <v>180</v>
      </c>
      <c r="D36" t="s">
        <v>165</v>
      </c>
    </row>
    <row r="37" spans="1:6">
      <c r="A37" t="s">
        <v>406</v>
      </c>
      <c r="B37" t="s">
        <v>181</v>
      </c>
      <c r="C37" t="s">
        <v>181</v>
      </c>
      <c r="D37" t="s">
        <v>165</v>
      </c>
    </row>
    <row r="38" spans="1:6">
      <c r="A38" t="s">
        <v>407</v>
      </c>
      <c r="B38" t="s">
        <v>183</v>
      </c>
      <c r="C38" t="s">
        <v>183</v>
      </c>
      <c r="D38" t="s">
        <v>181</v>
      </c>
    </row>
    <row r="39" spans="1:6">
      <c r="A39" t="s">
        <v>408</v>
      </c>
      <c r="B39" t="s">
        <v>182</v>
      </c>
      <c r="C39" t="s">
        <v>182</v>
      </c>
      <c r="D39" t="s">
        <v>181</v>
      </c>
      <c r="E39">
        <v>292</v>
      </c>
      <c r="F39">
        <v>289</v>
      </c>
    </row>
    <row r="40" spans="1:6">
      <c r="A40" t="s">
        <v>409</v>
      </c>
      <c r="B40" t="s">
        <v>182</v>
      </c>
      <c r="C40" t="s">
        <v>182</v>
      </c>
      <c r="D40" t="s">
        <v>181</v>
      </c>
      <c r="E40">
        <v>92275</v>
      </c>
      <c r="F40">
        <v>90218</v>
      </c>
    </row>
    <row r="41" spans="1:6">
      <c r="A41" t="s">
        <v>410</v>
      </c>
      <c r="B41" t="s">
        <v>187</v>
      </c>
      <c r="C41" t="s">
        <v>187</v>
      </c>
      <c r="D41" t="s">
        <v>181</v>
      </c>
      <c r="E41">
        <v>114341</v>
      </c>
      <c r="F41">
        <v>99003</v>
      </c>
    </row>
    <row r="42" spans="1:6">
      <c r="A42" t="s">
        <v>411</v>
      </c>
      <c r="B42" t="s">
        <v>185</v>
      </c>
      <c r="C42" t="s">
        <v>185</v>
      </c>
      <c r="D42" t="s">
        <v>181</v>
      </c>
      <c r="E42">
        <v>-88</v>
      </c>
      <c r="F42">
        <v>365</v>
      </c>
    </row>
    <row r="43" spans="1:6">
      <c r="A43" t="s">
        <v>412</v>
      </c>
      <c r="B43" t="s">
        <v>195</v>
      </c>
      <c r="C43" t="s">
        <v>195</v>
      </c>
      <c r="D43" t="s">
        <v>181</v>
      </c>
      <c r="E43">
        <v>206820</v>
      </c>
      <c r="F43">
        <v>189875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2.75"/>
  <cols>
    <col min="1" max="4" width="25.7109375" customWidth="1"/>
  </cols>
  <sheetData>
    <row r="1" spans="1:7">
      <c r="E1">
        <v>2015</v>
      </c>
      <c r="F1">
        <v>2014</v>
      </c>
      <c r="G1">
        <v>2013</v>
      </c>
    </row>
    <row r="2" spans="1:7">
      <c r="A2" t="s">
        <v>413</v>
      </c>
      <c r="B2" t="s">
        <v>414</v>
      </c>
      <c r="C2" t="s">
        <v>26</v>
      </c>
      <c r="D2" t="s">
        <v>414</v>
      </c>
    </row>
    <row r="3" spans="1:7">
      <c r="A3" t="s">
        <v>415</v>
      </c>
      <c r="B3" t="s">
        <v>26</v>
      </c>
      <c r="C3" t="s">
        <v>26</v>
      </c>
      <c r="D3" t="s">
        <v>414</v>
      </c>
      <c r="E3">
        <v>339490</v>
      </c>
      <c r="F3">
        <v>233902</v>
      </c>
      <c r="G3">
        <v>137436</v>
      </c>
    </row>
    <row r="4" spans="1:7">
      <c r="A4" t="s">
        <v>416</v>
      </c>
      <c r="B4" t="s">
        <v>50</v>
      </c>
      <c r="C4" t="s">
        <v>50</v>
      </c>
      <c r="D4" t="s">
        <v>414</v>
      </c>
      <c r="E4">
        <v>-1532</v>
      </c>
      <c r="F4">
        <v>5272</v>
      </c>
      <c r="G4">
        <v>5827</v>
      </c>
    </row>
    <row r="5" spans="1:7">
      <c r="A5" t="s">
        <v>417</v>
      </c>
      <c r="B5" t="s">
        <v>50</v>
      </c>
      <c r="C5" t="s">
        <v>50</v>
      </c>
      <c r="D5" t="s">
        <v>414</v>
      </c>
      <c r="E5">
        <v>-74</v>
      </c>
      <c r="F5">
        <v>248</v>
      </c>
      <c r="G5">
        <v>629</v>
      </c>
    </row>
    <row r="6" spans="1:7">
      <c r="A6" t="s">
        <v>418</v>
      </c>
      <c r="B6" t="s">
        <v>419</v>
      </c>
      <c r="C6" t="s">
        <v>33</v>
      </c>
      <c r="D6" t="s">
        <v>414</v>
      </c>
      <c r="G6">
        <v>4300</v>
      </c>
    </row>
    <row r="7" spans="1:7">
      <c r="A7" t="s">
        <v>420</v>
      </c>
      <c r="B7" t="s">
        <v>419</v>
      </c>
      <c r="C7" t="s">
        <v>33</v>
      </c>
      <c r="D7" t="s">
        <v>414</v>
      </c>
      <c r="E7">
        <v>2236</v>
      </c>
      <c r="F7">
        <v>1749</v>
      </c>
      <c r="G7">
        <v>5678</v>
      </c>
    </row>
    <row r="8" spans="1:7">
      <c r="D8" t="s">
        <v>414</v>
      </c>
      <c r="E8">
        <v>340120</v>
      </c>
      <c r="F8">
        <v>241171</v>
      </c>
      <c r="G8">
        <v>153870</v>
      </c>
    </row>
    <row r="9" spans="1:7">
      <c r="A9" t="s">
        <v>421</v>
      </c>
      <c r="D9" t="s">
        <v>414</v>
      </c>
    </row>
    <row r="10" spans="1:7">
      <c r="A10" t="s">
        <v>422</v>
      </c>
      <c r="B10" t="s">
        <v>38</v>
      </c>
      <c r="C10" t="s">
        <v>38</v>
      </c>
      <c r="D10" t="s">
        <v>414</v>
      </c>
      <c r="E10">
        <v>-237897</v>
      </c>
      <c r="F10">
        <v>-169691</v>
      </c>
      <c r="G10">
        <v>94111</v>
      </c>
    </row>
    <row r="11" spans="1:7">
      <c r="A11" t="s">
        <v>423</v>
      </c>
      <c r="B11" t="s">
        <v>42</v>
      </c>
      <c r="C11" t="s">
        <v>42</v>
      </c>
      <c r="D11" t="s">
        <v>414</v>
      </c>
      <c r="E11">
        <v>43942</v>
      </c>
      <c r="F11">
        <v>29262</v>
      </c>
      <c r="G11">
        <v>18585</v>
      </c>
    </row>
    <row r="12" spans="1:7">
      <c r="A12" t="s">
        <v>424</v>
      </c>
      <c r="B12" t="s">
        <v>27</v>
      </c>
      <c r="C12" t="s">
        <v>27</v>
      </c>
      <c r="D12" t="s">
        <v>414</v>
      </c>
      <c r="E12">
        <v>2039</v>
      </c>
      <c r="F12">
        <v>2362</v>
      </c>
      <c r="G12">
        <v>2360</v>
      </c>
    </row>
    <row r="13" spans="1:7">
      <c r="A13" t="s">
        <v>425</v>
      </c>
      <c r="B13" t="s">
        <v>426</v>
      </c>
      <c r="C13" t="s">
        <v>35</v>
      </c>
      <c r="D13" t="s">
        <v>414</v>
      </c>
      <c r="E13">
        <v>12617</v>
      </c>
      <c r="F13">
        <v>12039</v>
      </c>
      <c r="G13">
        <v>7669</v>
      </c>
    </row>
    <row r="14" spans="1:7">
      <c r="A14" t="s">
        <v>427</v>
      </c>
      <c r="B14" t="s">
        <v>50</v>
      </c>
      <c r="C14" t="s">
        <v>50</v>
      </c>
      <c r="D14" t="s">
        <v>414</v>
      </c>
      <c r="E14">
        <v>16055</v>
      </c>
      <c r="F14">
        <v>9059</v>
      </c>
      <c r="G14">
        <v>1547</v>
      </c>
    </row>
    <row r="15" spans="1:7">
      <c r="A15" t="s">
        <v>428</v>
      </c>
      <c r="D15" t="s">
        <v>414</v>
      </c>
      <c r="F15">
        <v>8057</v>
      </c>
    </row>
    <row r="16" spans="1:7">
      <c r="D16" t="s">
        <v>414</v>
      </c>
      <c r="E16">
        <v>312550</v>
      </c>
      <c r="F16">
        <v>230470</v>
      </c>
      <c r="G16">
        <v>124272</v>
      </c>
    </row>
    <row r="17" spans="1:7">
      <c r="A17" t="s">
        <v>429</v>
      </c>
      <c r="B17" t="s">
        <v>430</v>
      </c>
      <c r="C17" t="s">
        <v>61</v>
      </c>
      <c r="D17" t="s">
        <v>414</v>
      </c>
      <c r="E17">
        <v>27570</v>
      </c>
      <c r="F17">
        <v>10701</v>
      </c>
      <c r="G17">
        <v>29598</v>
      </c>
    </row>
    <row r="18" spans="1:7">
      <c r="A18" t="s">
        <v>431</v>
      </c>
      <c r="B18" t="s">
        <v>430</v>
      </c>
      <c r="C18" t="s">
        <v>61</v>
      </c>
      <c r="D18" t="s">
        <v>414</v>
      </c>
    </row>
    <row r="19" spans="1:7">
      <c r="A19" t="s">
        <v>432</v>
      </c>
      <c r="B19" t="s">
        <v>62</v>
      </c>
      <c r="C19" t="s">
        <v>62</v>
      </c>
      <c r="D19" t="s">
        <v>414</v>
      </c>
      <c r="E19">
        <v>-14</v>
      </c>
      <c r="F19">
        <v>2205</v>
      </c>
      <c r="G19">
        <v>-266</v>
      </c>
    </row>
    <row r="20" spans="1:7">
      <c r="A20" t="s">
        <v>433</v>
      </c>
      <c r="B20" t="s">
        <v>63</v>
      </c>
      <c r="C20" t="s">
        <v>63</v>
      </c>
      <c r="D20" t="s">
        <v>414</v>
      </c>
      <c r="E20">
        <v>-7452</v>
      </c>
      <c r="F20">
        <v>-1723</v>
      </c>
      <c r="G20">
        <v>7441</v>
      </c>
    </row>
    <row r="21" spans="1:7">
      <c r="D21" t="s">
        <v>414</v>
      </c>
      <c r="E21">
        <v>7438</v>
      </c>
      <c r="F21">
        <v>482</v>
      </c>
      <c r="G21">
        <v>7175</v>
      </c>
    </row>
    <row r="22" spans="1:7">
      <c r="A22" t="s">
        <v>434</v>
      </c>
      <c r="B22" t="s">
        <v>70</v>
      </c>
      <c r="C22" t="s">
        <v>70</v>
      </c>
      <c r="D22" t="s">
        <v>414</v>
      </c>
      <c r="E22">
        <v>20132</v>
      </c>
      <c r="F22">
        <v>10219</v>
      </c>
      <c r="G22">
        <v>22423</v>
      </c>
    </row>
    <row r="23" spans="1:7">
      <c r="A23" t="s">
        <v>435</v>
      </c>
      <c r="D23" t="s">
        <v>414</v>
      </c>
    </row>
    <row r="24" spans="1:7">
      <c r="A24" t="s">
        <v>436</v>
      </c>
      <c r="D24" t="s">
        <v>414</v>
      </c>
      <c r="E24">
        <v>68</v>
      </c>
      <c r="F24">
        <v>34</v>
      </c>
      <c r="G24">
        <v>78</v>
      </c>
    </row>
    <row r="25" spans="1:7">
      <c r="A25" t="s">
        <v>437</v>
      </c>
      <c r="D25" t="s">
        <v>414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/>
  </sheetViews>
  <sheetFormatPr defaultRowHeight="12.75"/>
  <cols>
    <col min="1" max="4" width="25.7109375" customWidth="1"/>
  </cols>
  <sheetData>
    <row r="2" spans="1:7">
      <c r="E2">
        <v>2015</v>
      </c>
      <c r="F2">
        <v>2014</v>
      </c>
      <c r="G2">
        <v>2013</v>
      </c>
    </row>
    <row r="3" spans="1:7">
      <c r="A3" t="s">
        <v>438</v>
      </c>
      <c r="B3" t="s">
        <v>231</v>
      </c>
      <c r="C3" t="s">
        <v>231</v>
      </c>
      <c r="D3" t="s">
        <v>439</v>
      </c>
    </row>
    <row r="4" spans="1:7">
      <c r="A4" t="s">
        <v>440</v>
      </c>
      <c r="B4" t="s">
        <v>232</v>
      </c>
      <c r="C4" t="s">
        <v>232</v>
      </c>
      <c r="D4" t="s">
        <v>439</v>
      </c>
      <c r="E4">
        <v>20132</v>
      </c>
      <c r="F4">
        <v>10219</v>
      </c>
      <c r="G4">
        <v>22423</v>
      </c>
    </row>
    <row r="5" spans="1:7">
      <c r="A5" t="s">
        <v>441</v>
      </c>
      <c r="G5">
        <v>-4300</v>
      </c>
    </row>
    <row r="6" spans="1:7">
      <c r="A6" t="s">
        <v>401</v>
      </c>
      <c r="B6" t="s">
        <v>269</v>
      </c>
      <c r="C6" t="s">
        <v>269</v>
      </c>
      <c r="E6">
        <v>7452</v>
      </c>
      <c r="F6">
        <v>-1723</v>
      </c>
      <c r="G6">
        <v>7441</v>
      </c>
    </row>
    <row r="7" spans="1:7">
      <c r="A7" t="s">
        <v>442</v>
      </c>
      <c r="E7">
        <v>1606</v>
      </c>
      <c r="F7">
        <v>-5520</v>
      </c>
      <c r="G7">
        <v>-6456</v>
      </c>
    </row>
    <row r="8" spans="1:7">
      <c r="A8" t="s">
        <v>443</v>
      </c>
      <c r="F8">
        <v>8109</v>
      </c>
      <c r="G8">
        <v>1325</v>
      </c>
    </row>
    <row r="9" spans="1:7">
      <c r="A9" t="s">
        <v>423</v>
      </c>
      <c r="E9">
        <v>43942</v>
      </c>
      <c r="F9">
        <v>29262</v>
      </c>
      <c r="G9">
        <v>18585</v>
      </c>
    </row>
    <row r="10" spans="1:7">
      <c r="A10" t="s">
        <v>444</v>
      </c>
      <c r="B10" t="s">
        <v>241</v>
      </c>
      <c r="C10" t="s">
        <v>241</v>
      </c>
      <c r="D10" t="s">
        <v>439</v>
      </c>
      <c r="E10">
        <v>159</v>
      </c>
      <c r="F10">
        <v>658</v>
      </c>
    </row>
    <row r="11" spans="1:7">
      <c r="A11" t="s">
        <v>445</v>
      </c>
      <c r="B11" t="s">
        <v>240</v>
      </c>
      <c r="C11" t="s">
        <v>240</v>
      </c>
      <c r="D11" t="s">
        <v>439</v>
      </c>
      <c r="E11">
        <v>1394</v>
      </c>
      <c r="F11">
        <v>1572</v>
      </c>
      <c r="G11">
        <v>299</v>
      </c>
    </row>
    <row r="12" spans="1:7">
      <c r="A12" t="s">
        <v>446</v>
      </c>
      <c r="E12">
        <v>498</v>
      </c>
      <c r="F12">
        <v>534</v>
      </c>
      <c r="G12">
        <v>182</v>
      </c>
    </row>
    <row r="13" spans="1:7">
      <c r="A13" t="s">
        <v>447</v>
      </c>
      <c r="B13" t="s">
        <v>248</v>
      </c>
      <c r="C13" t="s">
        <v>248</v>
      </c>
      <c r="D13" t="s">
        <v>439</v>
      </c>
      <c r="E13">
        <v>3134</v>
      </c>
      <c r="F13">
        <v>3220</v>
      </c>
      <c r="G13">
        <v>2155</v>
      </c>
    </row>
    <row r="14" spans="1:7">
      <c r="A14" t="s">
        <v>448</v>
      </c>
      <c r="E14">
        <v>-1029</v>
      </c>
      <c r="F14">
        <v>-1067</v>
      </c>
      <c r="G14">
        <v>-780</v>
      </c>
    </row>
    <row r="15" spans="1:7">
      <c r="A15" t="s">
        <v>449</v>
      </c>
    </row>
    <row r="16" spans="1:7">
      <c r="A16" t="s">
        <v>378</v>
      </c>
      <c r="B16" t="s">
        <v>265</v>
      </c>
      <c r="C16" t="s">
        <v>265</v>
      </c>
      <c r="D16" t="s">
        <v>439</v>
      </c>
      <c r="E16">
        <v>10627</v>
      </c>
      <c r="F16">
        <v>-324</v>
      </c>
      <c r="G16">
        <v>-2394</v>
      </c>
    </row>
    <row r="17" spans="1:7">
      <c r="A17" t="s">
        <v>380</v>
      </c>
      <c r="B17" t="s">
        <v>261</v>
      </c>
      <c r="C17" t="s">
        <v>261</v>
      </c>
      <c r="E17">
        <v>4807</v>
      </c>
      <c r="F17">
        <v>6540</v>
      </c>
      <c r="G17">
        <v>-2436</v>
      </c>
    </row>
    <row r="18" spans="1:7">
      <c r="A18" t="s">
        <v>381</v>
      </c>
      <c r="E18">
        <v>3664</v>
      </c>
      <c r="F18">
        <v>1083</v>
      </c>
      <c r="G18">
        <v>-562</v>
      </c>
    </row>
    <row r="19" spans="1:7">
      <c r="A19" t="s">
        <v>450</v>
      </c>
      <c r="E19">
        <v>448</v>
      </c>
      <c r="F19">
        <v>-160</v>
      </c>
      <c r="G19">
        <v>-6814</v>
      </c>
    </row>
    <row r="20" spans="1:7">
      <c r="A20" t="s">
        <v>397</v>
      </c>
      <c r="B20" t="s">
        <v>273</v>
      </c>
      <c r="C20" t="s">
        <v>273</v>
      </c>
      <c r="D20" t="s">
        <v>439</v>
      </c>
      <c r="E20">
        <v>-1686</v>
      </c>
      <c r="F20">
        <v>1409</v>
      </c>
      <c r="G20">
        <v>1130</v>
      </c>
    </row>
    <row r="21" spans="1:7">
      <c r="A21" t="s">
        <v>382</v>
      </c>
      <c r="B21" t="s">
        <v>251</v>
      </c>
      <c r="C21" t="s">
        <v>251</v>
      </c>
      <c r="D21" t="s">
        <v>439</v>
      </c>
      <c r="E21">
        <v>-492</v>
      </c>
      <c r="F21">
        <v>2054</v>
      </c>
      <c r="G21">
        <v>-2617</v>
      </c>
    </row>
    <row r="22" spans="1:7">
      <c r="A22" t="s">
        <v>451</v>
      </c>
      <c r="B22" t="s">
        <v>285</v>
      </c>
      <c r="C22" t="s">
        <v>285</v>
      </c>
      <c r="D22" t="s">
        <v>439</v>
      </c>
      <c r="E22">
        <v>94656</v>
      </c>
      <c r="F22">
        <v>55866</v>
      </c>
      <c r="G22">
        <v>27181</v>
      </c>
    </row>
    <row r="23" spans="1:7">
      <c r="A23" t="s">
        <v>452</v>
      </c>
      <c r="B23" t="s">
        <v>286</v>
      </c>
      <c r="C23" t="s">
        <v>286</v>
      </c>
      <c r="D23" t="s">
        <v>453</v>
      </c>
    </row>
    <row r="24" spans="1:7">
      <c r="A24" t="s">
        <v>454</v>
      </c>
      <c r="B24" t="s">
        <v>287</v>
      </c>
      <c r="C24" t="s">
        <v>287</v>
      </c>
      <c r="D24" t="s">
        <v>453</v>
      </c>
      <c r="E24">
        <v>-31167</v>
      </c>
      <c r="F24">
        <v>-25835</v>
      </c>
      <c r="G24">
        <v>-31392</v>
      </c>
    </row>
    <row r="25" spans="1:7">
      <c r="A25" t="s">
        <v>455</v>
      </c>
      <c r="D25" t="s">
        <v>453</v>
      </c>
      <c r="F25">
        <v>-311453</v>
      </c>
    </row>
    <row r="26" spans="1:7">
      <c r="A26" t="s">
        <v>382</v>
      </c>
      <c r="B26" t="s">
        <v>251</v>
      </c>
      <c r="C26" t="s">
        <v>251</v>
      </c>
      <c r="D26" t="s">
        <v>439</v>
      </c>
      <c r="E26">
        <v>641</v>
      </c>
      <c r="G26">
        <v>-2573</v>
      </c>
    </row>
    <row r="27" spans="1:7">
      <c r="A27" t="s">
        <v>456</v>
      </c>
      <c r="B27" t="s">
        <v>285</v>
      </c>
      <c r="C27" t="s">
        <v>285</v>
      </c>
      <c r="D27" t="s">
        <v>453</v>
      </c>
      <c r="E27">
        <v>-30526</v>
      </c>
      <c r="F27">
        <v>-337288</v>
      </c>
      <c r="G27">
        <v>-33965</v>
      </c>
    </row>
    <row r="28" spans="1:7">
      <c r="A28" t="s">
        <v>457</v>
      </c>
      <c r="B28" t="s">
        <v>297</v>
      </c>
      <c r="C28" t="s">
        <v>297</v>
      </c>
      <c r="D28" t="s">
        <v>458</v>
      </c>
    </row>
    <row r="29" spans="1:7">
      <c r="A29" t="s">
        <v>459</v>
      </c>
      <c r="B29" t="s">
        <v>302</v>
      </c>
      <c r="C29" t="s">
        <v>302</v>
      </c>
      <c r="D29" t="s">
        <v>453</v>
      </c>
      <c r="E29">
        <v>-56875</v>
      </c>
      <c r="F29">
        <v>-59655</v>
      </c>
    </row>
    <row r="30" spans="1:7">
      <c r="A30" t="s">
        <v>460</v>
      </c>
      <c r="D30" t="s">
        <v>453</v>
      </c>
      <c r="F30">
        <v>350000</v>
      </c>
      <c r="G30">
        <v>4600</v>
      </c>
    </row>
    <row r="31" spans="1:7">
      <c r="A31" t="s">
        <v>461</v>
      </c>
      <c r="B31" t="s">
        <v>462</v>
      </c>
      <c r="C31" t="s">
        <v>462</v>
      </c>
      <c r="D31" t="s">
        <v>453</v>
      </c>
      <c r="F31">
        <v>-6884</v>
      </c>
    </row>
    <row r="32" spans="1:7">
      <c r="A32" t="s">
        <v>463</v>
      </c>
      <c r="D32" t="s">
        <v>453</v>
      </c>
      <c r="E32">
        <v>-4794</v>
      </c>
      <c r="F32">
        <v>-4798</v>
      </c>
      <c r="G32">
        <v>-3476</v>
      </c>
    </row>
    <row r="33" spans="1:7">
      <c r="A33" t="s">
        <v>464</v>
      </c>
      <c r="B33" t="s">
        <v>311</v>
      </c>
      <c r="C33" t="s">
        <v>311</v>
      </c>
      <c r="D33" t="s">
        <v>458</v>
      </c>
      <c r="E33">
        <v>-61669</v>
      </c>
      <c r="F33">
        <v>278663</v>
      </c>
      <c r="G33">
        <v>1124</v>
      </c>
    </row>
    <row r="34" spans="1:7">
      <c r="A34" t="s">
        <v>465</v>
      </c>
      <c r="B34" t="s">
        <v>314</v>
      </c>
      <c r="C34" t="s">
        <v>314</v>
      </c>
      <c r="D34" t="s">
        <v>458</v>
      </c>
      <c r="E34">
        <v>2461</v>
      </c>
      <c r="F34">
        <v>-2759</v>
      </c>
      <c r="G34">
        <v>-5660</v>
      </c>
    </row>
    <row r="35" spans="1:7">
      <c r="A35" t="s">
        <v>466</v>
      </c>
      <c r="B35" t="s">
        <v>467</v>
      </c>
      <c r="C35" t="s">
        <v>315</v>
      </c>
      <c r="D35" t="s">
        <v>458</v>
      </c>
      <c r="E35">
        <v>13469</v>
      </c>
      <c r="F35">
        <v>16228</v>
      </c>
      <c r="G35">
        <v>21888</v>
      </c>
    </row>
    <row r="36" spans="1:7">
      <c r="A36" t="s">
        <v>468</v>
      </c>
      <c r="B36" t="s">
        <v>316</v>
      </c>
      <c r="C36" t="s">
        <v>316</v>
      </c>
      <c r="D36" t="s">
        <v>458</v>
      </c>
      <c r="E36">
        <v>15930</v>
      </c>
      <c r="F36">
        <v>13469</v>
      </c>
      <c r="G36">
        <v>16228</v>
      </c>
    </row>
    <row r="37" spans="1:7">
      <c r="A37" t="s">
        <v>469</v>
      </c>
      <c r="D37" t="s">
        <v>458</v>
      </c>
      <c r="E37">
        <v>14149</v>
      </c>
      <c r="F37">
        <v>5008</v>
      </c>
      <c r="G37">
        <v>1028</v>
      </c>
    </row>
    <row r="38" spans="1:7">
      <c r="A38" t="s">
        <v>470</v>
      </c>
      <c r="D38" t="s">
        <v>458</v>
      </c>
      <c r="E38">
        <v>-291</v>
      </c>
      <c r="F38">
        <v>2334</v>
      </c>
      <c r="G38">
        <v>6045</v>
      </c>
    </row>
    <row r="39" spans="1:7">
      <c r="A39" t="s">
        <v>471</v>
      </c>
      <c r="D39" t="s">
        <v>458</v>
      </c>
      <c r="F39">
        <v>6550</v>
      </c>
      <c r="G39">
        <v>2535</v>
      </c>
    </row>
    <row r="40" spans="1:7">
      <c r="D40" t="s">
        <v>458</v>
      </c>
    </row>
    <row r="41" spans="1:7">
      <c r="D41" t="s">
        <v>458</v>
      </c>
    </row>
    <row r="42" spans="1:7">
      <c r="D42" t="s">
        <v>458</v>
      </c>
    </row>
    <row r="43" spans="1:7">
      <c r="A43" t="s">
        <v>472</v>
      </c>
      <c r="D43" t="s">
        <v>458</v>
      </c>
      <c r="E43">
        <v>28529</v>
      </c>
      <c r="F43">
        <v>285</v>
      </c>
      <c r="G43">
        <v>86576</v>
      </c>
    </row>
    <row r="44" spans="1:7">
      <c r="A44" t="s">
        <v>473</v>
      </c>
      <c r="D44" t="s">
        <v>458</v>
      </c>
    </row>
    <row r="45" spans="1:7">
      <c r="A45" t="s">
        <v>447</v>
      </c>
      <c r="B45" t="s">
        <v>248</v>
      </c>
      <c r="C45" t="s">
        <v>248</v>
      </c>
      <c r="D45" t="s">
        <v>439</v>
      </c>
      <c r="E45">
        <v>13</v>
      </c>
      <c r="G45">
        <v>2155</v>
      </c>
    </row>
    <row r="46" spans="1:7">
      <c r="A46" t="s">
        <v>474</v>
      </c>
      <c r="D46" t="s">
        <v>439</v>
      </c>
      <c r="E46">
        <v>316</v>
      </c>
      <c r="F46">
        <v>2</v>
      </c>
    </row>
    <row r="47" spans="1:7">
      <c r="A47" t="s">
        <v>448</v>
      </c>
      <c r="D47" t="s">
        <v>439</v>
      </c>
      <c r="E47">
        <v>-107</v>
      </c>
      <c r="G47">
        <v>-780</v>
      </c>
    </row>
    <row r="48" spans="1:7">
      <c r="A48" t="s">
        <v>463</v>
      </c>
      <c r="D48" t="s">
        <v>439</v>
      </c>
    </row>
    <row r="49" spans="1:7">
      <c r="A49" t="s">
        <v>440</v>
      </c>
      <c r="B49" t="s">
        <v>292</v>
      </c>
      <c r="C49" t="s">
        <v>292</v>
      </c>
      <c r="D49" t="s">
        <v>439</v>
      </c>
    </row>
    <row r="50" spans="1:7">
      <c r="A50" t="s">
        <v>382</v>
      </c>
      <c r="B50" t="s">
        <v>251</v>
      </c>
      <c r="C50" t="s">
        <v>251</v>
      </c>
      <c r="D50" t="s">
        <v>439</v>
      </c>
      <c r="G50">
        <v>-79</v>
      </c>
    </row>
    <row r="51" spans="1:7">
      <c r="A51" t="s">
        <v>475</v>
      </c>
      <c r="D51" t="s">
        <v>439</v>
      </c>
      <c r="E51">
        <v>28751</v>
      </c>
      <c r="F51">
        <v>287</v>
      </c>
      <c r="G51">
        <v>87872</v>
      </c>
    </row>
    <row r="52" spans="1:7">
      <c r="A52" t="s">
        <v>447</v>
      </c>
      <c r="B52" t="s">
        <v>248</v>
      </c>
      <c r="C52" t="s">
        <v>248</v>
      </c>
      <c r="D52" t="s">
        <v>439</v>
      </c>
      <c r="E52">
        <v>7</v>
      </c>
      <c r="G52">
        <v>3220</v>
      </c>
    </row>
    <row r="53" spans="1:7">
      <c r="A53" t="s">
        <v>474</v>
      </c>
      <c r="D53" t="s">
        <v>439</v>
      </c>
      <c r="E53">
        <v>310</v>
      </c>
      <c r="F53">
        <v>2</v>
      </c>
    </row>
    <row r="54" spans="1:7">
      <c r="A54" t="s">
        <v>448</v>
      </c>
      <c r="D54" t="s">
        <v>439</v>
      </c>
      <c r="E54">
        <v>-106</v>
      </c>
      <c r="G54">
        <v>-1067</v>
      </c>
    </row>
    <row r="55" spans="1:7">
      <c r="A55" t="s">
        <v>463</v>
      </c>
      <c r="D55" t="s">
        <v>439</v>
      </c>
    </row>
    <row r="56" spans="1:7">
      <c r="A56" t="s">
        <v>440</v>
      </c>
      <c r="B56" t="s">
        <v>292</v>
      </c>
      <c r="C56" t="s">
        <v>292</v>
      </c>
      <c r="D56" t="s">
        <v>439</v>
      </c>
    </row>
    <row r="57" spans="1:7">
      <c r="A57" t="s">
        <v>382</v>
      </c>
      <c r="B57" t="s">
        <v>251</v>
      </c>
      <c r="C57" t="s">
        <v>251</v>
      </c>
      <c r="D57" t="s">
        <v>439</v>
      </c>
      <c r="G57">
        <v>193</v>
      </c>
    </row>
    <row r="58" spans="1:7">
      <c r="A58" t="s">
        <v>476</v>
      </c>
      <c r="D58" t="s">
        <v>439</v>
      </c>
      <c r="E58">
        <v>28962</v>
      </c>
      <c r="F58">
        <v>289</v>
      </c>
      <c r="G58">
        <v>90218</v>
      </c>
    </row>
    <row r="59" spans="1:7">
      <c r="A59" t="s">
        <v>447</v>
      </c>
      <c r="B59" t="s">
        <v>248</v>
      </c>
      <c r="C59" t="s">
        <v>248</v>
      </c>
      <c r="D59" t="s">
        <v>439</v>
      </c>
      <c r="E59">
        <v>14</v>
      </c>
      <c r="G59">
        <v>3134</v>
      </c>
    </row>
    <row r="60" spans="1:7">
      <c r="A60" t="s">
        <v>474</v>
      </c>
      <c r="D60" t="s">
        <v>439</v>
      </c>
      <c r="E60">
        <v>411</v>
      </c>
      <c r="F60">
        <v>3</v>
      </c>
    </row>
    <row r="61" spans="1:7">
      <c r="A61" t="s">
        <v>448</v>
      </c>
      <c r="D61" t="s">
        <v>439</v>
      </c>
      <c r="E61">
        <v>-136</v>
      </c>
      <c r="G61">
        <v>-1029</v>
      </c>
    </row>
    <row r="62" spans="1:7">
      <c r="A62" t="s">
        <v>463</v>
      </c>
      <c r="B62" t="s">
        <v>477</v>
      </c>
      <c r="C62" t="s">
        <v>307</v>
      </c>
      <c r="D62" t="s">
        <v>439</v>
      </c>
    </row>
    <row r="63" spans="1:7">
      <c r="A63" t="s">
        <v>440</v>
      </c>
      <c r="B63" t="s">
        <v>292</v>
      </c>
      <c r="C63" t="s">
        <v>292</v>
      </c>
      <c r="D63" t="s">
        <v>439</v>
      </c>
    </row>
    <row r="64" spans="1:7">
      <c r="A64" t="s">
        <v>382</v>
      </c>
      <c r="B64" t="s">
        <v>251</v>
      </c>
      <c r="C64" t="s">
        <v>251</v>
      </c>
      <c r="D64" t="s">
        <v>439</v>
      </c>
      <c r="G64">
        <v>-48</v>
      </c>
    </row>
    <row r="65" spans="1:7">
      <c r="A65" t="s">
        <v>478</v>
      </c>
      <c r="D65" t="s">
        <v>439</v>
      </c>
      <c r="E65">
        <v>29251</v>
      </c>
      <c r="F65">
        <v>292</v>
      </c>
      <c r="G65">
        <v>92275</v>
      </c>
    </row>
    <row r="66" spans="1:7">
      <c r="A66" t="s">
        <v>479</v>
      </c>
      <c r="D66" t="s">
        <v>439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7BF96B-AD91-4F3B-994C-835FB1B151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118ED98-2B14-4860-8B07-9246A2EF3E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A0AD81-347A-4D7D-B48A-96999D8303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2021-11-17T05:03:36Z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