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173" i="1" l="1"/>
  <c r="F173" i="1"/>
  <c r="G184" i="1"/>
  <c r="G189" i="1" s="1"/>
  <c r="G9" i="1" s="1"/>
  <c r="F184" i="1"/>
  <c r="G92" i="1"/>
  <c r="G98" i="1" s="1"/>
  <c r="G100" i="1" s="1"/>
  <c r="G128" i="1" s="1"/>
  <c r="G7" i="1" s="1"/>
  <c r="F92" i="1"/>
  <c r="F98" i="1" s="1"/>
  <c r="F100" i="1" s="1"/>
  <c r="F128" i="1" s="1"/>
  <c r="F7" i="1" s="1"/>
  <c r="G432" i="1"/>
  <c r="G433" i="1" s="1"/>
  <c r="F432" i="1"/>
  <c r="F433" i="1" s="1"/>
  <c r="G418" i="1"/>
  <c r="G417" i="1"/>
  <c r="F417" i="1"/>
  <c r="F418" i="1" s="1"/>
  <c r="G397" i="1"/>
  <c r="G409" i="1" s="1"/>
  <c r="G410" i="1" s="1"/>
  <c r="F397" i="1"/>
  <c r="F409" i="1" s="1"/>
  <c r="F410" i="1" s="1"/>
  <c r="O382" i="1"/>
  <c r="N382" i="1"/>
  <c r="O381" i="1"/>
  <c r="N381" i="1"/>
  <c r="M381" i="1"/>
  <c r="L381" i="1"/>
  <c r="K381" i="1"/>
  <c r="J381" i="1"/>
  <c r="F381" i="1"/>
  <c r="O375" i="1"/>
  <c r="N375" i="1"/>
  <c r="M375" i="1"/>
  <c r="L375" i="1"/>
  <c r="K375" i="1"/>
  <c r="J375" i="1"/>
  <c r="F375" i="1"/>
  <c r="I373" i="1"/>
  <c r="H373" i="1"/>
  <c r="M371" i="1"/>
  <c r="L371" i="1"/>
  <c r="O370" i="1"/>
  <c r="N370" i="1"/>
  <c r="K369" i="1"/>
  <c r="J369" i="1"/>
  <c r="I369" i="1"/>
  <c r="H369" i="1"/>
  <c r="M368" i="1"/>
  <c r="L368" i="1"/>
  <c r="O366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F227" i="1"/>
  <c r="O210" i="1"/>
  <c r="N210" i="1"/>
  <c r="M210" i="1"/>
  <c r="L210" i="1"/>
  <c r="K210" i="1"/>
  <c r="J210" i="1"/>
  <c r="I210" i="1"/>
  <c r="H210" i="1"/>
  <c r="G210" i="1"/>
  <c r="F210" i="1"/>
  <c r="O189" i="1"/>
  <c r="N189" i="1"/>
  <c r="M189" i="1"/>
  <c r="L189" i="1"/>
  <c r="K189" i="1"/>
  <c r="J189" i="1"/>
  <c r="I189" i="1"/>
  <c r="H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3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8" i="1" s="1"/>
  <c r="I44" i="1"/>
  <c r="I370" i="1" s="1"/>
  <c r="H44" i="1"/>
  <c r="H370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N12" i="1"/>
  <c r="M12" i="1"/>
  <c r="M376" i="1" s="1"/>
  <c r="L12" i="1"/>
  <c r="L37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M377" i="1" s="1"/>
  <c r="L11" i="1"/>
  <c r="L377" i="1" s="1"/>
  <c r="K11" i="1"/>
  <c r="J11" i="1"/>
  <c r="I11" i="1"/>
  <c r="H11" i="1"/>
  <c r="G11" i="1"/>
  <c r="F11" i="1"/>
  <c r="O10" i="1"/>
  <c r="O376" i="1" s="1"/>
  <c r="N10" i="1"/>
  <c r="N376" i="1" s="1"/>
  <c r="M10" i="1"/>
  <c r="L10" i="1"/>
  <c r="K10" i="1"/>
  <c r="J10" i="1"/>
  <c r="I10" i="1"/>
  <c r="H10" i="1"/>
  <c r="G10" i="1"/>
  <c r="F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L6" i="1"/>
  <c r="K6" i="1"/>
  <c r="K371" i="1" s="1"/>
  <c r="J6" i="1"/>
  <c r="J371" i="1" s="1"/>
  <c r="I6" i="1"/>
  <c r="I365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89" i="1" l="1"/>
  <c r="F9" i="1" s="1"/>
  <c r="G161" i="1"/>
  <c r="G8" i="1" s="1"/>
  <c r="G12" i="1" s="1"/>
  <c r="F161" i="1"/>
  <c r="F8" i="1" s="1"/>
  <c r="F12" i="1" s="1"/>
  <c r="F384" i="1"/>
  <c r="F13" i="1"/>
  <c r="F377" i="1"/>
  <c r="F353" i="1"/>
  <c r="F355" i="1" s="1"/>
  <c r="F357" i="1" s="1"/>
  <c r="F385" i="1"/>
  <c r="G384" i="1"/>
  <c r="G13" i="1"/>
  <c r="G377" i="1"/>
  <c r="G353" i="1"/>
  <c r="G355" i="1" s="1"/>
  <c r="G357" i="1" s="1"/>
  <c r="G385" i="1"/>
  <c r="L366" i="1"/>
  <c r="J368" i="1"/>
  <c r="J372" i="1"/>
  <c r="J377" i="1"/>
  <c r="H378" i="1"/>
  <c r="L382" i="1"/>
  <c r="J383" i="1"/>
  <c r="H384" i="1"/>
  <c r="M366" i="1"/>
  <c r="K368" i="1"/>
  <c r="K372" i="1"/>
  <c r="G375" i="1"/>
  <c r="K377" i="1"/>
  <c r="I378" i="1"/>
  <c r="G381" i="1"/>
  <c r="M382" i="1"/>
  <c r="K383" i="1"/>
  <c r="I384" i="1"/>
  <c r="K384" i="1"/>
  <c r="F363" i="1"/>
  <c r="N368" i="1"/>
  <c r="J370" i="1"/>
  <c r="H371" i="1"/>
  <c r="N372" i="1"/>
  <c r="L373" i="1"/>
  <c r="H376" i="1"/>
  <c r="N377" i="1"/>
  <c r="L378" i="1"/>
  <c r="H382" i="1"/>
  <c r="H381" i="1"/>
  <c r="M372" i="1"/>
  <c r="I375" i="1"/>
  <c r="K378" i="1"/>
  <c r="I381" i="1"/>
  <c r="G363" i="1"/>
  <c r="O368" i="1"/>
  <c r="I371" i="1"/>
  <c r="O372" i="1"/>
  <c r="I376" i="1"/>
  <c r="O377" i="1"/>
  <c r="M378" i="1"/>
  <c r="I382" i="1"/>
  <c r="H375" i="1"/>
  <c r="J384" i="1"/>
  <c r="F44" i="1"/>
  <c r="H363" i="1"/>
  <c r="G44" i="1"/>
  <c r="I363" i="1"/>
  <c r="G366" i="1" l="1"/>
  <c r="G376" i="1"/>
  <c r="G383" i="1"/>
  <c r="G14" i="1"/>
  <c r="G382" i="1"/>
  <c r="F366" i="1"/>
  <c r="F376" i="1"/>
  <c r="F14" i="1"/>
  <c r="F382" i="1"/>
  <c r="F383" i="1"/>
  <c r="G378" i="1"/>
  <c r="G370" i="1"/>
  <c r="G59" i="1"/>
  <c r="G67" i="1" s="1"/>
  <c r="G71" i="1" s="1"/>
  <c r="F378" i="1"/>
  <c r="F370" i="1"/>
  <c r="F59" i="1"/>
  <c r="F67" i="1" s="1"/>
  <c r="F71" i="1" s="1"/>
  <c r="F373" i="1" l="1"/>
  <c r="F83" i="1"/>
  <c r="F6" i="1"/>
  <c r="F372" i="1"/>
  <c r="G373" i="1"/>
  <c r="G83" i="1"/>
  <c r="G372" i="1"/>
  <c r="G6" i="1"/>
  <c r="G371" i="1" l="1"/>
  <c r="G365" i="1"/>
  <c r="F371" i="1"/>
  <c r="F365" i="1"/>
</calcChain>
</file>

<file path=xl/sharedStrings.xml><?xml version="1.0" encoding="utf-8"?>
<sst xmlns="http://schemas.openxmlformats.org/spreadsheetml/2006/main" count="790" uniqueCount="503">
  <si>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</si>
  <si>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</si>
  <si>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</si>
  <si>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</si>
  <si>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</si>
  <si>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</si>
  <si>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</si>
  <si>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</si>
  <si>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</si>
  <si>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</si>
  <si>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</si>
  <si>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</si>
  <si>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</si>
  <si>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</si>
  <si>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</si>
  <si>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</si>
  <si>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</si>
  <si>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</si>
  <si>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</si>
  <si>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</si>
  <si>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</si>
  <si>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</si>
  <si>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</si>
  <si>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</si>
  <si>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</si>
  <si>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</si>
  <si>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</si>
  <si>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</si>
  <si>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</si>
  <si>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</si>
  <si>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</si>
  <si>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</si>
  <si>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</si>
  <si>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</si>
  <si>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</si>
  <si>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</si>
  <si>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</si>
  <si>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</si>
  <si>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</si>
  <si>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</si>
  <si>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</si>
  <si>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</si>
  <si>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</si>
  <si>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</si>
  <si>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</si>
  <si>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</si>
  <si>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</si>
  <si>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</si>
  <si>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</si>
  <si>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</si>
  <si>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</si>
  <si>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</si>
  <si>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</si>
  <si>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</si>
  <si>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</si>
  <si>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</si>
  <si>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</si>
  <si>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</si>
  <si>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</si>
  <si>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</si>
  <si>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</si>
  <si>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</si>
  <si>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</si>
  <si>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</si>
  <si>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</si>
  <si>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</si>
  <si>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</si>
  <si>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</si>
  <si>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</si>
  <si>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</si>
  <si>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</si>
  <si>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</si>
  <si>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</si>
  <si>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</si>
  <si>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</si>
  <si>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</si>
  <si>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</si>
  <si>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</si>
  <si>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</si>
  <si>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</si>
  <si>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</si>
  <si>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</si>
  <si>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</si>
  <si>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</si>
  <si>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</si>
  <si>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</si>
  <si>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</si>
  <si>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</si>
  <si>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</si>
  <si>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</si>
  <si>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</si>
  <si>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</si>
  <si>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</si>
  <si>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</si>
  <si>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</si>
  <si>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</si>
  <si>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</si>
  <si>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</si>
  <si>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</si>
  <si>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</si>
  <si>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</si>
  <si>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</si>
  <si>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</si>
  <si>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</si>
  <si>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</si>
  <si>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</si>
  <si>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</si>
  <si>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</si>
  <si>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</si>
  <si>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</si>
  <si>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</si>
  <si>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</si>
  <si>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</si>
  <si>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</si>
  <si>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</si>
  <si>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</si>
  <si>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</si>
  <si>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</si>
  <si>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</si>
  <si>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</si>
  <si>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</si>
  <si>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</si>
  <si>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</si>
  <si>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</si>
  <si>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</si>
  <si>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</si>
  <si>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</si>
  <si>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</si>
  <si>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</si>
  <si>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</si>
  <si>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</si>
  <si>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</si>
  <si>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</si>
  <si>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</si>
  <si>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</si>
  <si>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</si>
  <si>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</si>
  <si>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</si>
  <si>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</si>
  <si>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</si>
  <si>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</si>
  <si>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</si>
  <si>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</si>
  <si>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</si>
  <si>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</si>
  <si>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</si>
  <si>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</si>
  <si>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</si>
  <si>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</si>
  <si>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</si>
  <si>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</si>
  <si>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</si>
  <si>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</si>
  <si>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</si>
  <si>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</si>
  <si>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</si>
  <si>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</si>
  <si>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</si>
  <si>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</si>
  <si>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</si>
  <si>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</si>
  <si>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</si>
  <si>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</si>
  <si>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</si>
  <si>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</si>
  <si>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</si>
  <si>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</si>
  <si>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</si>
  <si>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</si>
  <si>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</si>
  <si>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</si>
  <si>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</si>
  <si>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</si>
  <si>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</si>
  <si>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</si>
  <si>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</si>
  <si>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</si>
  <si>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</si>
  <si>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</si>
  <si>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</si>
  <si>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</si>
  <si>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</si>
  <si>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</si>
  <si>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</si>
  <si>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</si>
  <si>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</si>
  <si>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</si>
  <si>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</si>
  <si>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</si>
  <si>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</si>
  <si>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</si>
  <si>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</si>
  <si>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</si>
  <si>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</si>
  <si>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</si>
  <si>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</si>
  <si>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</si>
  <si>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</si>
  <si>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</si>
  <si>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</si>
  <si>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</si>
  <si>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</si>
  <si>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</si>
  <si>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</si>
  <si>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</si>
  <si>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</si>
  <si>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</si>
  <si>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</si>
  <si>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</si>
  <si>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</si>
  <si>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</si>
  <si>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</si>
  <si>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</si>
  <si>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</si>
  <si>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</si>
  <si>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</si>
  <si>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</si>
  <si>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</si>
  <si>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</si>
  <si>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</si>
  <si>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</si>
  <si>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</si>
  <si>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</si>
  <si>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</si>
  <si>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</si>
  <si>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</si>
  <si>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</si>
  <si>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</si>
  <si>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</si>
  <si>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</si>
  <si>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</si>
  <si>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</si>
  <si>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</si>
  <si>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</si>
  <si>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</si>
  <si>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</si>
  <si>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</si>
  <si>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</si>
  <si>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</si>
  <si>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</si>
  <si>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</si>
  <si>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</si>
  <si>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</si>
  <si>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</si>
  <si>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</si>
  <si>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</si>
  <si>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</si>
  <si>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</si>
  <si>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</si>
  <si>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</si>
  <si>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</si>
  <si>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</si>
  <si>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</si>
  <si>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</si>
  <si>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</si>
  <si>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</si>
  <si>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</si>
  <si>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</si>
  <si>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</si>
  <si>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</si>
  <si>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</si>
  <si>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</si>
  <si>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</si>
  <si>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</si>
  <si>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</si>
  <si>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</si>
  <si>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</si>
  <si>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</si>
  <si>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</si>
  <si>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</si>
  <si>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</si>
  <si>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</si>
  <si>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</si>
  <si>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</si>
  <si>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</si>
  <si>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</si>
  <si>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</si>
  <si>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</si>
  <si>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</si>
  <si>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</si>
  <si>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</si>
  <si>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</si>
  <si>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</si>
  <si>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</si>
  <si>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</si>
  <si>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</si>
  <si>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</si>
  <si>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</si>
  <si>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</si>
  <si>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</si>
  <si>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</si>
  <si>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</si>
  <si>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</si>
  <si>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</si>
  <si>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</si>
  <si>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</si>
  <si>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</si>
  <si>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</si>
  <si>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</si>
  <si>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</si>
  <si>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</si>
  <si>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</si>
  <si>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</si>
  <si>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</si>
  <si>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</si>
  <si>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</si>
  <si>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</si>
  <si>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</si>
  <si>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</si>
  <si>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</si>
  <si>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</si>
  <si>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</si>
  <si>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</si>
  <si>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</si>
  <si>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</si>
  <si>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</si>
  <si>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</si>
  <si>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</si>
  <si>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</si>
  <si>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</si>
  <si>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</si>
  <si>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</si>
  <si>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</si>
  <si>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</si>
  <si>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</si>
  <si>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</si>
  <si>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</si>
  <si>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</si>
  <si>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</si>
  <si>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</si>
  <si>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</si>
  <si>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</si>
  <si>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</si>
  <si>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</si>
  <si>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</si>
  <si>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</si>
  <si>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</si>
  <si>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</si>
  <si>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</si>
  <si>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</si>
  <si>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</si>
  <si>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</si>
  <si>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</si>
  <si>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</si>
  <si>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</si>
  <si>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</si>
  <si>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</si>
  <si>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</si>
  <si>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</si>
  <si>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</si>
  <si>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</si>
  <si>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</si>
  <si>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</si>
  <si>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</si>
  <si>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</si>
  <si>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</si>
  <si>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</si>
  <si>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</si>
  <si>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</si>
  <si>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</si>
  <si>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</si>
  <si>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</si>
  <si>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</si>
  <si>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</si>
  <si>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</si>
  <si>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</si>
  <si>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</si>
  <si>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</si>
  <si>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</si>
  <si>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</si>
  <si>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</si>
  <si>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</si>
  <si>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</si>
  <si>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</si>
  <si>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</si>
  <si>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</si>
  <si>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</si>
  <si>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Short-term investments</t>
  </si>
  <si>
    <t>Accounts receivable, net</t>
  </si>
  <si>
    <t>Inventory</t>
  </si>
  <si>
    <t>Prepaid expenses and other current assets</t>
  </si>
  <si>
    <t>Total current assets</t>
  </si>
  <si>
    <t>Property and equipment, net</t>
  </si>
  <si>
    <t>Property and Equipment</t>
  </si>
  <si>
    <t>Other assets</t>
  </si>
  <si>
    <t>Total assets</t>
  </si>
  <si>
    <t>LIABILITIES AND STOCKHOLDERS EQUITY</t>
  </si>
  <si>
    <t>Current liabilities:</t>
  </si>
  <si>
    <t>Accounts payable</t>
  </si>
  <si>
    <t>Accrued clinical and manufacturing liabilities</t>
  </si>
  <si>
    <t>Accruals</t>
  </si>
  <si>
    <t>Accrued payroll and employee liabilities</t>
  </si>
  <si>
    <t>Other accrued liabilities</t>
  </si>
  <si>
    <t>Deferred revenue</t>
  </si>
  <si>
    <t>Accrued Revenue</t>
  </si>
  <si>
    <t>Promissory note payable to related party</t>
  </si>
  <si>
    <t>Convertible notes payable to related parties, net of discount</t>
  </si>
  <si>
    <t>Trade Creditors - Non current Liabilities</t>
  </si>
  <si>
    <t>Total current liabilities</t>
  </si>
  <si>
    <t>Commitments and contingencies (see Note 6)</t>
  </si>
  <si>
    <t>Stockholders equity (deficit):</t>
  </si>
  <si>
    <t>Preferred stock, $0.01 par value: 2,500 shares authorized; no shares issued or outstanding at</t>
  </si>
  <si>
    <t>December 31, 2018 and 2017</t>
  </si>
  <si>
    <t>Common stock, $0.01 par value: 150,000 shares authorized; 78,174 and 64,609 shares issued and outstanding at December 31, 2018 and 2017, respectively</t>
  </si>
  <si>
    <t>Additional paid-in capital</t>
  </si>
  <si>
    <t>Accumulated other comprehensive loss</t>
  </si>
  <si>
    <t>Accumulated deficit</t>
  </si>
  <si>
    <t>Total stockholders equity</t>
  </si>
  <si>
    <t>Revenues:</t>
  </si>
  <si>
    <t>Revenue</t>
  </si>
  <si>
    <t>Net product sales</t>
  </si>
  <si>
    <t>Operating expenses:</t>
  </si>
  <si>
    <t>Cost of product sales</t>
  </si>
  <si>
    <t>Research and development</t>
  </si>
  <si>
    <t>General and administrative</t>
  </si>
  <si>
    <t>Sales and marketing</t>
  </si>
  <si>
    <t>Selling and distribution expenses</t>
  </si>
  <si>
    <t>Total operating expenses</t>
  </si>
  <si>
    <t>Loss from operations</t>
  </si>
  <si>
    <t>Operating Profit</t>
  </si>
  <si>
    <t>Other income (expense), net:</t>
  </si>
  <si>
    <t>Other Income - net</t>
  </si>
  <si>
    <t>Interest income</t>
  </si>
  <si>
    <t>Interest expense</t>
  </si>
  <si>
    <t>Other (expense) income</t>
  </si>
  <si>
    <t>Total other income (expense), net</t>
  </si>
  <si>
    <t>Net loss</t>
  </si>
  <si>
    <t>Other comprehensive loss:</t>
  </si>
  <si>
    <t>Total Other Comprehensive Loss</t>
  </si>
  <si>
    <t>Total Other Comprehensive Income</t>
  </si>
  <si>
    <t>Unrealized gains (losses) on short-term investments</t>
  </si>
  <si>
    <t>Comprehensive loss</t>
  </si>
  <si>
    <t>Basic and diluted net loss per share</t>
  </si>
  <si>
    <t>CONSOLIDATED STATEMENTS OF CASH FLOWS</t>
  </si>
  <si>
    <t>Operating activities:</t>
  </si>
  <si>
    <t>Operating Activities</t>
  </si>
  <si>
    <t>Adjustments to reconcile net loss to net cash used for operating activities:</t>
  </si>
  <si>
    <t>Stock-based compensation expense</t>
  </si>
  <si>
    <t>Depreciation and amortization</t>
  </si>
  <si>
    <t>Amortization of debt discount</t>
  </si>
  <si>
    <t>(Accretion of discount) amortization of premium on short-term investments</t>
  </si>
  <si>
    <t>Impairment of property and equipment</t>
  </si>
  <si>
    <t>Loss on disposal of property and equipment</t>
  </si>
  <si>
    <t>Change in operating assets and liabilities:</t>
  </si>
  <si>
    <t>Accounts receivable</t>
  </si>
  <si>
    <t>Prepaid expenses and other assets</t>
  </si>
  <si>
    <t>Net cash used for operating activities</t>
  </si>
  <si>
    <t>Investing activities:</t>
  </si>
  <si>
    <t>Investing Activities</t>
  </si>
  <si>
    <t>Purchases of short-term investments</t>
  </si>
  <si>
    <t>Maturities of short-term investments</t>
  </si>
  <si>
    <t>Purchases of property and equipment</t>
  </si>
  <si>
    <t>Proceeds from the sale of property and equipment</t>
  </si>
  <si>
    <t>Net cash (used for) provided by investing activities</t>
  </si>
  <si>
    <t>Financing activities:</t>
  </si>
  <si>
    <t>Financing Activities</t>
  </si>
  <si>
    <t>Net proceeds from sale of common stock and/or pre-funded warrants</t>
  </si>
  <si>
    <t>Proceeds from purchases under the Employee Stock Purchase Plan</t>
  </si>
  <si>
    <t>Proceeds from stock option exercises</t>
  </si>
  <si>
    <t>Proceeds from issuance of promissory note payable to related party</t>
  </si>
  <si>
    <t>Repayment of promissory note payable to related party</t>
  </si>
  <si>
    <t>Net cash provided by financing activities</t>
  </si>
  <si>
    <t>Net (decrease) increase in cash and cash equivalents</t>
  </si>
  <si>
    <t>Net increase (decrease) in cash and cash equivalents</t>
  </si>
  <si>
    <t>Cash and cash equivalents at beginning of year</t>
  </si>
  <si>
    <t>Cash and cash equivalents at beginning of period</t>
  </si>
  <si>
    <t>Cash and cash equivalents at end of year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</si>
  <si>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</si>
  <si>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</si>
  <si>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</si>
  <si>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</si>
  <si>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</si>
  <si>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interest expense</t>
  </si>
  <si>
    <t>interest paid and financial costs</t>
  </si>
  <si>
    <t>interest income</t>
  </si>
  <si>
    <t>leasehold improvements</t>
  </si>
  <si>
    <t>leased assets</t>
  </si>
  <si>
    <t>property, plant and equipment</t>
  </si>
  <si>
    <t>computer equipment and software</t>
  </si>
  <si>
    <t>accumulated depreciation and amortisation</t>
  </si>
  <si>
    <t>accounts payable</t>
  </si>
  <si>
    <t>due to employee</t>
  </si>
  <si>
    <t>deleted value</t>
  </si>
  <si>
    <t>changed sign</t>
  </si>
  <si>
    <t>sales and distribution expenses</t>
  </si>
  <si>
    <t>sales and marketing</t>
  </si>
  <si>
    <t>moved to row 48</t>
  </si>
  <si>
    <t>added value</t>
  </si>
  <si>
    <t>raw materials</t>
  </si>
  <si>
    <t>work in process</t>
  </si>
  <si>
    <t>finished goods</t>
  </si>
  <si>
    <t>scientific equipment</t>
  </si>
  <si>
    <t>furniture, fixtures and office equipment</t>
  </si>
  <si>
    <t>less: accumulated depreciation and amortization</t>
  </si>
  <si>
    <t>stock - finished goods</t>
  </si>
  <si>
    <t>stock - work in progress</t>
  </si>
  <si>
    <t>stock - raw materials</t>
  </si>
  <si>
    <t>changed value</t>
  </si>
  <si>
    <t>accrued clinical and manufacturing liabilities</t>
  </si>
  <si>
    <t>other accrued liabilities</t>
  </si>
  <si>
    <t>accrued payroll and employee liabilities</t>
  </si>
  <si>
    <t>promissory note payable to related party</t>
  </si>
  <si>
    <t>convertible notes payable to related parties, net of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</si>
</sst>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0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1C0-4602-9114-384EB82A25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61-4ABF-B574-9C5EB1671F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B1B-4BD1-9083-E0219EAF4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27-471D-999A-594484E08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22-4A3F-AF3A-2558903D46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E5-4B9C-879A-D7E31BC7CF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4-4A2E-AC2E-CBB4062147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F19-4CF5-AF95-F46AC4CC895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47-4A41-8F16-16139E5589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0B-494D-A7BF-741652606C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B3-45E8-9481-0F3B71BB01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3B4-4FA2-AAFB-18946444AA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695-4DA1-ACC0-E28B9D6FB2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0C9-4D46-8BB8-893E66A285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EE2-4897-8985-6915C1F245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28515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-178917</v>
      </c>
      <c r="G6" s="7">
        <f t="shared" ref="G6:O6" si="1">IF(G4=$BF$1,"",G71)</f>
        <v>-197477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14931</v>
      </c>
      <c r="G7" s="7">
        <f t="shared" ref="G7:O7" si="2">IF(G4=$BF$1,"",G128)</f>
        <v>6244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447248</v>
      </c>
      <c r="G8" s="7">
        <f t="shared" ref="G8:O8" si="3">IF(G4=$BF$1,"",G161)</f>
        <v>228063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92019</v>
      </c>
      <c r="G9" s="7">
        <f t="shared" ref="G9:O9" si="4">IF(G4=$BF$1,"",G189)</f>
        <v>103171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0</v>
      </c>
      <c r="G10" s="7">
        <f t="shared" ref="G10:O10" si="5">IF(G4=$BF$1,"",G210)</f>
        <v>0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370160</v>
      </c>
      <c r="G11" s="7">
        <f t="shared" ref="G11:O11" si="6">IF(G4=$BF$1,"",G227)</f>
        <v>131136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462179</v>
      </c>
      <c r="G12" s="35">
        <f t="shared" ref="G12:O12" si="7">IF(G4=$BF$1,"",SUM(G7:G8))</f>
        <v>234307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462179</v>
      </c>
      <c r="G13" s="35">
        <f t="shared" ref="G13:O13" si="8">IF(G4=$BF$1,"",SUM(G9:G11))</f>
        <v>234307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77474</v>
      </c>
      <c r="G24">
        <v>30767</v>
      </c>
      <c r="H24">
        <v>1279</v>
      </c>
    </row>
    <row r="25" spans="5:16">
      <c r="E25" s="1" t="s">
        <v>27</v>
      </c>
      <c r="F25">
        <v>27512</v>
      </c>
      <c r="G25">
        <v>4588</v>
      </c>
      <c r="H25">
        <v>35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49962</v>
      </c>
      <c r="G30" s="7">
        <f>IF(G4=$BF$1,"",G24-G25+ABS(G26)-G27-G28-G29)</f>
        <v>26179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8"/>
    </row>
    <row r="31" spans="5:16">
      <c r="E31" s="12" t="s">
        <v>33</v>
      </c>
      <c r="F31"/>
      <c r="G31"/>
      <c r="H31">
        <v>-2228</v>
      </c>
      <c r="P31" s="49" t="s">
        <v>482</v>
      </c>
    </row>
    <row r="32" spans="5:16">
      <c r="E32" s="1" t="s">
        <v>34</v>
      </c>
    </row>
    <row r="33" spans="5:16">
      <c r="E33" s="1" t="s">
        <v>35</v>
      </c>
      <c r="F33">
        <v>64604</v>
      </c>
      <c r="G33">
        <v>56601</v>
      </c>
      <c r="H33">
        <v>47668</v>
      </c>
      <c r="P33" s="49" t="s">
        <v>483</v>
      </c>
    </row>
    <row r="34" spans="5:16">
      <c r="E34" s="1" t="s">
        <v>36</v>
      </c>
      <c r="F34">
        <v>29263</v>
      </c>
      <c r="G34">
        <v>25554</v>
      </c>
      <c r="H34">
        <v>21366</v>
      </c>
    </row>
    <row r="35" spans="5:16">
      <c r="E35" s="1" t="s">
        <v>37</v>
      </c>
      <c r="F35">
        <v>140032</v>
      </c>
      <c r="G35">
        <v>138582</v>
      </c>
      <c r="H35">
        <v>103125</v>
      </c>
    </row>
    <row r="36" spans="5:16">
      <c r="E36" s="1" t="s">
        <v>38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233899</v>
      </c>
      <c r="G43" s="7">
        <f>G32+G33+G34+G35+G36+G37+G38+G39+G40+G41+G42</f>
        <v>220737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-183937</v>
      </c>
      <c r="G44" s="7">
        <f>IF(G4=$BF$1,"",G30+G31-G43)</f>
        <v>-194558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8"/>
    </row>
    <row r="45" spans="5:16">
      <c r="E45" s="1" t="s">
        <v>47</v>
      </c>
    </row>
    <row r="46" spans="5:16">
      <c r="E46" s="1" t="s">
        <v>48</v>
      </c>
      <c r="F46">
        <v>-77</v>
      </c>
      <c r="G46">
        <v>7</v>
      </c>
      <c r="H46">
        <v>23</v>
      </c>
    </row>
    <row r="47" spans="5:16">
      <c r="E47" s="1" t="s">
        <v>49</v>
      </c>
    </row>
    <row r="48" spans="5:16">
      <c r="E48" s="1" t="s">
        <v>50</v>
      </c>
      <c r="F48">
        <v>5965</v>
      </c>
      <c r="G48">
        <v>1049</v>
      </c>
      <c r="P48" s="49" t="s">
        <v>487</v>
      </c>
    </row>
    <row r="49" spans="5:16">
      <c r="E49" s="1" t="s">
        <v>51</v>
      </c>
      <c r="F49">
        <v>2672</v>
      </c>
      <c r="G49">
        <v>3937</v>
      </c>
      <c r="H49">
        <v>-2664</v>
      </c>
      <c r="P49" s="49" t="s">
        <v>483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445</v>
      </c>
      <c r="P52" s="49" t="s">
        <v>486</v>
      </c>
    </row>
    <row r="53" spans="5:16">
      <c r="E53" s="1" t="s">
        <v>55</v>
      </c>
    </row>
    <row r="54" spans="5:16">
      <c r="E54" s="1" t="s">
        <v>56</v>
      </c>
      <c r="F54">
        <v>1804</v>
      </c>
      <c r="G54">
        <v>-38</v>
      </c>
      <c r="H54">
        <v>-9</v>
      </c>
    </row>
    <row r="55" spans="5:16">
      <c r="E55" s="1" t="s">
        <v>57</v>
      </c>
    </row>
    <row r="56" spans="5:16">
      <c r="E56" s="1" t="s">
        <v>58</v>
      </c>
      <c r="F56">
        <v>0</v>
      </c>
      <c r="G56">
        <v>0</v>
      </c>
      <c r="H56">
        <v>0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-178917</v>
      </c>
      <c r="G59" s="7">
        <f>IF(G4=$BF$1,"",G44+G45+G46+G47+G48-G49-G50-G51+G52-G53+G54+G55-G56+G57+G58)</f>
        <v>-197477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-178917</v>
      </c>
      <c r="G67" s="7">
        <f>IF(G4=$BF$1,"",SUM(G59,-G60,-ABS(G61),-G62,-G66))</f>
        <v>-197477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-178917</v>
      </c>
      <c r="G71" s="7">
        <f t="shared" ref="G71:O71" si="14">IF(G4=$BF$1,"",SUM(G67:G70))</f>
        <v>-197477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48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-178917</v>
      </c>
      <c r="G83" s="7">
        <f t="shared" ref="G83:O83" si="15">IF(G4=$BF$1,"",SUM(G71:G82))</f>
        <v>-197477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18077+1190+1722</f>
        <v>20989</v>
      </c>
      <c r="G92">
        <f>9742+1420+1024</f>
        <v>12186</v>
      </c>
      <c r="P92" s="49" t="s">
        <v>497</v>
      </c>
    </row>
    <row r="93" spans="5:16">
      <c r="E93" s="1" t="s">
        <v>85</v>
      </c>
    </row>
    <row r="94" spans="5:16">
      <c r="E94" s="1" t="s">
        <v>86</v>
      </c>
      <c r="F94" s="38">
        <v>1783</v>
      </c>
      <c r="G94" s="38">
        <v>1654</v>
      </c>
      <c r="P94" s="49" t="s">
        <v>487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22772</v>
      </c>
      <c r="G98" s="7">
        <f>IF(G4=$BF$1,"",G89+G90+G91+G92+G93+G94+G95+G96)</f>
        <v>13840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8"/>
    </row>
    <row r="99" spans="5:16">
      <c r="E99" s="1" t="s">
        <v>89</v>
      </c>
      <c r="F99" s="38">
        <v>-8095</v>
      </c>
      <c r="G99" s="38">
        <v>-7859</v>
      </c>
      <c r="P99" s="49" t="s">
        <v>487</v>
      </c>
    </row>
    <row r="100" spans="5:16">
      <c r="E100" s="6" t="s">
        <v>90</v>
      </c>
      <c r="F100" s="7">
        <f>F98+F99</f>
        <v>14677</v>
      </c>
      <c r="G100" s="7">
        <f t="shared" ref="G100:O100" si="17">IF(G4=$BF$1,"",G98+G99)</f>
        <v>5981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8"/>
    </row>
    <row r="101" spans="5:16">
      <c r="E101" s="1" t="s">
        <v>91</v>
      </c>
    </row>
    <row r="102" spans="5:16">
      <c r="E102" s="1" t="s">
        <v>92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0</v>
      </c>
      <c r="G104" s="7">
        <f t="shared" ref="G104:O104" si="18">IF(G4=$BF$1,"",G101+G102+G103)</f>
        <v>0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254</v>
      </c>
      <c r="G125" s="38">
        <v>263</v>
      </c>
      <c r="P125" s="49" t="s">
        <v>487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14931</v>
      </c>
      <c r="G128" s="7">
        <f t="shared" ref="G128:O128" si="19">IF(G4=$BF$1,"",G100+SUM(G104:G126))</f>
        <v>6244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8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31836</v>
      </c>
      <c r="G130">
        <v>144583</v>
      </c>
    </row>
    <row r="131" spans="5:16">
      <c r="E131" s="1" t="s">
        <v>118</v>
      </c>
      <c r="F131">
        <v>300535</v>
      </c>
      <c r="G131">
        <v>27796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332371</v>
      </c>
      <c r="G140" s="7">
        <f t="shared" ref="G140:O140" si="20">IF(G4=$BF$1,"",G130+G131+G132+G133+G134+G135+G136+G139)</f>
        <v>172379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  <c r="F142" s="38">
        <v>10112</v>
      </c>
      <c r="G142" s="38">
        <v>2754</v>
      </c>
      <c r="P142" s="49" t="s">
        <v>487</v>
      </c>
    </row>
    <row r="143" spans="5:16">
      <c r="E143" s="1" t="s">
        <v>125</v>
      </c>
      <c r="F143" s="38">
        <v>20604</v>
      </c>
      <c r="G143" s="38">
        <v>4166</v>
      </c>
      <c r="P143" s="49" t="s">
        <v>487</v>
      </c>
    </row>
    <row r="144" spans="5:16">
      <c r="E144" s="1" t="s">
        <v>126</v>
      </c>
      <c r="F144">
        <v>8316</v>
      </c>
      <c r="G144">
        <v>3188</v>
      </c>
      <c r="P144" s="49" t="s">
        <v>487</v>
      </c>
    </row>
    <row r="145" spans="5:16">
      <c r="E145" s="6" t="s">
        <v>127</v>
      </c>
      <c r="F145" s="7">
        <f>F141+F142+F143+F144</f>
        <v>39032</v>
      </c>
      <c r="G145" s="7">
        <f t="shared" ref="G145:O145" si="21">IF(G4=$BF$1,"",G141+G142+G143+G144)</f>
        <v>10108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  <c r="P145" s="48"/>
    </row>
    <row r="146" spans="5:16">
      <c r="E146" s="1" t="s">
        <v>128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11193</v>
      </c>
      <c r="G154">
        <v>3702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64652</v>
      </c>
      <c r="G157">
        <v>41874</v>
      </c>
    </row>
    <row r="158" spans="5:16">
      <c r="E158" s="1" t="s">
        <v>138</v>
      </c>
    </row>
    <row r="159" spans="5:16">
      <c r="E159" s="1" t="s">
        <v>139</v>
      </c>
    </row>
    <row r="160" spans="5:16">
      <c r="E160" s="6" t="s">
        <v>140</v>
      </c>
      <c r="F160" s="7">
        <f>F146+F147+F148+F149+F150+F151+F152+F153+F154+F155+F156+F157+F158+F159</f>
        <v>75845</v>
      </c>
      <c r="G160" s="7">
        <f>IF(G4=$BF$1,"",G146+G147+G148+G149+G150+G151+G152+G153+G154+G155+G156+G157+G158+G159)</f>
        <v>45576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447248</v>
      </c>
      <c r="G161" s="7">
        <f t="shared" ref="G161:O161" si="22">IF(G4=$BF$1,"",G140+G145+G160)</f>
        <v>228063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8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  <c r="F173">
        <f>0+4574</f>
        <v>4574</v>
      </c>
      <c r="G173">
        <f>25000+3684</f>
        <v>28684</v>
      </c>
      <c r="P173" s="49" t="s">
        <v>497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13397</v>
      </c>
      <c r="G177" s="38">
        <v>8860</v>
      </c>
      <c r="P177" s="49" t="s">
        <v>487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f>16863+24470+32715</f>
        <v>74048</v>
      </c>
      <c r="G184">
        <f>18769+26920+17175</f>
        <v>62864</v>
      </c>
      <c r="P184" s="49" t="s">
        <v>497</v>
      </c>
    </row>
    <row r="185" spans="5:16">
      <c r="E185" s="12" t="s">
        <v>162</v>
      </c>
      <c r="F185">
        <v>0</v>
      </c>
      <c r="G185">
        <v>2763</v>
      </c>
    </row>
    <row r="187" spans="5:16">
      <c r="E187" s="1" t="s">
        <v>163</v>
      </c>
      <c r="F187"/>
      <c r="G187"/>
      <c r="P187" s="49" t="s">
        <v>482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92019</v>
      </c>
      <c r="G189" s="7">
        <f t="shared" ref="G189:O189" si="23">IF(G4=$BF$1,"",SUM(G163:G188))</f>
        <v>103171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8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  <c r="F196"/>
      <c r="G196"/>
      <c r="P196" s="49" t="s">
        <v>482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0</v>
      </c>
      <c r="G210" s="7">
        <f t="shared" ref="G210:O210" si="24">IF(G4=$BF$1,"",SUM(G191:G209))</f>
        <v>0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8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1330968</v>
      </c>
      <c r="G212">
        <v>914601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-960721</v>
      </c>
      <c r="G217">
        <v>-783455</v>
      </c>
    </row>
    <row r="218" spans="5:16">
      <c r="E218" s="1" t="s">
        <v>188</v>
      </c>
    </row>
    <row r="219" spans="5:16">
      <c r="E219" s="1" t="s">
        <v>189</v>
      </c>
      <c r="F219">
        <v>-87</v>
      </c>
      <c r="G219">
        <v>-10</v>
      </c>
    </row>
    <row r="220" spans="5:16">
      <c r="E220" s="1" t="s">
        <v>190</v>
      </c>
    </row>
    <row r="221" spans="5:16">
      <c r="E221" s="1" t="s">
        <v>67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370160</v>
      </c>
      <c r="G227" s="7">
        <f t="shared" ref="G227:O227" si="25">IF(G4=$BF$1,"",SUM(G212:G226))</f>
        <v>131136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48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-178840</v>
      </c>
      <c r="G267">
        <v>-197484</v>
      </c>
      <c r="H267">
        <v>-173143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1585</v>
      </c>
      <c r="G271">
        <v>1531</v>
      </c>
      <c r="H271">
        <v>1099</v>
      </c>
    </row>
    <row r="272" spans="5:15">
      <c r="E272" s="1" t="s">
        <v>237</v>
      </c>
    </row>
    <row r="273" spans="5:8" ht="25.5" customHeight="1">
      <c r="E273" s="1" t="s">
        <v>238</v>
      </c>
    </row>
    <row r="274" spans="5:8">
      <c r="E274" s="1" t="s">
        <v>239</v>
      </c>
    </row>
    <row r="275" spans="5:8" ht="25.5" customHeight="1">
      <c r="E275" s="1" t="s">
        <v>240</v>
      </c>
      <c r="F275">
        <v>-2522</v>
      </c>
      <c r="G275">
        <v>495</v>
      </c>
      <c r="H275">
        <v>963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>
      <c r="E279" s="1" t="s">
        <v>244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>
      <c r="E285" s="1" t="s">
        <v>248</v>
      </c>
      <c r="F285">
        <v>33367</v>
      </c>
      <c r="G285">
        <v>30538</v>
      </c>
      <c r="H285">
        <v>25956</v>
      </c>
    </row>
    <row r="286" spans="5:8" ht="25.5" customHeight="1">
      <c r="E286" s="1" t="s">
        <v>249</v>
      </c>
    </row>
    <row r="287" spans="5:8">
      <c r="E287" s="1" t="s">
        <v>250</v>
      </c>
    </row>
    <row r="288" spans="5:8">
      <c r="E288" s="1" t="s">
        <v>251</v>
      </c>
      <c r="F288">
        <v>0</v>
      </c>
      <c r="G288">
        <v>0</v>
      </c>
      <c r="H288">
        <v>0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32430</v>
      </c>
      <c r="G296" s="7">
        <f>IF(G4=$BF$1,"",G271+G272+G273+G274+G275+G276+G277+G278+G279+G280+G281+G282+G283+G284+G285+G286+G287+G288+G289+G290+G291+G292+G293+G294+G295)</f>
        <v>32564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-146410</v>
      </c>
      <c r="G297" s="7">
        <f t="shared" ref="G297:O297" si="27">IF(G4=$BF$1,"",MIN(F267,F268,F269)+F296)</f>
        <v>-146410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F299">
        <v>-29122</v>
      </c>
      <c r="G299">
        <v>-4768</v>
      </c>
      <c r="H299">
        <v>-5340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  <c r="F302">
        <v>-7482</v>
      </c>
      <c r="G302">
        <v>3</v>
      </c>
      <c r="H302">
        <v>-338</v>
      </c>
    </row>
    <row r="303" spans="5:15">
      <c r="E303" s="1" t="s">
        <v>265</v>
      </c>
      <c r="F303">
        <v>-22778</v>
      </c>
      <c r="G303">
        <v>-39914</v>
      </c>
      <c r="H303">
        <v>-1960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0</v>
      </c>
      <c r="G309">
        <v>1664</v>
      </c>
      <c r="H309">
        <v>1099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F315">
        <v>-1906</v>
      </c>
      <c r="G315">
        <v>11955</v>
      </c>
      <c r="H315">
        <v>3514</v>
      </c>
    </row>
    <row r="316" spans="5:15">
      <c r="E316" s="1" t="s">
        <v>276</v>
      </c>
    </row>
    <row r="317" spans="5:15">
      <c r="E317" s="1" t="s">
        <v>277</v>
      </c>
      <c r="F317">
        <v>15864</v>
      </c>
      <c r="G317">
        <v>25641</v>
      </c>
      <c r="H317">
        <v>14044</v>
      </c>
    </row>
    <row r="318" spans="5:15">
      <c r="E318" s="6" t="s">
        <v>278</v>
      </c>
      <c r="F318" s="7">
        <f>F299+F300+F301+F302+F303+F304+F305+F306+F307+F308+F309+F310+F311+F312+F313+F314+F315+F316+F317</f>
        <v>-45424</v>
      </c>
      <c r="G318" s="7">
        <f>IF(G4=$BF$1,"",G299+G300+G301+G302+G303+G304+G305+G306+G307+G308+G309+G310+G311+G312+G313+G314+G315+G316+G317)</f>
        <v>-5419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-191834</v>
      </c>
      <c r="G319" s="7">
        <f t="shared" ref="G319:O319" si="28">IF(G4=$BF$1,"",G297+G318)</f>
        <v>-151829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-191834</v>
      </c>
      <c r="G326" s="7">
        <f t="shared" ref="G326:O326" si="30">IF(G4=$BF$1,"",G325+G319)</f>
        <v>-151829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-9171</v>
      </c>
      <c r="G328">
        <v>-2553</v>
      </c>
      <c r="H328">
        <v>-3135</v>
      </c>
    </row>
    <row r="329" spans="5:15">
      <c r="E329" s="1" t="s">
        <v>288</v>
      </c>
      <c r="F329">
        <v>25</v>
      </c>
      <c r="G329">
        <v>78</v>
      </c>
      <c r="H329">
        <v>0</v>
      </c>
    </row>
    <row r="330" spans="5:15">
      <c r="E330" s="1" t="s">
        <v>289</v>
      </c>
    </row>
    <row r="331" spans="5:15">
      <c r="E331" s="1" t="s">
        <v>290</v>
      </c>
      <c r="F331">
        <v>-497104</v>
      </c>
      <c r="G331">
        <v>-121570</v>
      </c>
      <c r="H331">
        <v>-43318</v>
      </c>
    </row>
    <row r="332" spans="5:15">
      <c r="E332" s="12" t="s">
        <v>291</v>
      </c>
      <c r="F332">
        <v>227700</v>
      </c>
      <c r="G332">
        <v>131783</v>
      </c>
      <c r="H332">
        <v>61329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-278550</v>
      </c>
      <c r="G337" s="7">
        <f>IF(G4=$BF$1,"",SUM(G328:G336))</f>
        <v>7738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382608</v>
      </c>
      <c r="G339">
        <v>318731</v>
      </c>
      <c r="H339">
        <v>7455</v>
      </c>
    </row>
    <row r="340" spans="5:15">
      <c r="E340" s="1" t="s">
        <v>299</v>
      </c>
      <c r="F340">
        <v>0</v>
      </c>
      <c r="G340">
        <v>0</v>
      </c>
      <c r="H340">
        <v>50000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382608</v>
      </c>
      <c r="G352" s="7">
        <f>IF(G4=$BF$1,"",SUM(G339:G351))</f>
        <v>318731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-87776</v>
      </c>
      <c r="G353" s="7">
        <f t="shared" ref="G353:O353" si="33">IF(G4=$BF$1,"",G326+G337+G352)</f>
        <v>174640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-87776</v>
      </c>
      <c r="G355" s="7">
        <f t="shared" ref="G355:O355" si="34">IF(G4=$BF$1,"",G353+G354)</f>
        <v>174640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F356">
        <v>144583</v>
      </c>
      <c r="G356">
        <v>13414</v>
      </c>
      <c r="H356">
        <v>75180</v>
      </c>
    </row>
    <row r="357" spans="5:15">
      <c r="E357" s="6" t="s">
        <v>316</v>
      </c>
      <c r="F357" s="7">
        <f>F355+F356</f>
        <v>56807</v>
      </c>
      <c r="G357" s="7">
        <f t="shared" ref="G357:O357" si="35">IF(G4=$BF$1,"",G355+G356)</f>
        <v>188054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1.5180875613481977</v>
      </c>
      <c r="G364" s="24">
        <f t="shared" si="37"/>
        <v>23.055512118842845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-9.3985628706127797E-2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0.97253603178735593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0.64488731703539248</v>
      </c>
      <c r="G369" s="27">
        <f t="shared" si="41"/>
        <v>0.85087918874118373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-2.3741771432996877</v>
      </c>
      <c r="G370" s="27">
        <f t="shared" si="42"/>
        <v>-6.3235934605258883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-2.309381211761365</v>
      </c>
      <c r="G371" s="28">
        <f t="shared" si="43"/>
        <v>-6.4184678389183212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-0.38711624716830489</v>
      </c>
      <c r="G372" s="27">
        <f t="shared" si="44"/>
        <v>-0.84281306149624213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-0.48335044305165337</v>
      </c>
      <c r="G373" s="27">
        <f t="shared" si="45"/>
        <v>-1.5058946437286482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0.19909818490238632</v>
      </c>
      <c r="G376" s="30">
        <f t="shared" si="47"/>
        <v>0.44032401934214516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0.2485925005403069</v>
      </c>
      <c r="G377" s="30">
        <f t="shared" si="48"/>
        <v>0.78674810883357738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-68.838697604790426</v>
      </c>
      <c r="G378" s="30">
        <f t="shared" si="49"/>
        <v>-49.417830835661668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4.8603875286625584</v>
      </c>
      <c r="G382" s="32">
        <f t="shared" si="51"/>
        <v>2.2105339678785705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4.436214260098458</v>
      </c>
      <c r="G383" s="32">
        <f t="shared" si="52"/>
        <v>2.1125607001967608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3.6119823080016085</v>
      </c>
      <c r="G384" s="32">
        <f t="shared" si="53"/>
        <v>1.6708086574715764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-2.0847216335756746</v>
      </c>
      <c r="G385" s="32">
        <f t="shared" si="54"/>
        <v>-1.4716247782807184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31836</v>
      </c>
      <c r="G418" s="17">
        <f>G130-G417</f>
        <v>144583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467</v>
      </c>
      <c r="B1" s="39" t="s">
        <v>468</v>
      </c>
      <c r="C1" s="39" t="s">
        <v>469</v>
      </c>
      <c r="D1" s="39" t="s">
        <v>470</v>
      </c>
      <c r="E1" s="39"/>
    </row>
    <row r="2" spans="1:5">
      <c r="A2" s="41" t="s">
        <v>485</v>
      </c>
      <c r="B2" s="41" t="s">
        <v>484</v>
      </c>
      <c r="C2" s="39">
        <v>0</v>
      </c>
      <c r="D2" s="39" t="s">
        <v>471</v>
      </c>
      <c r="E2" s="39"/>
    </row>
    <row r="3" spans="1:5">
      <c r="A3" s="42" t="s">
        <v>474</v>
      </c>
      <c r="B3" s="42" t="s">
        <v>50</v>
      </c>
      <c r="C3" s="39">
        <v>1</v>
      </c>
      <c r="D3" s="39" t="s">
        <v>471</v>
      </c>
    </row>
    <row r="4" spans="1:5">
      <c r="A4" s="41" t="s">
        <v>472</v>
      </c>
      <c r="B4" s="41" t="s">
        <v>473</v>
      </c>
      <c r="C4" s="39">
        <v>0</v>
      </c>
      <c r="D4" s="39" t="s">
        <v>471</v>
      </c>
    </row>
    <row r="5" spans="1:5">
      <c r="A5" s="43" t="s">
        <v>488</v>
      </c>
      <c r="B5" s="1" t="s">
        <v>496</v>
      </c>
      <c r="C5" s="39">
        <v>1</v>
      </c>
      <c r="D5" s="39" t="s">
        <v>471</v>
      </c>
    </row>
    <row r="6" spans="1:5">
      <c r="A6" s="42" t="s">
        <v>489</v>
      </c>
      <c r="B6" s="44" t="s">
        <v>495</v>
      </c>
      <c r="C6" s="39">
        <v>1</v>
      </c>
      <c r="D6" s="39" t="s">
        <v>471</v>
      </c>
    </row>
    <row r="7" spans="1:5">
      <c r="A7" s="43" t="s">
        <v>490</v>
      </c>
      <c r="B7" s="41" t="s">
        <v>494</v>
      </c>
      <c r="C7" s="39">
        <v>1</v>
      </c>
      <c r="D7" s="39" t="s">
        <v>471</v>
      </c>
    </row>
    <row r="8" spans="1:5">
      <c r="A8" s="43" t="s">
        <v>491</v>
      </c>
      <c r="B8" s="42" t="s">
        <v>477</v>
      </c>
      <c r="C8" s="39">
        <v>1</v>
      </c>
      <c r="D8" s="39" t="s">
        <v>471</v>
      </c>
    </row>
    <row r="9" spans="1:5">
      <c r="A9" s="42" t="s">
        <v>475</v>
      </c>
      <c r="B9" s="42" t="s">
        <v>476</v>
      </c>
      <c r="C9" s="39">
        <v>1</v>
      </c>
      <c r="D9" s="39" t="s">
        <v>471</v>
      </c>
    </row>
    <row r="10" spans="1:5">
      <c r="A10" s="45" t="s">
        <v>478</v>
      </c>
      <c r="B10" s="42" t="s">
        <v>477</v>
      </c>
      <c r="C10" s="39">
        <v>1</v>
      </c>
      <c r="D10" s="39" t="s">
        <v>471</v>
      </c>
    </row>
    <row r="11" spans="1:5">
      <c r="A11" s="43" t="s">
        <v>492</v>
      </c>
      <c r="B11" s="42" t="s">
        <v>477</v>
      </c>
      <c r="C11" s="39">
        <v>1</v>
      </c>
      <c r="D11" s="39" t="s">
        <v>471</v>
      </c>
    </row>
    <row r="12" spans="1:5">
      <c r="A12" s="46" t="s">
        <v>493</v>
      </c>
      <c r="B12" s="45" t="s">
        <v>479</v>
      </c>
      <c r="C12" s="39">
        <v>1</v>
      </c>
      <c r="D12" s="39" t="s">
        <v>471</v>
      </c>
    </row>
    <row r="13" spans="1:5">
      <c r="A13" s="45" t="s">
        <v>480</v>
      </c>
      <c r="B13" s="45" t="s">
        <v>161</v>
      </c>
      <c r="C13" s="39">
        <v>1</v>
      </c>
      <c r="D13" s="39" t="s">
        <v>471</v>
      </c>
    </row>
    <row r="14" spans="1:5">
      <c r="A14" s="45" t="s">
        <v>498</v>
      </c>
      <c r="B14" s="45" t="s">
        <v>161</v>
      </c>
      <c r="C14" s="39">
        <v>1</v>
      </c>
      <c r="D14" s="39" t="s">
        <v>471</v>
      </c>
    </row>
    <row r="15" spans="1:5">
      <c r="A15" s="46" t="s">
        <v>499</v>
      </c>
      <c r="B15" s="46" t="s">
        <v>161</v>
      </c>
      <c r="C15" s="39">
        <v>1</v>
      </c>
      <c r="D15" s="39" t="s">
        <v>471</v>
      </c>
    </row>
    <row r="16" spans="1:5">
      <c r="A16" s="46" t="s">
        <v>500</v>
      </c>
      <c r="B16" s="46" t="s">
        <v>481</v>
      </c>
      <c r="C16" s="39">
        <v>1</v>
      </c>
      <c r="D16" s="39" t="s">
        <v>471</v>
      </c>
    </row>
    <row r="17" spans="1:4">
      <c r="A17" s="46" t="s">
        <v>501</v>
      </c>
      <c r="B17" s="46" t="s">
        <v>152</v>
      </c>
      <c r="C17" s="39">
        <v>1</v>
      </c>
      <c r="D17" s="39" t="s">
        <v>471</v>
      </c>
    </row>
    <row r="18" spans="1:4">
      <c r="A18" s="46" t="s">
        <v>502</v>
      </c>
      <c r="B18" s="46" t="s">
        <v>152</v>
      </c>
      <c r="C18" s="39">
        <v>1</v>
      </c>
      <c r="D18" s="39" t="s">
        <v>471</v>
      </c>
    </row>
    <row r="19" spans="1:4">
      <c r="A19" s="43"/>
      <c r="B19" s="46"/>
      <c r="C19" s="39"/>
      <c r="D19" s="39"/>
    </row>
    <row r="20" spans="1:4">
      <c r="A20" s="43"/>
      <c r="B20" s="43"/>
      <c r="C20" s="39"/>
      <c r="D20" s="39"/>
    </row>
    <row r="21" spans="1:4">
      <c r="A21" s="43"/>
      <c r="B21" s="43"/>
      <c r="C21" s="39"/>
      <c r="D21" s="39"/>
    </row>
    <row r="22" spans="1:4">
      <c r="A22" s="46"/>
      <c r="B22" s="46"/>
      <c r="C22" s="39"/>
      <c r="D22" s="39"/>
    </row>
    <row r="23" spans="1:4">
      <c r="A23" s="47"/>
      <c r="B23" s="46"/>
      <c r="C23" s="39"/>
      <c r="D23" s="39"/>
    </row>
    <row r="24" spans="1:4">
      <c r="A24" s="46"/>
      <c r="B24" s="46"/>
      <c r="C24" s="39"/>
      <c r="D24" s="39"/>
    </row>
    <row r="25" spans="1:4">
      <c r="A25" s="46"/>
      <c r="B25" s="46"/>
      <c r="C25" s="39"/>
      <c r="D25" s="39"/>
    </row>
    <row r="26" spans="1:4">
      <c r="A26" s="47"/>
      <c r="B26" s="47"/>
      <c r="C26" s="39"/>
      <c r="D26" s="39"/>
    </row>
    <row r="27" spans="1:4">
      <c r="A27" s="46"/>
      <c r="B27" s="47"/>
      <c r="C27" s="39"/>
      <c r="D27" s="39"/>
    </row>
    <row r="28" spans="1:4">
      <c r="A28" s="46"/>
      <c r="B28" s="47"/>
      <c r="C28" s="39"/>
      <c r="D28" s="39"/>
    </row>
    <row r="29" spans="1:4">
      <c r="A29" s="46"/>
      <c r="B29" s="47"/>
      <c r="C29" s="39"/>
      <c r="D29" s="39"/>
    </row>
    <row r="30" spans="1:4">
      <c r="A30" s="42"/>
      <c r="B30" s="47"/>
      <c r="C30" s="39"/>
      <c r="D30" s="39"/>
    </row>
    <row r="31" spans="1:4">
      <c r="A31" s="42"/>
      <c r="B31" s="42"/>
      <c r="C31" s="39"/>
      <c r="D31" s="39"/>
    </row>
    <row r="32" spans="1:4">
      <c r="A32" s="42"/>
      <c r="B32" s="42"/>
      <c r="C32" s="39"/>
      <c r="D32" s="39"/>
    </row>
    <row r="33" spans="1:4">
      <c r="A33" s="45"/>
      <c r="B33" s="47"/>
      <c r="C33" s="39"/>
      <c r="D33" s="39"/>
    </row>
    <row r="34" spans="1:4">
      <c r="A34" s="45"/>
      <c r="B34" s="47"/>
      <c r="C34" s="39"/>
      <c r="D34" s="39"/>
    </row>
    <row r="35" spans="1:4">
      <c r="A35" s="45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5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5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5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/>
  </sheetViews>
  <sheetFormatPr defaultRowHeight="12.75"/>
  <cols>
    <col min="1" max="4" width="25.7109375" customWidth="1"/>
  </cols>
  <sheetData>
    <row r="1" spans="1:6">
      <c r="E1">
        <v>31</v>
      </c>
      <c r="F1">
        <v>31</v>
      </c>
    </row>
    <row r="2" spans="1:6">
      <c r="E2">
        <v>2018</v>
      </c>
      <c r="F2">
        <v>2017</v>
      </c>
    </row>
    <row r="4" spans="1:6">
      <c r="A4" t="s">
        <v>374</v>
      </c>
    </row>
    <row r="5" spans="1:6">
      <c r="A5" t="s">
        <v>375</v>
      </c>
      <c r="B5" t="s">
        <v>116</v>
      </c>
      <c r="C5" t="s">
        <v>116</v>
      </c>
      <c r="D5" t="s">
        <v>116</v>
      </c>
    </row>
    <row r="6" spans="1:6">
      <c r="A6" t="s">
        <v>376</v>
      </c>
      <c r="B6" t="s">
        <v>117</v>
      </c>
      <c r="C6" t="s">
        <v>117</v>
      </c>
      <c r="D6" t="s">
        <v>116</v>
      </c>
      <c r="E6">
        <v>31836</v>
      </c>
      <c r="F6">
        <v>144583</v>
      </c>
    </row>
    <row r="7" spans="1:6">
      <c r="A7" t="s">
        <v>377</v>
      </c>
      <c r="B7" t="s">
        <v>118</v>
      </c>
      <c r="C7" t="s">
        <v>118</v>
      </c>
      <c r="D7" t="s">
        <v>116</v>
      </c>
      <c r="E7">
        <v>300535</v>
      </c>
      <c r="F7">
        <v>27796</v>
      </c>
    </row>
    <row r="8" spans="1:6">
      <c r="A8" t="s">
        <v>378</v>
      </c>
      <c r="B8" t="s">
        <v>352</v>
      </c>
      <c r="C8" t="s">
        <v>137</v>
      </c>
      <c r="D8" t="s">
        <v>116</v>
      </c>
      <c r="E8">
        <v>64652</v>
      </c>
      <c r="F8">
        <v>41874</v>
      </c>
    </row>
    <row r="9" spans="1:6">
      <c r="A9" t="s">
        <v>379</v>
      </c>
      <c r="B9" t="s">
        <v>126</v>
      </c>
      <c r="C9" t="s">
        <v>126</v>
      </c>
      <c r="D9" t="s">
        <v>116</v>
      </c>
      <c r="E9">
        <v>39032</v>
      </c>
      <c r="F9">
        <v>10108</v>
      </c>
    </row>
    <row r="10" spans="1:6">
      <c r="A10" t="s">
        <v>380</v>
      </c>
      <c r="B10" t="s">
        <v>134</v>
      </c>
      <c r="C10" t="s">
        <v>134</v>
      </c>
      <c r="D10" t="s">
        <v>116</v>
      </c>
      <c r="E10">
        <v>11193</v>
      </c>
      <c r="F10">
        <v>3702</v>
      </c>
    </row>
    <row r="11" spans="1:6">
      <c r="A11" t="s">
        <v>381</v>
      </c>
      <c r="B11" t="s">
        <v>12</v>
      </c>
      <c r="C11" t="s">
        <v>12</v>
      </c>
      <c r="D11" t="s">
        <v>116</v>
      </c>
      <c r="E11">
        <v>447248</v>
      </c>
      <c r="F11">
        <v>228063</v>
      </c>
    </row>
    <row r="12" spans="1:6">
      <c r="A12" t="s">
        <v>382</v>
      </c>
      <c r="B12" t="s">
        <v>383</v>
      </c>
      <c r="C12" t="s">
        <v>84</v>
      </c>
      <c r="D12" t="s">
        <v>80</v>
      </c>
      <c r="E12">
        <v>14677</v>
      </c>
      <c r="F12">
        <v>5981</v>
      </c>
    </row>
    <row r="13" spans="1:6">
      <c r="A13" t="s">
        <v>384</v>
      </c>
      <c r="B13" t="s">
        <v>139</v>
      </c>
      <c r="C13" t="s">
        <v>139</v>
      </c>
      <c r="D13" t="s">
        <v>80</v>
      </c>
      <c r="E13">
        <v>254</v>
      </c>
      <c r="F13">
        <v>263</v>
      </c>
    </row>
    <row r="14" spans="1:6">
      <c r="A14" t="s">
        <v>385</v>
      </c>
      <c r="D14" t="s">
        <v>80</v>
      </c>
      <c r="E14">
        <v>462179</v>
      </c>
      <c r="F14">
        <v>234307</v>
      </c>
    </row>
    <row r="15" spans="1:6">
      <c r="A15" t="s">
        <v>386</v>
      </c>
      <c r="D15" t="s">
        <v>80</v>
      </c>
    </row>
    <row r="16" spans="1:6">
      <c r="A16" t="s">
        <v>387</v>
      </c>
      <c r="B16" t="s">
        <v>141</v>
      </c>
      <c r="C16" t="s">
        <v>141</v>
      </c>
      <c r="D16" t="s">
        <v>141</v>
      </c>
    </row>
    <row r="17" spans="1:6">
      <c r="A17" t="s">
        <v>388</v>
      </c>
      <c r="B17" t="s">
        <v>388</v>
      </c>
      <c r="C17" t="s">
        <v>163</v>
      </c>
      <c r="D17" t="s">
        <v>141</v>
      </c>
      <c r="E17">
        <v>16863</v>
      </c>
      <c r="F17">
        <v>18769</v>
      </c>
    </row>
    <row r="18" spans="1:6">
      <c r="A18" t="s">
        <v>389</v>
      </c>
      <c r="B18" t="s">
        <v>390</v>
      </c>
      <c r="C18" t="s">
        <v>161</v>
      </c>
      <c r="D18" t="s">
        <v>141</v>
      </c>
      <c r="E18">
        <v>24470</v>
      </c>
      <c r="F18">
        <v>26920</v>
      </c>
    </row>
    <row r="19" spans="1:6">
      <c r="A19" t="s">
        <v>391</v>
      </c>
      <c r="B19" t="s">
        <v>390</v>
      </c>
      <c r="C19" t="s">
        <v>161</v>
      </c>
      <c r="D19" t="s">
        <v>141</v>
      </c>
      <c r="E19">
        <v>13397</v>
      </c>
      <c r="F19">
        <v>8860</v>
      </c>
    </row>
    <row r="20" spans="1:6">
      <c r="A20" t="s">
        <v>392</v>
      </c>
      <c r="B20" t="s">
        <v>390</v>
      </c>
      <c r="C20" t="s">
        <v>161</v>
      </c>
      <c r="D20" t="s">
        <v>141</v>
      </c>
      <c r="E20">
        <v>32715</v>
      </c>
      <c r="F20">
        <v>17175</v>
      </c>
    </row>
    <row r="21" spans="1:6">
      <c r="A21" t="s">
        <v>393</v>
      </c>
      <c r="B21" t="s">
        <v>394</v>
      </c>
      <c r="C21" t="s">
        <v>162</v>
      </c>
      <c r="D21" t="s">
        <v>141</v>
      </c>
      <c r="F21">
        <v>2763</v>
      </c>
    </row>
    <row r="22" spans="1:6">
      <c r="A22" t="s">
        <v>395</v>
      </c>
      <c r="B22" t="s">
        <v>152</v>
      </c>
      <c r="C22" t="s">
        <v>152</v>
      </c>
      <c r="D22" t="s">
        <v>141</v>
      </c>
      <c r="F22">
        <v>25000</v>
      </c>
    </row>
    <row r="23" spans="1:6">
      <c r="A23" t="s">
        <v>396</v>
      </c>
      <c r="B23" t="s">
        <v>397</v>
      </c>
      <c r="C23" t="s">
        <v>171</v>
      </c>
      <c r="D23" t="s">
        <v>165</v>
      </c>
      <c r="E23">
        <v>4574</v>
      </c>
      <c r="F23">
        <v>3684</v>
      </c>
    </row>
    <row r="24" spans="1:6">
      <c r="A24" t="s">
        <v>398</v>
      </c>
      <c r="B24" t="s">
        <v>13</v>
      </c>
      <c r="C24" t="s">
        <v>13</v>
      </c>
      <c r="D24" t="s">
        <v>141</v>
      </c>
      <c r="E24">
        <v>92019</v>
      </c>
      <c r="F24">
        <v>103171</v>
      </c>
    </row>
    <row r="25" spans="1:6">
      <c r="A25" t="s">
        <v>399</v>
      </c>
      <c r="B25" t="s">
        <v>180</v>
      </c>
      <c r="C25" t="s">
        <v>180</v>
      </c>
      <c r="D25" t="s">
        <v>165</v>
      </c>
    </row>
    <row r="26" spans="1:6">
      <c r="A26" t="s">
        <v>400</v>
      </c>
      <c r="D26" t="s">
        <v>141</v>
      </c>
    </row>
    <row r="27" spans="1:6">
      <c r="A27" t="s">
        <v>401</v>
      </c>
      <c r="B27" t="s">
        <v>182</v>
      </c>
      <c r="C27" t="s">
        <v>182</v>
      </c>
      <c r="D27" t="s">
        <v>141</v>
      </c>
    </row>
    <row r="28" spans="1:6">
      <c r="A28" t="s">
        <v>402</v>
      </c>
      <c r="D28" t="s">
        <v>141</v>
      </c>
    </row>
    <row r="29" spans="1:6">
      <c r="A29" t="s">
        <v>403</v>
      </c>
      <c r="B29" t="s">
        <v>182</v>
      </c>
      <c r="C29" t="s">
        <v>182</v>
      </c>
      <c r="D29" t="s">
        <v>181</v>
      </c>
      <c r="E29">
        <v>782</v>
      </c>
      <c r="F29">
        <v>646</v>
      </c>
    </row>
    <row r="30" spans="1:6">
      <c r="A30" t="s">
        <v>404</v>
      </c>
      <c r="B30" t="s">
        <v>182</v>
      </c>
      <c r="C30" t="s">
        <v>182</v>
      </c>
      <c r="D30" t="s">
        <v>181</v>
      </c>
      <c r="E30">
        <v>1330186</v>
      </c>
      <c r="F30">
        <v>913955</v>
      </c>
    </row>
    <row r="31" spans="1:6">
      <c r="A31" t="s">
        <v>405</v>
      </c>
      <c r="B31" t="s">
        <v>189</v>
      </c>
      <c r="C31" t="s">
        <v>189</v>
      </c>
      <c r="D31" t="s">
        <v>181</v>
      </c>
      <c r="E31">
        <v>-87</v>
      </c>
      <c r="F31">
        <v>-10</v>
      </c>
    </row>
    <row r="32" spans="1:6">
      <c r="A32" t="s">
        <v>406</v>
      </c>
      <c r="B32" t="s">
        <v>187</v>
      </c>
      <c r="C32" t="s">
        <v>187</v>
      </c>
      <c r="D32" t="s">
        <v>181</v>
      </c>
      <c r="E32">
        <v>-960721</v>
      </c>
      <c r="F32">
        <v>-783455</v>
      </c>
    </row>
    <row r="33" spans="1:6">
      <c r="A33" t="s">
        <v>407</v>
      </c>
      <c r="B33" t="s">
        <v>195</v>
      </c>
      <c r="C33" t="s">
        <v>195</v>
      </c>
      <c r="D33" t="s">
        <v>181</v>
      </c>
      <c r="E33">
        <v>370160</v>
      </c>
      <c r="F33">
        <v>131136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/>
  </sheetViews>
  <sheetFormatPr defaultRowHeight="12.75"/>
  <cols>
    <col min="1" max="4" width="25.7109375" customWidth="1"/>
  </cols>
  <sheetData>
    <row r="1" spans="1:7">
      <c r="F1">
        <v>31</v>
      </c>
    </row>
    <row r="2" spans="1:7">
      <c r="E2">
        <v>2018</v>
      </c>
      <c r="F2">
        <v>2017</v>
      </c>
      <c r="G2">
        <v>2016</v>
      </c>
    </row>
    <row r="4" spans="1:7">
      <c r="A4" t="s">
        <v>408</v>
      </c>
      <c r="B4" t="s">
        <v>409</v>
      </c>
      <c r="C4" t="s">
        <v>26</v>
      </c>
      <c r="D4" t="s">
        <v>409</v>
      </c>
    </row>
    <row r="5" spans="1:7">
      <c r="A5" t="s">
        <v>410</v>
      </c>
      <c r="B5" t="s">
        <v>409</v>
      </c>
      <c r="C5" t="s">
        <v>26</v>
      </c>
      <c r="D5" t="s">
        <v>409</v>
      </c>
      <c r="E5">
        <v>77474</v>
      </c>
      <c r="F5">
        <v>30767</v>
      </c>
      <c r="G5">
        <v>1279</v>
      </c>
    </row>
    <row r="6" spans="1:7">
      <c r="A6" t="s">
        <v>411</v>
      </c>
      <c r="B6" t="s">
        <v>58</v>
      </c>
      <c r="C6" t="s">
        <v>58</v>
      </c>
      <c r="D6" t="s">
        <v>409</v>
      </c>
    </row>
    <row r="7" spans="1:7">
      <c r="A7" t="s">
        <v>412</v>
      </c>
      <c r="B7" t="s">
        <v>27</v>
      </c>
      <c r="C7" t="s">
        <v>27</v>
      </c>
      <c r="D7" t="s">
        <v>409</v>
      </c>
      <c r="E7">
        <v>27512</v>
      </c>
      <c r="F7">
        <v>4588</v>
      </c>
      <c r="G7">
        <v>35</v>
      </c>
    </row>
    <row r="8" spans="1:7">
      <c r="A8" t="s">
        <v>413</v>
      </c>
      <c r="B8" t="s">
        <v>37</v>
      </c>
      <c r="C8" t="s">
        <v>37</v>
      </c>
      <c r="D8" t="s">
        <v>409</v>
      </c>
      <c r="E8">
        <v>140032</v>
      </c>
      <c r="F8">
        <v>138582</v>
      </c>
      <c r="G8">
        <v>103125</v>
      </c>
    </row>
    <row r="9" spans="1:7">
      <c r="A9" t="s">
        <v>414</v>
      </c>
      <c r="B9" t="s">
        <v>36</v>
      </c>
      <c r="C9" t="s">
        <v>36</v>
      </c>
      <c r="D9" t="s">
        <v>409</v>
      </c>
      <c r="E9">
        <v>29263</v>
      </c>
      <c r="F9">
        <v>25554</v>
      </c>
      <c r="G9">
        <v>21366</v>
      </c>
    </row>
    <row r="10" spans="1:7">
      <c r="A10" t="s">
        <v>415</v>
      </c>
      <c r="B10" t="s">
        <v>416</v>
      </c>
      <c r="C10" t="s">
        <v>35</v>
      </c>
      <c r="D10" t="s">
        <v>409</v>
      </c>
      <c r="E10">
        <v>-64604</v>
      </c>
      <c r="F10">
        <v>-56601</v>
      </c>
      <c r="G10">
        <v>47668</v>
      </c>
    </row>
    <row r="11" spans="1:7">
      <c r="A11" t="s">
        <v>417</v>
      </c>
      <c r="B11" t="s">
        <v>45</v>
      </c>
      <c r="C11" t="s">
        <v>45</v>
      </c>
      <c r="D11" t="s">
        <v>409</v>
      </c>
      <c r="E11">
        <v>261411</v>
      </c>
      <c r="F11">
        <v>225325</v>
      </c>
      <c r="G11">
        <v>172194</v>
      </c>
    </row>
    <row r="12" spans="1:7">
      <c r="A12" t="s">
        <v>418</v>
      </c>
      <c r="B12" t="s">
        <v>419</v>
      </c>
      <c r="C12" t="s">
        <v>46</v>
      </c>
      <c r="D12" t="s">
        <v>409</v>
      </c>
      <c r="E12">
        <v>-183937</v>
      </c>
      <c r="F12">
        <v>-194558</v>
      </c>
      <c r="G12">
        <v>-170915</v>
      </c>
    </row>
    <row r="13" spans="1:7">
      <c r="A13" t="s">
        <v>420</v>
      </c>
      <c r="B13" t="s">
        <v>421</v>
      </c>
      <c r="C13" t="s">
        <v>33</v>
      </c>
      <c r="D13" t="s">
        <v>409</v>
      </c>
    </row>
    <row r="14" spans="1:7">
      <c r="A14" t="s">
        <v>422</v>
      </c>
      <c r="B14" t="s">
        <v>54</v>
      </c>
      <c r="C14" t="s">
        <v>54</v>
      </c>
      <c r="D14" t="s">
        <v>409</v>
      </c>
      <c r="E14">
        <v>5965</v>
      </c>
      <c r="F14">
        <v>1049</v>
      </c>
      <c r="G14">
        <v>445</v>
      </c>
    </row>
    <row r="15" spans="1:7">
      <c r="A15" t="s">
        <v>423</v>
      </c>
      <c r="B15" t="s">
        <v>51</v>
      </c>
      <c r="C15" t="s">
        <v>51</v>
      </c>
      <c r="D15" t="s">
        <v>409</v>
      </c>
      <c r="E15">
        <v>-2672</v>
      </c>
      <c r="F15">
        <v>-3937</v>
      </c>
      <c r="G15">
        <v>-2664</v>
      </c>
    </row>
    <row r="16" spans="1:7">
      <c r="A16" t="s">
        <v>424</v>
      </c>
      <c r="B16" t="s">
        <v>56</v>
      </c>
      <c r="C16" t="s">
        <v>56</v>
      </c>
      <c r="D16" t="s">
        <v>409</v>
      </c>
      <c r="E16">
        <v>1804</v>
      </c>
      <c r="F16">
        <v>-38</v>
      </c>
      <c r="G16">
        <v>-9</v>
      </c>
    </row>
    <row r="17" spans="1:7">
      <c r="A17" t="s">
        <v>425</v>
      </c>
      <c r="B17" t="s">
        <v>421</v>
      </c>
      <c r="C17" t="s">
        <v>33</v>
      </c>
      <c r="D17" t="s">
        <v>409</v>
      </c>
      <c r="E17">
        <v>5097</v>
      </c>
      <c r="F17">
        <v>-2926</v>
      </c>
      <c r="G17">
        <v>-2228</v>
      </c>
    </row>
    <row r="18" spans="1:7">
      <c r="A18" t="s">
        <v>426</v>
      </c>
      <c r="B18" t="s">
        <v>66</v>
      </c>
      <c r="C18" t="s">
        <v>66</v>
      </c>
      <c r="D18" t="s">
        <v>409</v>
      </c>
      <c r="E18">
        <v>-178840</v>
      </c>
      <c r="F18">
        <v>-197484</v>
      </c>
      <c r="G18">
        <v>-173143</v>
      </c>
    </row>
    <row r="19" spans="1:7">
      <c r="A19" t="s">
        <v>427</v>
      </c>
      <c r="B19" t="s">
        <v>428</v>
      </c>
      <c r="C19" t="s">
        <v>429</v>
      </c>
      <c r="D19" t="s">
        <v>409</v>
      </c>
    </row>
    <row r="20" spans="1:7">
      <c r="A20" t="s">
        <v>430</v>
      </c>
      <c r="B20" t="s">
        <v>48</v>
      </c>
      <c r="C20" t="s">
        <v>48</v>
      </c>
      <c r="D20" t="s">
        <v>409</v>
      </c>
      <c r="E20">
        <v>-77</v>
      </c>
      <c r="F20">
        <v>7</v>
      </c>
      <c r="G20">
        <v>23</v>
      </c>
    </row>
    <row r="21" spans="1:7">
      <c r="A21" t="s">
        <v>431</v>
      </c>
      <c r="B21" t="s">
        <v>428</v>
      </c>
      <c r="C21" t="s">
        <v>429</v>
      </c>
      <c r="D21" t="s">
        <v>409</v>
      </c>
      <c r="E21">
        <v>-178917</v>
      </c>
      <c r="F21">
        <v>-197477</v>
      </c>
      <c r="G21">
        <v>-173120</v>
      </c>
    </row>
    <row r="22" spans="1:7">
      <c r="A22" t="s">
        <v>432</v>
      </c>
      <c r="D22" t="s">
        <v>409</v>
      </c>
      <c r="E22">
        <v>-244</v>
      </c>
      <c r="F22">
        <v>-365</v>
      </c>
      <c r="G22">
        <v>-456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/>
  </sheetViews>
  <sheetFormatPr defaultRowHeight="12.75"/>
  <cols>
    <col min="1" max="4" width="25.7109375" customWidth="1"/>
  </cols>
  <sheetData>
    <row r="1" spans="1:7">
      <c r="A1" t="s">
        <v>433</v>
      </c>
    </row>
    <row r="2" spans="1:7">
      <c r="F2">
        <v>31</v>
      </c>
    </row>
    <row r="3" spans="1:7">
      <c r="E3">
        <v>2018</v>
      </c>
      <c r="F3">
        <v>2017</v>
      </c>
      <c r="G3">
        <v>2016</v>
      </c>
    </row>
    <row r="5" spans="1:7">
      <c r="A5" t="s">
        <v>434</v>
      </c>
      <c r="B5" t="s">
        <v>231</v>
      </c>
      <c r="C5" t="s">
        <v>231</v>
      </c>
      <c r="D5" t="s">
        <v>435</v>
      </c>
    </row>
    <row r="6" spans="1:7">
      <c r="A6" t="s">
        <v>426</v>
      </c>
      <c r="B6" t="s">
        <v>232</v>
      </c>
      <c r="C6" t="s">
        <v>232</v>
      </c>
      <c r="D6" t="s">
        <v>435</v>
      </c>
      <c r="E6">
        <v>-178840</v>
      </c>
      <c r="F6">
        <v>-197484</v>
      </c>
      <c r="G6">
        <v>-173143</v>
      </c>
    </row>
    <row r="7" spans="1:7">
      <c r="A7" t="s">
        <v>436</v>
      </c>
      <c r="D7" t="s">
        <v>435</v>
      </c>
    </row>
    <row r="8" spans="1:7">
      <c r="A8" t="s">
        <v>437</v>
      </c>
      <c r="B8" t="s">
        <v>248</v>
      </c>
      <c r="C8" t="s">
        <v>248</v>
      </c>
      <c r="D8" t="s">
        <v>435</v>
      </c>
      <c r="E8">
        <v>33367</v>
      </c>
      <c r="F8">
        <v>30538</v>
      </c>
      <c r="G8">
        <v>25956</v>
      </c>
    </row>
    <row r="9" spans="1:7">
      <c r="A9" t="s">
        <v>438</v>
      </c>
      <c r="B9" t="s">
        <v>236</v>
      </c>
      <c r="C9" t="s">
        <v>236</v>
      </c>
      <c r="D9" t="s">
        <v>435</v>
      </c>
      <c r="E9">
        <v>1513</v>
      </c>
      <c r="F9">
        <v>1531</v>
      </c>
      <c r="G9">
        <v>1099</v>
      </c>
    </row>
    <row r="10" spans="1:7">
      <c r="A10" t="s">
        <v>439</v>
      </c>
      <c r="B10" t="s">
        <v>240</v>
      </c>
      <c r="C10" t="s">
        <v>240</v>
      </c>
      <c r="D10" t="s">
        <v>435</v>
      </c>
      <c r="E10">
        <v>890</v>
      </c>
      <c r="F10">
        <v>773</v>
      </c>
      <c r="G10">
        <v>689</v>
      </c>
    </row>
    <row r="11" spans="1:7">
      <c r="A11" t="s">
        <v>440</v>
      </c>
      <c r="B11" t="s">
        <v>240</v>
      </c>
      <c r="C11" t="s">
        <v>240</v>
      </c>
      <c r="D11" t="s">
        <v>435</v>
      </c>
      <c r="E11">
        <v>-3412</v>
      </c>
      <c r="F11">
        <v>-278</v>
      </c>
      <c r="G11">
        <v>274</v>
      </c>
    </row>
    <row r="12" spans="1:7">
      <c r="A12" t="s">
        <v>441</v>
      </c>
      <c r="B12" t="s">
        <v>236</v>
      </c>
      <c r="C12" t="s">
        <v>236</v>
      </c>
      <c r="D12" t="s">
        <v>435</v>
      </c>
      <c r="E12">
        <v>72</v>
      </c>
    </row>
    <row r="13" spans="1:7">
      <c r="A13" t="s">
        <v>442</v>
      </c>
      <c r="B13" t="s">
        <v>288</v>
      </c>
      <c r="C13" t="s">
        <v>288</v>
      </c>
      <c r="D13" t="s">
        <v>435</v>
      </c>
      <c r="E13">
        <v>29</v>
      </c>
      <c r="F13">
        <v>39</v>
      </c>
      <c r="G13">
        <v>9</v>
      </c>
    </row>
    <row r="14" spans="1:7">
      <c r="A14" t="s">
        <v>443</v>
      </c>
      <c r="B14" t="s">
        <v>251</v>
      </c>
      <c r="C14" t="s">
        <v>251</v>
      </c>
      <c r="D14" t="s">
        <v>435</v>
      </c>
    </row>
    <row r="15" spans="1:7">
      <c r="A15" t="s">
        <v>444</v>
      </c>
      <c r="B15" t="s">
        <v>265</v>
      </c>
      <c r="C15" t="s">
        <v>265</v>
      </c>
      <c r="D15" t="s">
        <v>435</v>
      </c>
      <c r="E15">
        <v>-22778</v>
      </c>
      <c r="F15">
        <v>-39914</v>
      </c>
      <c r="G15">
        <v>-1960</v>
      </c>
    </row>
    <row r="16" spans="1:7">
      <c r="A16" t="s">
        <v>445</v>
      </c>
      <c r="B16" t="s">
        <v>264</v>
      </c>
      <c r="C16" t="s">
        <v>264</v>
      </c>
      <c r="D16" t="s">
        <v>435</v>
      </c>
      <c r="E16">
        <v>-7482</v>
      </c>
      <c r="F16">
        <v>3</v>
      </c>
      <c r="G16">
        <v>-338</v>
      </c>
    </row>
    <row r="17" spans="1:7">
      <c r="A17" t="s">
        <v>379</v>
      </c>
      <c r="B17" t="s">
        <v>261</v>
      </c>
      <c r="C17" t="s">
        <v>261</v>
      </c>
      <c r="D17" t="s">
        <v>435</v>
      </c>
      <c r="E17">
        <v>-29122</v>
      </c>
      <c r="F17">
        <v>-4768</v>
      </c>
      <c r="G17">
        <v>-5340</v>
      </c>
    </row>
    <row r="18" spans="1:7">
      <c r="A18" t="s">
        <v>388</v>
      </c>
      <c r="B18" t="s">
        <v>275</v>
      </c>
      <c r="C18" t="s">
        <v>275</v>
      </c>
      <c r="D18" t="s">
        <v>435</v>
      </c>
      <c r="E18">
        <v>-1906</v>
      </c>
      <c r="F18">
        <v>11955</v>
      </c>
      <c r="G18">
        <v>3514</v>
      </c>
    </row>
    <row r="19" spans="1:7">
      <c r="A19" t="s">
        <v>389</v>
      </c>
      <c r="B19" t="s">
        <v>277</v>
      </c>
      <c r="C19" t="s">
        <v>277</v>
      </c>
      <c r="D19" t="s">
        <v>435</v>
      </c>
      <c r="E19">
        <v>-3614</v>
      </c>
      <c r="F19">
        <v>13713</v>
      </c>
      <c r="G19">
        <v>7976</v>
      </c>
    </row>
    <row r="20" spans="1:7">
      <c r="A20" t="s">
        <v>391</v>
      </c>
      <c r="B20" t="s">
        <v>277</v>
      </c>
      <c r="C20" t="s">
        <v>277</v>
      </c>
      <c r="D20" t="s">
        <v>435</v>
      </c>
      <c r="E20">
        <v>4537</v>
      </c>
      <c r="F20">
        <v>446</v>
      </c>
      <c r="G20">
        <v>3586</v>
      </c>
    </row>
    <row r="21" spans="1:7">
      <c r="A21" t="s">
        <v>393</v>
      </c>
      <c r="B21" t="s">
        <v>269</v>
      </c>
      <c r="C21" t="s">
        <v>269</v>
      </c>
      <c r="D21" t="s">
        <v>435</v>
      </c>
      <c r="F21">
        <v>1664</v>
      </c>
      <c r="G21">
        <v>1099</v>
      </c>
    </row>
    <row r="22" spans="1:7">
      <c r="A22" t="s">
        <v>392</v>
      </c>
      <c r="B22" t="s">
        <v>277</v>
      </c>
      <c r="C22" t="s">
        <v>277</v>
      </c>
      <c r="D22" t="s">
        <v>435</v>
      </c>
      <c r="E22">
        <v>14941</v>
      </c>
      <c r="F22">
        <v>11482</v>
      </c>
      <c r="G22">
        <v>2482</v>
      </c>
    </row>
    <row r="23" spans="1:7">
      <c r="A23" t="s">
        <v>446</v>
      </c>
      <c r="B23" t="s">
        <v>285</v>
      </c>
      <c r="C23" t="s">
        <v>285</v>
      </c>
      <c r="D23" t="s">
        <v>435</v>
      </c>
      <c r="E23">
        <v>-191805</v>
      </c>
      <c r="F23">
        <v>-170300</v>
      </c>
      <c r="G23">
        <v>-134097</v>
      </c>
    </row>
    <row r="24" spans="1:7">
      <c r="A24" t="s">
        <v>447</v>
      </c>
      <c r="B24" t="s">
        <v>286</v>
      </c>
      <c r="C24" t="s">
        <v>286</v>
      </c>
      <c r="D24" t="s">
        <v>448</v>
      </c>
    </row>
    <row r="25" spans="1:7">
      <c r="A25" t="s">
        <v>449</v>
      </c>
      <c r="B25" t="s">
        <v>290</v>
      </c>
      <c r="C25" t="s">
        <v>290</v>
      </c>
      <c r="D25" t="s">
        <v>448</v>
      </c>
      <c r="E25">
        <v>-497104</v>
      </c>
      <c r="F25">
        <v>-121570</v>
      </c>
      <c r="G25">
        <v>-43318</v>
      </c>
    </row>
    <row r="26" spans="1:7">
      <c r="A26" t="s">
        <v>450</v>
      </c>
      <c r="B26" t="s">
        <v>291</v>
      </c>
      <c r="C26" t="s">
        <v>291</v>
      </c>
      <c r="D26" t="s">
        <v>448</v>
      </c>
      <c r="E26">
        <v>227700</v>
      </c>
      <c r="F26">
        <v>131783</v>
      </c>
      <c r="G26">
        <v>61329</v>
      </c>
    </row>
    <row r="27" spans="1:7">
      <c r="A27" t="s">
        <v>451</v>
      </c>
      <c r="B27" t="s">
        <v>287</v>
      </c>
      <c r="C27" t="s">
        <v>287</v>
      </c>
      <c r="D27" t="s">
        <v>448</v>
      </c>
      <c r="E27">
        <v>-9171</v>
      </c>
      <c r="F27">
        <v>-2553</v>
      </c>
      <c r="G27">
        <v>-3135</v>
      </c>
    </row>
    <row r="28" spans="1:7">
      <c r="A28" t="s">
        <v>452</v>
      </c>
      <c r="B28" t="s">
        <v>288</v>
      </c>
      <c r="C28" t="s">
        <v>288</v>
      </c>
      <c r="D28" t="s">
        <v>448</v>
      </c>
      <c r="E28">
        <v>25</v>
      </c>
      <c r="F28">
        <v>78</v>
      </c>
    </row>
    <row r="29" spans="1:7">
      <c r="A29" t="s">
        <v>453</v>
      </c>
      <c r="B29" t="s">
        <v>296</v>
      </c>
      <c r="C29" t="s">
        <v>296</v>
      </c>
      <c r="D29" t="s">
        <v>448</v>
      </c>
      <c r="E29">
        <v>-278550</v>
      </c>
      <c r="F29">
        <v>7738</v>
      </c>
      <c r="G29">
        <v>14876</v>
      </c>
    </row>
    <row r="30" spans="1:7">
      <c r="A30" t="s">
        <v>454</v>
      </c>
      <c r="B30" t="s">
        <v>297</v>
      </c>
      <c r="C30" t="s">
        <v>297</v>
      </c>
      <c r="D30" t="s">
        <v>455</v>
      </c>
    </row>
    <row r="31" spans="1:7">
      <c r="A31" t="s">
        <v>456</v>
      </c>
      <c r="B31" t="s">
        <v>298</v>
      </c>
      <c r="C31" t="s">
        <v>298</v>
      </c>
      <c r="D31" t="s">
        <v>455</v>
      </c>
      <c r="E31">
        <v>363128</v>
      </c>
      <c r="F31">
        <v>306279</v>
      </c>
    </row>
    <row r="32" spans="1:7">
      <c r="A32" t="s">
        <v>457</v>
      </c>
      <c r="B32" t="s">
        <v>298</v>
      </c>
      <c r="C32" t="s">
        <v>298</v>
      </c>
      <c r="D32" t="s">
        <v>455</v>
      </c>
      <c r="E32">
        <v>1179</v>
      </c>
      <c r="F32">
        <v>989</v>
      </c>
      <c r="G32">
        <v>771</v>
      </c>
    </row>
    <row r="33" spans="1:7">
      <c r="A33" t="s">
        <v>458</v>
      </c>
      <c r="B33" t="s">
        <v>298</v>
      </c>
      <c r="C33" t="s">
        <v>298</v>
      </c>
      <c r="D33" t="s">
        <v>455</v>
      </c>
      <c r="E33">
        <v>18301</v>
      </c>
      <c r="F33">
        <v>11463</v>
      </c>
      <c r="G33">
        <v>6684</v>
      </c>
    </row>
    <row r="34" spans="1:7">
      <c r="A34" t="s">
        <v>459</v>
      </c>
      <c r="B34" t="s">
        <v>299</v>
      </c>
      <c r="C34" t="s">
        <v>299</v>
      </c>
      <c r="D34" t="s">
        <v>455</v>
      </c>
      <c r="G34">
        <v>50000</v>
      </c>
    </row>
    <row r="35" spans="1:7">
      <c r="A35" t="s">
        <v>460</v>
      </c>
      <c r="D35" t="s">
        <v>455</v>
      </c>
      <c r="E35">
        <v>-25000</v>
      </c>
      <c r="F35">
        <v>-25000</v>
      </c>
    </row>
    <row r="36" spans="1:7">
      <c r="A36" t="s">
        <v>461</v>
      </c>
      <c r="B36" t="s">
        <v>311</v>
      </c>
      <c r="C36" t="s">
        <v>311</v>
      </c>
      <c r="D36" t="s">
        <v>455</v>
      </c>
      <c r="E36">
        <v>357608</v>
      </c>
      <c r="F36">
        <v>293731</v>
      </c>
      <c r="G36">
        <v>57455</v>
      </c>
    </row>
    <row r="37" spans="1:7">
      <c r="A37" t="s">
        <v>462</v>
      </c>
      <c r="B37" t="s">
        <v>463</v>
      </c>
      <c r="C37" t="s">
        <v>312</v>
      </c>
      <c r="D37" t="s">
        <v>455</v>
      </c>
      <c r="E37">
        <v>-112747</v>
      </c>
      <c r="F37">
        <v>131169</v>
      </c>
      <c r="G37">
        <v>-61766</v>
      </c>
    </row>
    <row r="38" spans="1:7">
      <c r="A38" t="s">
        <v>464</v>
      </c>
      <c r="B38" t="s">
        <v>465</v>
      </c>
      <c r="C38" t="s">
        <v>315</v>
      </c>
      <c r="D38" t="s">
        <v>455</v>
      </c>
      <c r="E38">
        <v>144583</v>
      </c>
      <c r="F38">
        <v>13414</v>
      </c>
      <c r="G38">
        <v>75180</v>
      </c>
    </row>
    <row r="39" spans="1:7">
      <c r="A39" t="s">
        <v>466</v>
      </c>
      <c r="B39" t="s">
        <v>316</v>
      </c>
      <c r="C39" t="s">
        <v>316</v>
      </c>
      <c r="D39" t="s">
        <v>455</v>
      </c>
      <c r="E39">
        <v>31836</v>
      </c>
      <c r="F39">
        <v>144583</v>
      </c>
      <c r="G39">
        <v>13414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3A8869-D2BC-4A0A-BC04-32DEC97A06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1BCB4E-FF17-410A-8B67-512C7D84EB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70D65F-4086-4536-982F-EE7BBEA1CE7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2021-11-19T05:05:06Z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