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F184" i="1"/>
  <c r="F189" i="1" s="1"/>
  <c r="F9" i="1" s="1"/>
  <c r="F384" i="1" s="1"/>
  <c r="G92" i="1"/>
  <c r="F92" i="1"/>
  <c r="G89" i="1"/>
  <c r="F89" i="1"/>
  <c r="G144" i="1"/>
  <c r="F144" i="1"/>
  <c r="G60" i="1"/>
  <c r="F60" i="1"/>
  <c r="G24" i="1"/>
  <c r="G364" i="1" s="1"/>
  <c r="F24" i="1"/>
  <c r="F364" i="1" s="1"/>
  <c r="G433" i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H381" i="1"/>
  <c r="M377" i="1"/>
  <c r="L377" i="1"/>
  <c r="O376" i="1"/>
  <c r="N376" i="1"/>
  <c r="O375" i="1"/>
  <c r="N375" i="1"/>
  <c r="M375" i="1"/>
  <c r="L375" i="1"/>
  <c r="K375" i="1"/>
  <c r="J375" i="1"/>
  <c r="I375" i="1"/>
  <c r="H375" i="1"/>
  <c r="K373" i="1"/>
  <c r="J373" i="1"/>
  <c r="O371" i="1"/>
  <c r="N371" i="1"/>
  <c r="I370" i="1"/>
  <c r="H370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G319" i="1" s="1"/>
  <c r="F318" i="1"/>
  <c r="F319" i="1" s="1"/>
  <c r="F326" i="1" s="1"/>
  <c r="O297" i="1"/>
  <c r="N297" i="1"/>
  <c r="M297" i="1"/>
  <c r="L297" i="1"/>
  <c r="K297" i="1"/>
  <c r="J297" i="1"/>
  <c r="I297" i="1"/>
  <c r="H297" i="1"/>
  <c r="G297" i="1"/>
  <c r="F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98" i="1"/>
  <c r="F100" i="1" s="1"/>
  <c r="F128" i="1" s="1"/>
  <c r="F7" i="1" s="1"/>
  <c r="F161" i="1"/>
  <c r="F8" i="1" s="1"/>
  <c r="F30" i="1"/>
  <c r="F369" i="1" s="1"/>
  <c r="G326" i="1"/>
  <c r="F353" i="1"/>
  <c r="F355" i="1" s="1"/>
  <c r="F357" i="1" s="1"/>
  <c r="F385" i="1"/>
  <c r="J378" i="1"/>
  <c r="J368" i="1"/>
  <c r="N370" i="1"/>
  <c r="H373" i="1"/>
  <c r="F375" i="1"/>
  <c r="L376" i="1"/>
  <c r="J377" i="1"/>
  <c r="F381" i="1"/>
  <c r="L382" i="1"/>
  <c r="J383" i="1"/>
  <c r="H384" i="1"/>
  <c r="J384" i="1"/>
  <c r="K368" i="1"/>
  <c r="O370" i="1"/>
  <c r="I373" i="1"/>
  <c r="G375" i="1"/>
  <c r="M376" i="1"/>
  <c r="K377" i="1"/>
  <c r="G381" i="1"/>
  <c r="M382" i="1"/>
  <c r="K383" i="1"/>
  <c r="I384" i="1"/>
  <c r="K378" i="1"/>
  <c r="F363" i="1"/>
  <c r="N368" i="1"/>
  <c r="H371" i="1"/>
  <c r="N372" i="1"/>
  <c r="L373" i="1"/>
  <c r="H376" i="1"/>
  <c r="F377" i="1"/>
  <c r="N377" i="1"/>
  <c r="L378" i="1"/>
  <c r="H382" i="1"/>
  <c r="G363" i="1"/>
  <c r="O368" i="1"/>
  <c r="I371" i="1"/>
  <c r="O372" i="1"/>
  <c r="M373" i="1"/>
  <c r="I376" i="1"/>
  <c r="G377" i="1"/>
  <c r="O377" i="1"/>
  <c r="M378" i="1"/>
  <c r="I382" i="1"/>
  <c r="F13" i="1"/>
  <c r="H363" i="1"/>
  <c r="K384" i="1"/>
  <c r="G13" i="1"/>
  <c r="G44" i="1"/>
  <c r="I363" i="1"/>
  <c r="G382" i="1" l="1"/>
  <c r="G12" i="1"/>
  <c r="F12" i="1"/>
  <c r="F376" i="1" s="1"/>
  <c r="F383" i="1"/>
  <c r="F382" i="1"/>
  <c r="F44" i="1"/>
  <c r="F378" i="1" s="1"/>
  <c r="G14" i="1"/>
  <c r="G366" i="1"/>
  <c r="G378" i="1"/>
  <c r="G370" i="1"/>
  <c r="G59" i="1"/>
  <c r="G67" i="1" s="1"/>
  <c r="G71" i="1" s="1"/>
  <c r="F366" i="1"/>
  <c r="G353" i="1"/>
  <c r="G355" i="1" s="1"/>
  <c r="G357" i="1" s="1"/>
  <c r="G385" i="1"/>
  <c r="G376" i="1"/>
  <c r="F14" i="1" l="1"/>
  <c r="F59" i="1"/>
  <c r="F67" i="1" s="1"/>
  <c r="F71" i="1" s="1"/>
  <c r="F373" i="1" s="1"/>
  <c r="F370" i="1"/>
  <c r="G373" i="1"/>
  <c r="G83" i="1"/>
  <c r="G372" i="1"/>
  <c r="G6" i="1"/>
  <c r="F6" i="1" l="1"/>
  <c r="F365" i="1" s="1"/>
  <c r="F372" i="1"/>
  <c r="F83" i="1"/>
  <c r="G371" i="1"/>
  <c r="G365" i="1"/>
  <c r="F371" i="1" l="1"/>
</calcChain>
</file>

<file path=xl/sharedStrings.xml><?xml version="1.0" encoding="utf-8"?>
<sst xmlns="http://schemas.openxmlformats.org/spreadsheetml/2006/main" count="943" uniqueCount="557">
  <si>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</si>
  <si>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</si>
  <si>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</si>
  <si>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</si>
  <si>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</si>
  <si>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</si>
  <si>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</si>
  <si>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</si>
  <si>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</si>
  <si>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</si>
  <si>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</si>
  <si>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</si>
  <si>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</si>
  <si>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</si>
  <si>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</si>
  <si>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</si>
  <si>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</si>
  <si>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</si>
  <si>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</si>
  <si>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</si>
  <si>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</si>
  <si>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</si>
  <si>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</si>
  <si>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</si>
  <si>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</si>
  <si>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</si>
  <si>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</si>
  <si>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</si>
  <si>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</si>
  <si>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</si>
  <si>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</si>
  <si>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</si>
  <si>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</si>
  <si>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</si>
  <si>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</si>
  <si>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</si>
  <si>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</si>
  <si>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</si>
  <si>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</si>
  <si>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</si>
  <si>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</si>
  <si>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</si>
  <si>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</si>
  <si>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</si>
  <si>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</si>
  <si>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</si>
  <si>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</si>
  <si>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</si>
  <si>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</si>
  <si>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</si>
  <si>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</si>
  <si>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</si>
  <si>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</si>
  <si>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</si>
  <si>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</si>
  <si>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</si>
  <si>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</si>
  <si>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</si>
  <si>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</si>
  <si>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</si>
  <si>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</si>
  <si>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</si>
  <si>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</si>
  <si>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</si>
  <si>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</si>
  <si>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</si>
  <si>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</si>
  <si>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</si>
  <si>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</si>
  <si>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</si>
  <si>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</si>
  <si>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</si>
  <si>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</si>
  <si>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</si>
  <si>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</si>
  <si>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</si>
  <si>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</si>
  <si>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</si>
  <si>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</si>
  <si>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</si>
  <si>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</si>
  <si>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</si>
  <si>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</si>
  <si>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</si>
  <si>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</si>
  <si>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</si>
  <si>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</si>
  <si>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</si>
  <si>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</si>
  <si>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</si>
  <si>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</si>
  <si>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</si>
  <si>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</si>
  <si>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</si>
  <si>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</si>
  <si>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</si>
  <si>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</si>
  <si>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</si>
  <si>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</si>
  <si>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</si>
  <si>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</si>
  <si>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</si>
  <si>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</si>
  <si>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</si>
  <si>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</si>
  <si>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</si>
  <si>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</si>
  <si>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</si>
  <si>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</si>
  <si>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</si>
  <si>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</si>
  <si>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</si>
  <si>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</si>
  <si>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</si>
  <si>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</si>
  <si>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</si>
  <si>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</si>
  <si>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</si>
  <si>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</si>
  <si>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</si>
  <si>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</si>
  <si>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</si>
  <si>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</si>
  <si>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</si>
  <si>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</si>
  <si>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</si>
  <si>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</si>
  <si>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</si>
  <si>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</si>
  <si>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</si>
  <si>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</si>
  <si>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</si>
  <si>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</si>
  <si>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</si>
  <si>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</si>
  <si>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</si>
  <si>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</si>
  <si>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</si>
  <si>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</si>
  <si>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</si>
  <si>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</si>
  <si>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</si>
  <si>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</si>
  <si>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</si>
  <si>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</si>
  <si>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</si>
  <si>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</si>
  <si>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</si>
  <si>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</si>
  <si>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</si>
  <si>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</si>
  <si>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</si>
  <si>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</si>
  <si>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</si>
  <si>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</si>
  <si>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</si>
  <si>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</si>
  <si>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</si>
  <si>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</si>
  <si>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</si>
  <si>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</si>
  <si>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</si>
  <si>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</si>
  <si>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</si>
  <si>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</si>
  <si>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</si>
  <si>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</si>
  <si>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</si>
  <si>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</si>
  <si>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</si>
  <si>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</si>
  <si>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</si>
  <si>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</si>
  <si>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</si>
  <si>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</si>
  <si>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</si>
  <si>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</si>
  <si>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</si>
  <si>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</si>
  <si>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</si>
  <si>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</si>
  <si>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</si>
  <si>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</si>
  <si>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</si>
  <si>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</si>
  <si>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</si>
  <si>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</si>
  <si>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</si>
  <si>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</si>
  <si>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</si>
  <si>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</si>
  <si>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</si>
  <si>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</si>
  <si>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</si>
  <si>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</si>
  <si>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</si>
  <si>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</si>
  <si>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</si>
  <si>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</si>
  <si>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</si>
  <si>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</si>
  <si>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</si>
  <si>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</si>
  <si>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</si>
  <si>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</si>
  <si>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</si>
  <si>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</si>
  <si>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</si>
  <si>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</si>
  <si>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</si>
  <si>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</si>
  <si>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</si>
  <si>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</si>
  <si>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</si>
  <si>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</si>
  <si>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</si>
  <si>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</si>
  <si>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</si>
  <si>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</si>
  <si>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</si>
  <si>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</si>
  <si>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</si>
  <si>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</si>
  <si>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</si>
  <si>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</si>
  <si>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</si>
  <si>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</si>
  <si>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</si>
  <si>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</si>
  <si>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</si>
  <si>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</si>
  <si>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</si>
  <si>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</si>
  <si>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</si>
  <si>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</si>
  <si>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</si>
  <si>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</si>
  <si>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</si>
  <si>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</si>
  <si>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</si>
  <si>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</si>
  <si>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</si>
  <si>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</si>
  <si>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</si>
  <si>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</si>
  <si>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</si>
  <si>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</si>
  <si>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</si>
  <si>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</si>
  <si>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</si>
  <si>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</si>
  <si>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</si>
  <si>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</si>
  <si>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</si>
  <si>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</si>
  <si>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</si>
  <si>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</si>
  <si>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</si>
  <si>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</si>
  <si>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</si>
  <si>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</si>
  <si>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</si>
  <si>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</si>
  <si>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</si>
  <si>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</si>
  <si>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</si>
  <si>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</si>
  <si>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</si>
  <si>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</si>
  <si>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</si>
  <si>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</si>
  <si>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</si>
  <si>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</si>
  <si>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</si>
  <si>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</si>
  <si>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</si>
  <si>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</si>
  <si>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</si>
  <si>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</si>
  <si>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</si>
  <si>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</si>
  <si>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</si>
  <si>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</si>
  <si>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</si>
  <si>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</si>
  <si>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</si>
  <si>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</si>
  <si>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</si>
  <si>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</si>
  <si>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</si>
  <si>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</si>
  <si>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</si>
  <si>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</si>
  <si>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</si>
  <si>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</si>
  <si>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</si>
  <si>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</si>
  <si>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</si>
  <si>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</si>
  <si>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</si>
  <si>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</si>
  <si>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</si>
  <si>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</si>
  <si>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</si>
  <si>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</si>
  <si>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</si>
  <si>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</si>
  <si>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</si>
  <si>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</si>
  <si>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</si>
  <si>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</si>
  <si>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</si>
  <si>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</si>
  <si>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</si>
  <si>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</si>
  <si>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</si>
  <si>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</si>
  <si>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</si>
  <si>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</si>
  <si>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</si>
  <si>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</si>
  <si>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</si>
  <si>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</si>
  <si>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</si>
  <si>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</si>
  <si>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</si>
  <si>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</si>
  <si>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</si>
  <si>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</si>
  <si>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</si>
  <si>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</si>
  <si>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</si>
  <si>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</si>
  <si>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</si>
  <si>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</si>
  <si>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</si>
  <si>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</si>
  <si>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</si>
  <si>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</si>
  <si>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</si>
  <si>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</si>
  <si>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</si>
  <si>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</si>
  <si>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</si>
  <si>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</si>
  <si>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</si>
  <si>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</si>
  <si>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</si>
  <si>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</si>
  <si>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</si>
  <si>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</si>
  <si>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</si>
  <si>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</si>
  <si>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</si>
  <si>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</si>
  <si>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</si>
  <si>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</si>
  <si>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</si>
  <si>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</si>
  <si>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</si>
  <si>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</si>
  <si>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</si>
  <si>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</si>
  <si>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</si>
  <si>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</si>
  <si>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</si>
  <si>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</si>
  <si>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</si>
  <si>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</si>
  <si>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</si>
  <si>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</si>
  <si>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</si>
  <si>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</si>
  <si>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</si>
  <si>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</si>
  <si>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</si>
  <si>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</si>
  <si>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 of allowance for doubtful accounts of $245 and $215, respectively</t>
  </si>
  <si>
    <t>Due from  related parties</t>
  </si>
  <si>
    <t>Inventories, net</t>
  </si>
  <si>
    <t>Lease receivable, current, net of allowance for doubtful accounts of $40 and $0, respectively</t>
  </si>
  <si>
    <t>Other current assets</t>
  </si>
  <si>
    <t>Total current assets</t>
  </si>
  <si>
    <t>Property and equipment, net</t>
  </si>
  <si>
    <t>Property and Equipment</t>
  </si>
  <si>
    <t>Goodwill</t>
  </si>
  <si>
    <t>Other intangible assets, net</t>
  </si>
  <si>
    <t>Other Intangibles</t>
  </si>
  <si>
    <t>Deferred tax asset, net</t>
  </si>
  <si>
    <t>Lease receivable, non-current</t>
  </si>
  <si>
    <t>Investments in unconsolidated affiliates</t>
  </si>
  <si>
    <t>Other non-current assets</t>
  </si>
  <si>
    <t>Total assets</t>
  </si>
  <si>
    <t>LIABILITIES AND STOCKHOLDERS' EQUITY</t>
  </si>
  <si>
    <t>Current liabilities:</t>
  </si>
  <si>
    <t>Accounts payable</t>
  </si>
  <si>
    <t>Due to  related parties</t>
  </si>
  <si>
    <t>Accrued liabilities</t>
  </si>
  <si>
    <t>Current portion of deferred revenue, and other</t>
  </si>
  <si>
    <t>Accrued Revenue</t>
  </si>
  <si>
    <t>Total current liabilities</t>
  </si>
  <si>
    <t>Deferred revenue, net of current portion</t>
  </si>
  <si>
    <t>Line of credit and other long-term borrowings</t>
  </si>
  <si>
    <t>Borrowings</t>
  </si>
  <si>
    <t>Other liabilities</t>
  </si>
  <si>
    <t>Total liabilities</t>
  </si>
  <si>
    <t>Commitments and contingencies (Note 13)</t>
  </si>
  <si>
    <t>Stockholders' equity:</t>
  </si>
  <si>
    <t>Preferred stock, $.01 par value, 2,500,000 shares authorized, none issued or</t>
  </si>
  <si>
    <t>outstanding</t>
  </si>
  <si>
    <t>Common stock, $.01 par value, 10,250,000 and 10,000,000 shares authorized,</t>
  </si>
  <si>
    <t>respectively, none issued or outstanding</t>
  </si>
  <si>
    <t>Public common stock, $.01 par value, 10,250,000 and 10,000,000 shares authorized, 7,675,692 and 7,302,954 shares issued and outstanding, respectively</t>
  </si>
  <si>
    <t>Additional paid-in capital</t>
  </si>
  <si>
    <t>Accumulated other comprehensive income</t>
  </si>
  <si>
    <t>Accumulated deficit</t>
  </si>
  <si>
    <t>Total stockholders' equity</t>
  </si>
  <si>
    <t>Total liabilities and stockholders' equity</t>
  </si>
  <si>
    <t>Revenue:</t>
  </si>
  <si>
    <t>Revenue</t>
  </si>
  <si>
    <t>Core companion animal</t>
  </si>
  <si>
    <t>Other vaccines and pharmaceuticals</t>
  </si>
  <si>
    <t>Total revenue, net</t>
  </si>
  <si>
    <t>Net revenue</t>
  </si>
  <si>
    <t>Cost of revenue</t>
  </si>
  <si>
    <t>Gross profit</t>
  </si>
  <si>
    <t>Gross Profit</t>
  </si>
  <si>
    <t>Operating expenses:</t>
  </si>
  <si>
    <t>Selling and marketing</t>
  </si>
  <si>
    <t>Selling and distribution expenses</t>
  </si>
  <si>
    <t>Research and development</t>
  </si>
  <si>
    <t>General and administrative</t>
  </si>
  <si>
    <t>Total operating expenses</t>
  </si>
  <si>
    <t>Operating income</t>
  </si>
  <si>
    <t>Interest and other (income) expense, net</t>
  </si>
  <si>
    <t>Other Income - net</t>
  </si>
  <si>
    <t>Income before income taxes and equity in losses of unconsolidated affiliates</t>
  </si>
  <si>
    <t>Profit before Zakat</t>
  </si>
  <si>
    <t>Income tax (benefit) expense:</t>
  </si>
  <si>
    <t>Current income tax expense</t>
  </si>
  <si>
    <t>Deferred income tax (benefit) expense</t>
  </si>
  <si>
    <t>Total income tax (benefit) expense</t>
  </si>
  <si>
    <t>Net income before equity in losses of unconsolidated affiliates</t>
  </si>
  <si>
    <t>Equity in losses of unconsolidated affiliates</t>
  </si>
  <si>
    <t>Net income, after equity in losses of unconsolidated affiliates</t>
  </si>
  <si>
    <t>Net (loss) income attributable to non-controlling interest</t>
  </si>
  <si>
    <t>Share of profit or loss from associates, JVs</t>
  </si>
  <si>
    <t>Net income attributable to Heska Corporation</t>
  </si>
  <si>
    <t>Basic earnings per share attributable to Heska Corporation</t>
  </si>
  <si>
    <t>Diluted earnings per share attributable to Heska Corporation</t>
  </si>
  <si>
    <t>Weighted average outstanding shares used to compute basic earnings per share attributable to Heska Corporation</t>
  </si>
  <si>
    <t>Weighted average outstanding shares used to compute diluted earnings per share attributable to Heska Corporation</t>
  </si>
  <si>
    <t>(in thousands)</t>
  </si>
  <si>
    <t>Other comprehensive income (loss):</t>
  </si>
  <si>
    <t>Total Other Comprehensive Income</t>
  </si>
  <si>
    <t>Minimum pension liability</t>
  </si>
  <si>
    <t>Sale of equity investment</t>
  </si>
  <si>
    <t>Foreign currency translation</t>
  </si>
  <si>
    <t>Comprehensive income</t>
  </si>
  <si>
    <t>Comprehensive (loss) income attributable to non-controlling interest</t>
  </si>
  <si>
    <t>Comprehensive income attributable to Heska Corporation</t>
  </si>
  <si>
    <t>CASH FLOWS FROM OPERATING ACTIVITIES:</t>
  </si>
  <si>
    <t>Operating Activities</t>
  </si>
  <si>
    <t>Net income, after equity in losses from unconsolidated affiliates</t>
  </si>
  <si>
    <t>Adjustments to reconcile net income to cash provided by operating activities:</t>
  </si>
  <si>
    <t>Depreciation and amortization</t>
  </si>
  <si>
    <t>Stock-based compensation</t>
  </si>
  <si>
    <t>Other losses (gains)</t>
  </si>
  <si>
    <t>Changes in operating assets and liabilities:</t>
  </si>
  <si>
    <t>Accounts receivable</t>
  </si>
  <si>
    <t>Inventories</t>
  </si>
  <si>
    <t>Due from related parties</t>
  </si>
  <si>
    <t>Lease receivable, current</t>
  </si>
  <si>
    <t>Due to related parties</t>
  </si>
  <si>
    <t>Accrued liabilities and other</t>
  </si>
  <si>
    <t>Deferred revenue and other</t>
  </si>
  <si>
    <t>Net cash provided by operating activities</t>
  </si>
  <si>
    <t>CASH FLOWS FROM INVESTING ACTIVITIES:</t>
  </si>
  <si>
    <t>Investing Activities</t>
  </si>
  <si>
    <t>Proceeds from sale of equity investment</t>
  </si>
  <si>
    <t>Financing Activities</t>
  </si>
  <si>
    <t>Acquisition of intangible asset</t>
  </si>
  <si>
    <t>Purchase of minority interest</t>
  </si>
  <si>
    <t>Purchases of property and equipment</t>
  </si>
  <si>
    <t>Proceeds from disposition of property and equipment</t>
  </si>
  <si>
    <t>Net cash used in investing activities</t>
  </si>
  <si>
    <t>CASH FLOWS FROM FINANCING ACTIVITIES:</t>
  </si>
  <si>
    <t>Proceeds from issuance of common stock</t>
  </si>
  <si>
    <t>Repurchase of common stock</t>
  </si>
  <si>
    <t>Distributions to non-controlling interest members</t>
  </si>
  <si>
    <t xml:space="preserve">Dividend paid to shareholders to parent on minority interests </t>
  </si>
  <si>
    <t>Proceeds from line of credit borrowings</t>
  </si>
  <si>
    <t>Repayments of line of credit borrowings</t>
  </si>
  <si>
    <t>Repayments of other debt</t>
  </si>
  <si>
    <t>Payment of debt issuance costs</t>
  </si>
  <si>
    <t>Finance Costs</t>
  </si>
  <si>
    <t>Net cash provided by financing activities</t>
  </si>
  <si>
    <t>NET EFFECT OF EXCHANGE RATE CHANGES ON CASH</t>
  </si>
  <si>
    <t>NET INCREASE (DECREASE) IN CASH AND CASH EQUIVALENTS</t>
  </si>
  <si>
    <t>Net 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</si>
  <si>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</si>
  <si>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</si>
  <si>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</si>
  <si>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NON-CASH TRANSACTIONS:</t>
  </si>
  <si>
    <t>Transfers of equipment between inventory and property and equipment, net</t>
  </si>
  <si>
    <t>Common stock issued as partial consideration of Cuattro acquisition transactions (See Note 3)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</si>
  <si>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</si>
  <si>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</si>
  <si>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</si>
  <si>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</si>
  <si>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</si>
  <si>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interest paid and financial costs</t>
  </si>
  <si>
    <t>raw materials</t>
  </si>
  <si>
    <t>stock - raw materials</t>
  </si>
  <si>
    <t>work in process</t>
  </si>
  <si>
    <t>stock - work in progress</t>
  </si>
  <si>
    <t>finished goods</t>
  </si>
  <si>
    <t>stock - finished goods</t>
  </si>
  <si>
    <t>property, plant and equipment</t>
  </si>
  <si>
    <t>leased assets</t>
  </si>
  <si>
    <t>accumulated depreciation and amortisation</t>
  </si>
  <si>
    <t>accounts payable</t>
  </si>
  <si>
    <t>changed value</t>
  </si>
  <si>
    <t>turnover</t>
  </si>
  <si>
    <t>core companion animal</t>
  </si>
  <si>
    <t>other vaccines and pharmaceuticals</t>
  </si>
  <si>
    <t>deleted value</t>
  </si>
  <si>
    <t>added value</t>
  </si>
  <si>
    <t>interest and other (income) expense, net</t>
  </si>
  <si>
    <t>current taxation</t>
  </si>
  <si>
    <t>deferred taxation</t>
  </si>
  <si>
    <t>current income tax expense</t>
  </si>
  <si>
    <t>deferred income tax (benefit) expense</t>
  </si>
  <si>
    <t xml:space="preserve">should have added deferred tax value here, but formulae doesn't work for deferred taxation </t>
  </si>
  <si>
    <t>minority interest</t>
  </si>
  <si>
    <t>net (loss) income attributable to non-controlling interest</t>
  </si>
  <si>
    <t>equity in losses of unconsolidated affiliates</t>
  </si>
  <si>
    <t>allowance for excess of obsolete inventory</t>
  </si>
  <si>
    <t>land</t>
  </si>
  <si>
    <t>building</t>
  </si>
  <si>
    <t>machinery and equipment</t>
  </si>
  <si>
    <t>office furniture and equipment</t>
  </si>
  <si>
    <t>computer hardware and software</t>
  </si>
  <si>
    <t>leasehold and building improvements</t>
  </si>
  <si>
    <t>construction in progress</t>
  </si>
  <si>
    <t>less accumulated depreciation</t>
  </si>
  <si>
    <t>other fixed assets</t>
  </si>
  <si>
    <t>land and buildings</t>
  </si>
  <si>
    <t>lease receivable, current, net of doubtful accounts</t>
  </si>
  <si>
    <t>accounts receivable, net of allowance for doubtful accounts</t>
  </si>
  <si>
    <t>lease receivable, non-current</t>
  </si>
  <si>
    <t>other non-current assets</t>
  </si>
  <si>
    <t>moved to row 184</t>
  </si>
  <si>
    <t>accrued liabilities</t>
  </si>
  <si>
    <t>deferred revenue, net of current portion</t>
  </si>
  <si>
    <t>line of credit and other long-term borrowings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</si>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</sst>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A7-4F5A-A08C-4344564532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61-40E4-8C30-50A0838660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7F-4F1E-B094-8C1D2CD2D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E7-41CD-AA85-1F61C23F6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7A-4706-8D7F-96CD64444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5C-4514-B122-13588680C6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99-4E3B-92FE-660B592126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4-40D0-A108-80B35DB28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62-4C34-B94C-263C6A5055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62-46DF-81E5-8F2D42751A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B8-44DD-9FBF-E4DE89DC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98-4DAF-93CF-17507E8D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88-4DDD-B8E2-B93BB662AA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77-495A-95A6-AC9A9F1FC1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6E-47BF-9530-B0489AFD5B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.140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5922</v>
      </c>
      <c r="G6" s="7">
        <f t="shared" ref="G6:O6" si="1">IF(G4=$BF$1,"",G71)</f>
        <v>9953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94045</v>
      </c>
      <c r="G7" s="7">
        <f t="shared" ref="G7:O7" si="2">IF(G4=$BF$1,"",G128)</f>
        <v>72656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62407</v>
      </c>
      <c r="G8" s="7">
        <f t="shared" ref="G8:O8" si="3">IF(G4=$BF$1,"",G161)</f>
        <v>62788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20363</v>
      </c>
      <c r="G9" s="7">
        <f t="shared" ref="G9:O9" si="4">IF(G4=$BF$1,"",G189)</f>
        <v>19383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13680</v>
      </c>
      <c r="G10" s="7">
        <f t="shared" ref="G10:O10" si="5">IF(G4=$BF$1,"",G210)</f>
        <v>15621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122409</v>
      </c>
      <c r="G11" s="7">
        <f t="shared" ref="G11:O11" si="6">IF(G4=$BF$1,"",G227)</f>
        <v>100440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156452</v>
      </c>
      <c r="G12" s="35">
        <f t="shared" ref="G12:O12" si="7">IF(G4=$BF$1,"",SUM(G7:G8))</f>
        <v>135444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156452</v>
      </c>
      <c r="G13" s="35">
        <f t="shared" ref="G13:O13" si="8">IF(G4=$BF$1,"",SUM(G9:G11))</f>
        <v>135444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108924+18522</f>
        <v>127446</v>
      </c>
      <c r="G24">
        <f>105191+24150</f>
        <v>129341</v>
      </c>
      <c r="H24">
        <v>16533</v>
      </c>
      <c r="P24" s="49" t="s">
        <v>522</v>
      </c>
    </row>
    <row r="25" spans="5:16">
      <c r="E25" s="1" t="s">
        <v>27</v>
      </c>
      <c r="F25">
        <v>70808</v>
      </c>
      <c r="G25">
        <v>71080</v>
      </c>
      <c r="H25">
        <v>76191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56638</v>
      </c>
      <c r="G30" s="7">
        <f>IF(G4=$BF$1,"",G24-G25+ABS(G26)-G27-G28-G29)</f>
        <v>58261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  <c r="F31"/>
      <c r="G31"/>
      <c r="H31">
        <v>29</v>
      </c>
      <c r="P31" s="49" t="s">
        <v>526</v>
      </c>
    </row>
    <row r="32" spans="5:16">
      <c r="E32" s="1" t="s">
        <v>34</v>
      </c>
    </row>
    <row r="33" spans="5:16">
      <c r="E33" s="1" t="s">
        <v>35</v>
      </c>
      <c r="F33">
        <v>24663</v>
      </c>
      <c r="G33">
        <v>23225</v>
      </c>
      <c r="H33">
        <v>22092</v>
      </c>
    </row>
    <row r="34" spans="5:16">
      <c r="E34" s="1" t="s">
        <v>36</v>
      </c>
      <c r="F34">
        <v>24847</v>
      </c>
      <c r="G34">
        <v>14813</v>
      </c>
      <c r="H34">
        <v>13120</v>
      </c>
    </row>
    <row r="35" spans="5:16">
      <c r="E35" s="1" t="s">
        <v>37</v>
      </c>
      <c r="F35">
        <v>3334</v>
      </c>
      <c r="G35">
        <v>2004</v>
      </c>
      <c r="H35">
        <v>2147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52844</v>
      </c>
      <c r="G43" s="7">
        <f>G32+G33+G34+G35+G36+G37+G38+G39+G40+G41+G42</f>
        <v>40042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3794</v>
      </c>
      <c r="G44" s="7">
        <f>IF(G4=$BF$1,"",G30+G31-G43)</f>
        <v>18219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-13</v>
      </c>
      <c r="G49" s="38">
        <v>-150</v>
      </c>
      <c r="P49" s="49" t="s">
        <v>527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0</v>
      </c>
      <c r="P54" s="49" t="s">
        <v>526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  <c r="F57"/>
      <c r="G57"/>
      <c r="H57">
        <v>-75</v>
      </c>
      <c r="P57" s="49" t="s">
        <v>526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3807</v>
      </c>
      <c r="G59" s="7">
        <f>IF(G4=$BF$1,"",G44+G45+G46+G47+G48-G49-G50-G51+G52-G53+G54+G55-G56+G57+G58)</f>
        <v>18369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f>140-2255</f>
        <v>-2115</v>
      </c>
      <c r="G60">
        <f>49+8864</f>
        <v>8913</v>
      </c>
      <c r="H60">
        <v>8678</v>
      </c>
      <c r="P60" s="49" t="s">
        <v>527</v>
      </c>
    </row>
    <row r="61" spans="5:16">
      <c r="E61" s="1" t="s">
        <v>63</v>
      </c>
      <c r="P61" s="49" t="s">
        <v>533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5922</v>
      </c>
      <c r="G67" s="7">
        <f>IF(G4=$BF$1,"",SUM(G59,-G60,-ABS(G61),-G62,-G66))</f>
        <v>9456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  <c r="F68"/>
      <c r="G68">
        <v>497</v>
      </c>
      <c r="H68">
        <v>3314</v>
      </c>
      <c r="P68" s="49" t="s">
        <v>522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5922</v>
      </c>
      <c r="G71" s="7">
        <f t="shared" ref="G71:O71" si="14">IF(G4=$BF$1,"",SUM(G67:G70))</f>
        <v>9953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  <c r="F74"/>
      <c r="G74"/>
      <c r="H74">
        <v>75</v>
      </c>
      <c r="P74" s="49" t="s">
        <v>526</v>
      </c>
    </row>
    <row r="75" spans="5:16">
      <c r="E75" s="1" t="s">
        <v>72</v>
      </c>
    </row>
    <row r="76" spans="5:16">
      <c r="E76" s="1" t="s">
        <v>73</v>
      </c>
      <c r="F76" s="38">
        <v>-72</v>
      </c>
      <c r="G76" s="38">
        <v>0</v>
      </c>
      <c r="P76" s="49" t="s">
        <v>527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5850</v>
      </c>
      <c r="G83" s="7">
        <f t="shared" ref="G83:O83" si="15">IF(G4=$BF$1,"",SUM(G71:G82))</f>
        <v>9953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8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377+2978</f>
        <v>3355</v>
      </c>
      <c r="G89" s="38">
        <f>377+2868</f>
        <v>3245</v>
      </c>
      <c r="P89" s="49" t="s">
        <v>527</v>
      </c>
    </row>
    <row r="90" spans="5:16">
      <c r="E90" s="1" t="s">
        <v>82</v>
      </c>
      <c r="F90" s="38">
        <v>1274</v>
      </c>
      <c r="G90" s="38">
        <v>3531</v>
      </c>
      <c r="P90" s="49" t="s">
        <v>527</v>
      </c>
    </row>
    <row r="91" spans="5:16">
      <c r="E91" s="1" t="s">
        <v>83</v>
      </c>
    </row>
    <row r="92" spans="5:16">
      <c r="E92" s="12" t="s">
        <v>84</v>
      </c>
      <c r="F92">
        <f>33087+1687</f>
        <v>34774</v>
      </c>
      <c r="G92">
        <f>32188+1665</f>
        <v>33853</v>
      </c>
      <c r="P92" s="49" t="s">
        <v>522</v>
      </c>
    </row>
    <row r="93" spans="5:16">
      <c r="E93" s="1" t="s">
        <v>85</v>
      </c>
    </row>
    <row r="94" spans="5:16">
      <c r="E94" s="1" t="s">
        <v>86</v>
      </c>
      <c r="F94" s="38">
        <v>9953</v>
      </c>
      <c r="G94" s="38">
        <v>8156</v>
      </c>
      <c r="P94" s="49" t="s">
        <v>527</v>
      </c>
    </row>
    <row r="95" spans="5:16">
      <c r="E95" s="1" t="s">
        <v>87</v>
      </c>
      <c r="F95" s="38">
        <v>4704</v>
      </c>
      <c r="G95" s="38">
        <v>4579</v>
      </c>
      <c r="P95" s="49" t="s">
        <v>527</v>
      </c>
    </row>
    <row r="96" spans="5:16">
      <c r="E96" s="12"/>
    </row>
    <row r="98" spans="5:16">
      <c r="E98" s="6" t="s">
        <v>88</v>
      </c>
      <c r="F98" s="7">
        <f>F89+F90+F91+F92+F93+F94+F95+F96</f>
        <v>54060</v>
      </c>
      <c r="G98" s="7">
        <f>IF(G4=$BF$1,"",G89+G90+G91+G92+G93+G94+G95+G96)</f>
        <v>53364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-38079</v>
      </c>
      <c r="G99" s="38">
        <v>-36033</v>
      </c>
      <c r="P99" s="49" t="s">
        <v>527</v>
      </c>
    </row>
    <row r="100" spans="5:16">
      <c r="E100" s="6" t="s">
        <v>90</v>
      </c>
      <c r="F100" s="7">
        <f>F98+F99</f>
        <v>15981</v>
      </c>
      <c r="G100" s="7">
        <f t="shared" ref="G100:O100" si="17">IF(G4=$BF$1,"",G98+G99)</f>
        <v>17331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26679</v>
      </c>
      <c r="G101">
        <v>26687</v>
      </c>
    </row>
    <row r="102" spans="5:16">
      <c r="E102" s="1" t="s">
        <v>92</v>
      </c>
      <c r="F102">
        <v>9764</v>
      </c>
      <c r="G102">
        <v>1958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36443</v>
      </c>
      <c r="G104" s="7">
        <f t="shared" ref="G104:O104" si="18">IF(G4=$BF$1,"",G101+G102+G103)</f>
        <v>28645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  <c r="F105" s="38">
        <v>11908</v>
      </c>
      <c r="G105" s="38">
        <v>9615</v>
      </c>
      <c r="P105" s="49" t="s">
        <v>527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14121</v>
      </c>
      <c r="G111">
        <v>11877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>
        <v>8018</v>
      </c>
      <c r="G117">
        <v>0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7574</v>
      </c>
      <c r="G125" s="38">
        <v>5188</v>
      </c>
      <c r="P125" s="49" t="s">
        <v>527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94045</v>
      </c>
      <c r="G128" s="7">
        <f t="shared" ref="G128:O128" si="19">IF(G4=$BF$1,"",G100+SUM(G104:G126))</f>
        <v>72656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13389</v>
      </c>
      <c r="G130">
        <v>9659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  <c r="F134" s="38">
        <v>2989</v>
      </c>
      <c r="G134" s="38">
        <v>2069</v>
      </c>
      <c r="P134" s="49" t="s">
        <v>527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16378</v>
      </c>
      <c r="G140" s="7">
        <f t="shared" ref="G140:O140" si="20">IF(G4=$BF$1,"",G130+G131+G132+G133+G134+G135+G136+G139)</f>
        <v>11728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15000</v>
      </c>
      <c r="G142" s="38">
        <v>18465</v>
      </c>
      <c r="P142" s="49" t="s">
        <v>527</v>
      </c>
    </row>
    <row r="143" spans="5:16">
      <c r="E143" s="1" t="s">
        <v>125</v>
      </c>
      <c r="F143" s="38">
        <v>3592</v>
      </c>
      <c r="G143" s="38">
        <v>4296</v>
      </c>
      <c r="P143" s="49" t="s">
        <v>527</v>
      </c>
    </row>
    <row r="144" spans="5:16">
      <c r="E144" s="1" t="s">
        <v>126</v>
      </c>
      <c r="F144">
        <f>8085-1573</f>
        <v>6512</v>
      </c>
      <c r="G144">
        <f>11465-1630</f>
        <v>9835</v>
      </c>
      <c r="P144" s="49" t="s">
        <v>522</v>
      </c>
    </row>
    <row r="145" spans="5:16">
      <c r="E145" s="6" t="s">
        <v>127</v>
      </c>
      <c r="F145" s="7">
        <f>F141+F142+F143+F144</f>
        <v>25104</v>
      </c>
      <c r="G145" s="7">
        <f t="shared" ref="G145:O145" si="21">IF(G4=$BF$1,"",G141+G142+G143+G144)</f>
        <v>32596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8"/>
    </row>
    <row r="146" spans="5:16">
      <c r="E146" s="1" t="s">
        <v>128</v>
      </c>
      <c r="F146">
        <v>0</v>
      </c>
      <c r="G146">
        <v>1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16454</v>
      </c>
      <c r="G157">
        <v>15367</v>
      </c>
      <c r="P157" s="49" t="s">
        <v>522</v>
      </c>
    </row>
    <row r="158" spans="5:16">
      <c r="E158" s="1" t="s">
        <v>138</v>
      </c>
      <c r="F158">
        <v>4471</v>
      </c>
      <c r="G158">
        <v>3096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20925</v>
      </c>
      <c r="G160" s="7">
        <f>IF(G4=$BF$1,"",G146+G147+G148+G149+G150+G151+G152+G153+G154+G155+G156+G157+G158+G159)</f>
        <v>18464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62407</v>
      </c>
      <c r="G161" s="7">
        <f t="shared" ref="G161:O161" si="22">IF(G4=$BF$1,"",G140+G145+G160)</f>
        <v>62788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/>
      <c r="G168"/>
      <c r="P168" s="49" t="s">
        <v>526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9" t="s">
        <v>526</v>
      </c>
    </row>
    <row r="173" spans="5:16">
      <c r="E173" s="1" t="s">
        <v>152</v>
      </c>
      <c r="F173">
        <v>226</v>
      </c>
      <c r="G173">
        <v>1828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10142+7469</f>
        <v>17611</v>
      </c>
      <c r="G184">
        <f>4074+9489</f>
        <v>13563</v>
      </c>
      <c r="P184" s="49" t="s">
        <v>527</v>
      </c>
    </row>
    <row r="185" spans="5:16">
      <c r="E185" s="12" t="s">
        <v>162</v>
      </c>
      <c r="F185">
        <v>2526</v>
      </c>
      <c r="G185">
        <v>3992</v>
      </c>
    </row>
    <row r="187" spans="5:16">
      <c r="E187" s="1" t="s">
        <v>163</v>
      </c>
      <c r="F187"/>
      <c r="G187"/>
      <c r="P187" s="49" t="s">
        <v>552</v>
      </c>
    </row>
    <row r="188" spans="5:16">
      <c r="E188" s="1" t="s">
        <v>164</v>
      </c>
      <c r="F188"/>
      <c r="G188"/>
      <c r="P188" s="49" t="s">
        <v>526</v>
      </c>
    </row>
    <row r="189" spans="5:16">
      <c r="E189" s="6" t="s">
        <v>13</v>
      </c>
      <c r="F189" s="7">
        <f>SUM(F163:F188)</f>
        <v>20363</v>
      </c>
      <c r="G189" s="7">
        <f t="shared" ref="G189:O189" si="23">IF(G4=$BF$1,"",SUM(G163:G188))</f>
        <v>19383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6031</v>
      </c>
      <c r="G193" s="38">
        <v>6000</v>
      </c>
      <c r="P193" s="49" t="s">
        <v>527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7082</v>
      </c>
      <c r="G206" s="38">
        <v>8431</v>
      </c>
      <c r="P206" s="49" t="s">
        <v>527</v>
      </c>
    </row>
    <row r="209" spans="5:16">
      <c r="E209" s="1" t="s">
        <v>180</v>
      </c>
      <c r="F209">
        <v>567</v>
      </c>
      <c r="G209">
        <v>1190</v>
      </c>
      <c r="P209" s="49" t="s">
        <v>527</v>
      </c>
    </row>
    <row r="210" spans="5:16">
      <c r="E210" s="6" t="s">
        <v>14</v>
      </c>
      <c r="F210" s="7">
        <f>SUM(F191:F209)</f>
        <v>13680</v>
      </c>
      <c r="G210" s="7">
        <f t="shared" ref="G210:O210" si="24">IF(G4=$BF$1,"",SUM(G191:G209))</f>
        <v>15621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257111</v>
      </c>
      <c r="G212">
        <v>243671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  <c r="F215">
        <v>277</v>
      </c>
      <c r="G215">
        <v>232</v>
      </c>
    </row>
    <row r="216" spans="5:16">
      <c r="E216" s="1" t="s">
        <v>186</v>
      </c>
    </row>
    <row r="217" spans="5:16">
      <c r="E217" s="1" t="s">
        <v>187</v>
      </c>
      <c r="F217">
        <v>-134979</v>
      </c>
      <c r="G217">
        <v>-143463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122409</v>
      </c>
      <c r="G227" s="7">
        <f t="shared" ref="G227:O227" si="25">IF(G4=$BF$1,"",SUM(G212:G226))</f>
        <v>100440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4595</v>
      </c>
      <c r="G271">
        <v>4754</v>
      </c>
      <c r="H271">
        <v>4645</v>
      </c>
    </row>
    <row r="272" spans="5:15">
      <c r="E272" s="1" t="s">
        <v>237</v>
      </c>
      <c r="F272">
        <v>-1477</v>
      </c>
      <c r="G272">
        <v>250</v>
      </c>
      <c r="H272">
        <v>1356</v>
      </c>
    </row>
    <row r="273" spans="5:8" ht="25.5" customHeight="1">
      <c r="E273" s="1" t="s">
        <v>238</v>
      </c>
    </row>
    <row r="274" spans="5:8">
      <c r="E274" s="1" t="s">
        <v>239</v>
      </c>
      <c r="F274">
        <v>1</v>
      </c>
      <c r="G274">
        <v>99</v>
      </c>
      <c r="H274">
        <v>-59</v>
      </c>
    </row>
    <row r="275" spans="5:8" ht="25.5" customHeight="1">
      <c r="E275" s="1" t="s">
        <v>240</v>
      </c>
      <c r="F275">
        <v>-2750</v>
      </c>
      <c r="G275">
        <v>0</v>
      </c>
      <c r="H275">
        <v>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5227</v>
      </c>
      <c r="G285">
        <v>2745</v>
      </c>
      <c r="H285">
        <v>2260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-2255</v>
      </c>
      <c r="G288">
        <v>8864</v>
      </c>
      <c r="H288">
        <v>3932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3341</v>
      </c>
      <c r="G296" s="7">
        <f>IF(G4=$BF$1,"",G271+G272+G273+G274+G275+G276+G277+G278+G279+G280+G281+G282+G283+G284+G285+G286+G287+G288+G289+G290+G291+G292+G293+G294+G295)</f>
        <v>16712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3341</v>
      </c>
      <c r="G297" s="7">
        <f t="shared" ref="G297:O297" si="27">IF(G4=$BF$1,"",MIN(F267,F268,F269)+F296)</f>
        <v>3341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6046</v>
      </c>
      <c r="G299">
        <v>-13834</v>
      </c>
      <c r="H299">
        <v>-4731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-1996</v>
      </c>
      <c r="G303">
        <v>3999</v>
      </c>
      <c r="H303">
        <v>-5436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-3240</v>
      </c>
      <c r="G309">
        <v>-1401</v>
      </c>
      <c r="H309">
        <v>-2300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-2020</v>
      </c>
      <c r="G315">
        <v>3143</v>
      </c>
      <c r="H315">
        <v>-688</v>
      </c>
    </row>
    <row r="316" spans="5:15">
      <c r="E316" s="1" t="s">
        <v>276</v>
      </c>
      <c r="F316">
        <v>-1376</v>
      </c>
      <c r="G316">
        <v>-1458</v>
      </c>
      <c r="H316">
        <v>-1068</v>
      </c>
    </row>
    <row r="317" spans="5:15">
      <c r="E317" s="1" t="s">
        <v>277</v>
      </c>
      <c r="F317">
        <v>6146</v>
      </c>
      <c r="G317">
        <v>-1380</v>
      </c>
      <c r="H317">
        <v>-351</v>
      </c>
    </row>
    <row r="318" spans="5:15">
      <c r="E318" s="6" t="s">
        <v>278</v>
      </c>
      <c r="F318" s="7">
        <f>F299+F300+F301+F302+F303+F304+F305+F306+F307+F308+F309+F310+F311+F312+F313+F314+F315+F316+F317</f>
        <v>3560</v>
      </c>
      <c r="G318" s="7">
        <f>IF(G4=$BF$1,"",G299+G300+G301+G302+G303+G304+G305+G306+G307+G308+G309+G310+G311+G312+G313+G314+G315+G316+G317)</f>
        <v>-10931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6901</v>
      </c>
      <c r="G319" s="7">
        <f t="shared" ref="G319:O319" si="28">IF(G4=$BF$1,"",G297+G318)</f>
        <v>-7590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6901</v>
      </c>
      <c r="G326" s="7">
        <f t="shared" ref="G326:O326" si="30">IF(G4=$BF$1,"",G325+G319)</f>
        <v>-7590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-1358</v>
      </c>
      <c r="G328">
        <v>-3469</v>
      </c>
      <c r="H328">
        <v>-3417</v>
      </c>
    </row>
    <row r="329" spans="5:15">
      <c r="E329" s="1" t="s">
        <v>288</v>
      </c>
      <c r="F329">
        <v>25</v>
      </c>
      <c r="G329">
        <v>57</v>
      </c>
      <c r="H329">
        <v>0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-1333</v>
      </c>
      <c r="G337" s="7">
        <f>IF(G4=$BF$1,"",SUM(G328:G336))</f>
        <v>-3412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2763</v>
      </c>
      <c r="G339">
        <v>1376</v>
      </c>
      <c r="H339">
        <v>1735</v>
      </c>
    </row>
    <row r="340" spans="5:15">
      <c r="E340" s="1" t="s">
        <v>299</v>
      </c>
      <c r="F340">
        <v>3000</v>
      </c>
      <c r="G340">
        <v>40307</v>
      </c>
      <c r="H340">
        <v>34792</v>
      </c>
    </row>
    <row r="341" spans="5:15">
      <c r="E341" s="12" t="s">
        <v>300</v>
      </c>
      <c r="F341">
        <v>-10</v>
      </c>
      <c r="G341">
        <v>-68</v>
      </c>
      <c r="H341">
        <v>-747</v>
      </c>
    </row>
    <row r="342" spans="5:15">
      <c r="E342" s="1" t="s">
        <v>301</v>
      </c>
    </row>
    <row r="343" spans="5:15">
      <c r="E343" s="1" t="s">
        <v>302</v>
      </c>
      <c r="F343">
        <v>-3000</v>
      </c>
      <c r="G343">
        <v>-34979</v>
      </c>
      <c r="H343">
        <v>-34262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-126</v>
      </c>
      <c r="G348">
        <v>-965</v>
      </c>
      <c r="H348">
        <v>0</v>
      </c>
    </row>
    <row r="349" spans="5:15">
      <c r="E349" s="12" t="s">
        <v>308</v>
      </c>
      <c r="F349">
        <v>0</v>
      </c>
      <c r="G349">
        <v>-120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2627</v>
      </c>
      <c r="G352" s="7">
        <f>IF(G4=$BF$1,"",SUM(G339:G351))</f>
        <v>5551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8195</v>
      </c>
      <c r="G353" s="7">
        <f t="shared" ref="G353:O353" si="33">IF(G4=$BF$1,"",G326+G337+G352)</f>
        <v>-5451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-10</v>
      </c>
      <c r="G354">
        <v>74</v>
      </c>
      <c r="H354">
        <v>-52</v>
      </c>
    </row>
    <row r="355" spans="5:15">
      <c r="E355" s="6" t="s">
        <v>314</v>
      </c>
      <c r="F355" s="7">
        <f>F353+F354</f>
        <v>8185</v>
      </c>
      <c r="G355" s="7">
        <f t="shared" ref="G355:O355" si="34">IF(G4=$BF$1,"",G353+G354)</f>
        <v>-5377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9659</v>
      </c>
      <c r="G356">
        <v>10794</v>
      </c>
      <c r="H356">
        <v>6890</v>
      </c>
    </row>
    <row r="357" spans="5:15">
      <c r="E357" s="6" t="s">
        <v>316</v>
      </c>
      <c r="F357" s="7">
        <f>F355+F356</f>
        <v>17844</v>
      </c>
      <c r="G357" s="7">
        <f t="shared" ref="G357:O357" si="35">IF(G4=$BF$1,"",G355+G356)</f>
        <v>5417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-1.4651193357094812E-2</v>
      </c>
      <c r="G364" s="24">
        <f t="shared" si="37"/>
        <v>6.8232020806871105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-0.40500351652768007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0.15510469271433211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0.44440782762895659</v>
      </c>
      <c r="G369" s="27">
        <f t="shared" si="41"/>
        <v>0.45044494785102945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2.9769470991635672E-2</v>
      </c>
      <c r="G370" s="27">
        <f t="shared" si="42"/>
        <v>0.1408602067403221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4.6466738854102914E-2</v>
      </c>
      <c r="G371" s="28">
        <f t="shared" si="43"/>
        <v>7.6951624001670008E-2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3.7851865108787359E-2</v>
      </c>
      <c r="G372" s="27">
        <f t="shared" si="44"/>
        <v>7.3484244410974273E-2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4.8378795676788475E-2</v>
      </c>
      <c r="G373" s="27">
        <f t="shared" si="45"/>
        <v>9.9093986459577857E-2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0.21759389461304426</v>
      </c>
      <c r="G376" s="30">
        <f t="shared" si="47"/>
        <v>0.25843891202268093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0.278108635802923</v>
      </c>
      <c r="G377" s="30">
        <f t="shared" si="48"/>
        <v>0.34850657108721622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-291.84615384615387</v>
      </c>
      <c r="G378" s="30">
        <f t="shared" si="49"/>
        <v>-121.46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3.0647252369493692</v>
      </c>
      <c r="G382" s="32">
        <f t="shared" si="51"/>
        <v>3.2393334365165352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1.8319009969061533</v>
      </c>
      <c r="G383" s="32">
        <f t="shared" si="52"/>
        <v>1.5576536139916421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0.65751608309188236</v>
      </c>
      <c r="G384" s="32">
        <f t="shared" si="53"/>
        <v>0.4983232729711603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0.33889898345037567</v>
      </c>
      <c r="G385" s="32">
        <f t="shared" si="54"/>
        <v>-0.39158025073518032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13389</v>
      </c>
      <c r="G418" s="17">
        <f>G130-G417</f>
        <v>9659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506</v>
      </c>
      <c r="B1" s="39" t="s">
        <v>507</v>
      </c>
      <c r="C1" s="39" t="s">
        <v>508</v>
      </c>
      <c r="D1" s="39" t="s">
        <v>509</v>
      </c>
      <c r="E1" s="39"/>
    </row>
    <row r="2" spans="1:5">
      <c r="A2" s="41" t="s">
        <v>524</v>
      </c>
      <c r="B2" s="41" t="s">
        <v>523</v>
      </c>
      <c r="C2" s="39">
        <v>1</v>
      </c>
      <c r="D2" s="39" t="s">
        <v>510</v>
      </c>
      <c r="E2" s="39"/>
    </row>
    <row r="3" spans="1:5">
      <c r="A3" s="42" t="s">
        <v>525</v>
      </c>
      <c r="B3" s="42" t="s">
        <v>523</v>
      </c>
      <c r="C3" s="39">
        <v>1</v>
      </c>
      <c r="D3" s="39" t="s">
        <v>510</v>
      </c>
    </row>
    <row r="4" spans="1:5" ht="25.5">
      <c r="A4" s="41" t="s">
        <v>528</v>
      </c>
      <c r="B4" s="41" t="s">
        <v>511</v>
      </c>
      <c r="C4" s="39">
        <v>2</v>
      </c>
      <c r="D4" s="39" t="s">
        <v>510</v>
      </c>
    </row>
    <row r="5" spans="1:5">
      <c r="A5" s="43" t="s">
        <v>531</v>
      </c>
      <c r="B5" s="1" t="s">
        <v>529</v>
      </c>
      <c r="C5" s="39">
        <v>0</v>
      </c>
      <c r="D5" s="39" t="s">
        <v>510</v>
      </c>
    </row>
    <row r="6" spans="1:5">
      <c r="A6" s="42" t="s">
        <v>532</v>
      </c>
      <c r="B6" s="44" t="s">
        <v>530</v>
      </c>
      <c r="C6" s="39">
        <v>2</v>
      </c>
      <c r="D6" s="39" t="s">
        <v>510</v>
      </c>
    </row>
    <row r="7" spans="1:5">
      <c r="A7" s="43" t="s">
        <v>535</v>
      </c>
      <c r="B7" s="41" t="s">
        <v>534</v>
      </c>
      <c r="C7" s="39">
        <v>2</v>
      </c>
      <c r="D7" s="39" t="s">
        <v>510</v>
      </c>
    </row>
    <row r="8" spans="1:5">
      <c r="A8" s="43" t="s">
        <v>536</v>
      </c>
      <c r="B8" s="42" t="s">
        <v>73</v>
      </c>
      <c r="C8" s="39">
        <v>1</v>
      </c>
      <c r="D8" s="39" t="s">
        <v>510</v>
      </c>
    </row>
    <row r="9" spans="1:5">
      <c r="A9" s="42" t="s">
        <v>512</v>
      </c>
      <c r="B9" s="42" t="s">
        <v>513</v>
      </c>
      <c r="C9" s="39">
        <v>1</v>
      </c>
      <c r="D9" s="39" t="s">
        <v>510</v>
      </c>
    </row>
    <row r="10" spans="1:5">
      <c r="A10" s="45" t="s">
        <v>514</v>
      </c>
      <c r="B10" s="42" t="s">
        <v>515</v>
      </c>
      <c r="C10" s="39">
        <v>1</v>
      </c>
      <c r="D10" s="39" t="s">
        <v>510</v>
      </c>
    </row>
    <row r="11" spans="1:5">
      <c r="A11" s="43" t="s">
        <v>516</v>
      </c>
      <c r="B11" s="42" t="s">
        <v>517</v>
      </c>
      <c r="C11" s="39">
        <v>1</v>
      </c>
      <c r="D11" s="39" t="s">
        <v>510</v>
      </c>
    </row>
    <row r="12" spans="1:5">
      <c r="A12" s="46" t="s">
        <v>537</v>
      </c>
      <c r="B12" s="45" t="s">
        <v>517</v>
      </c>
      <c r="C12" s="39">
        <v>1</v>
      </c>
      <c r="D12" s="39" t="s">
        <v>510</v>
      </c>
    </row>
    <row r="13" spans="1:5">
      <c r="A13" s="45" t="s">
        <v>538</v>
      </c>
      <c r="B13" s="45" t="s">
        <v>547</v>
      </c>
      <c r="C13" s="39">
        <v>1</v>
      </c>
      <c r="D13" s="39" t="s">
        <v>510</v>
      </c>
    </row>
    <row r="14" spans="1:5">
      <c r="A14" s="45" t="s">
        <v>539</v>
      </c>
      <c r="B14" s="45" t="s">
        <v>547</v>
      </c>
      <c r="C14" s="39">
        <v>1</v>
      </c>
      <c r="D14" s="39" t="s">
        <v>510</v>
      </c>
    </row>
    <row r="15" spans="1:5">
      <c r="A15" s="46" t="s">
        <v>540</v>
      </c>
      <c r="B15" s="46" t="s">
        <v>518</v>
      </c>
      <c r="C15" s="39">
        <v>1</v>
      </c>
      <c r="D15" s="39" t="s">
        <v>510</v>
      </c>
    </row>
    <row r="16" spans="1:5">
      <c r="A16" s="46" t="s">
        <v>541</v>
      </c>
      <c r="B16" s="46" t="s">
        <v>518</v>
      </c>
      <c r="C16" s="39">
        <v>1</v>
      </c>
      <c r="D16" s="39" t="s">
        <v>510</v>
      </c>
    </row>
    <row r="17" spans="1:4">
      <c r="A17" s="46" t="s">
        <v>542</v>
      </c>
      <c r="B17" s="46" t="s">
        <v>546</v>
      </c>
      <c r="C17" s="39">
        <v>1</v>
      </c>
      <c r="D17" s="39" t="s">
        <v>510</v>
      </c>
    </row>
    <row r="18" spans="1:4">
      <c r="A18" s="46" t="s">
        <v>543</v>
      </c>
      <c r="B18" s="46" t="s">
        <v>519</v>
      </c>
      <c r="C18" s="39">
        <v>1</v>
      </c>
      <c r="D18" s="39" t="s">
        <v>510</v>
      </c>
    </row>
    <row r="19" spans="1:4">
      <c r="A19" s="43" t="s">
        <v>544</v>
      </c>
      <c r="B19" s="43" t="s">
        <v>544</v>
      </c>
      <c r="C19" s="39">
        <v>1</v>
      </c>
      <c r="D19" s="39" t="s">
        <v>510</v>
      </c>
    </row>
    <row r="20" spans="1:4">
      <c r="A20" s="43" t="s">
        <v>545</v>
      </c>
      <c r="B20" s="43" t="s">
        <v>520</v>
      </c>
      <c r="C20" s="39">
        <v>1</v>
      </c>
      <c r="D20" s="39" t="s">
        <v>510</v>
      </c>
    </row>
    <row r="21" spans="1:4">
      <c r="A21" s="43" t="s">
        <v>548</v>
      </c>
      <c r="B21" s="43" t="s">
        <v>95</v>
      </c>
      <c r="C21" s="39">
        <v>1</v>
      </c>
      <c r="D21" s="39" t="s">
        <v>510</v>
      </c>
    </row>
    <row r="22" spans="1:4">
      <c r="A22" s="46" t="s">
        <v>549</v>
      </c>
      <c r="B22" s="46" t="s">
        <v>137</v>
      </c>
      <c r="C22" s="39">
        <v>1</v>
      </c>
      <c r="D22" s="39" t="s">
        <v>510</v>
      </c>
    </row>
    <row r="23" spans="1:4">
      <c r="A23" s="47" t="s">
        <v>550</v>
      </c>
      <c r="B23" s="46" t="s">
        <v>95</v>
      </c>
      <c r="C23" s="39">
        <v>1</v>
      </c>
      <c r="D23" s="39" t="s">
        <v>510</v>
      </c>
    </row>
    <row r="24" spans="1:4">
      <c r="A24" s="46" t="s">
        <v>551</v>
      </c>
      <c r="B24" s="46" t="s">
        <v>551</v>
      </c>
      <c r="C24" s="39">
        <v>1</v>
      </c>
      <c r="D24" s="39" t="s">
        <v>510</v>
      </c>
    </row>
    <row r="25" spans="1:4">
      <c r="A25" s="46" t="s">
        <v>521</v>
      </c>
      <c r="B25" s="46" t="s">
        <v>161</v>
      </c>
      <c r="C25" s="39">
        <v>1</v>
      </c>
      <c r="D25" s="39" t="s">
        <v>510</v>
      </c>
    </row>
    <row r="26" spans="1:4" ht="25.5">
      <c r="A26" s="47" t="s">
        <v>553</v>
      </c>
      <c r="B26" s="47" t="s">
        <v>161</v>
      </c>
      <c r="C26" s="39">
        <v>1</v>
      </c>
      <c r="D26" s="39" t="s">
        <v>510</v>
      </c>
    </row>
    <row r="27" spans="1:4">
      <c r="A27" s="46" t="s">
        <v>555</v>
      </c>
      <c r="B27" s="47" t="s">
        <v>168</v>
      </c>
      <c r="C27" s="39">
        <v>1</v>
      </c>
      <c r="D27" s="39" t="s">
        <v>510</v>
      </c>
    </row>
    <row r="28" spans="1:4">
      <c r="A28" s="46" t="s">
        <v>554</v>
      </c>
      <c r="B28" s="47" t="s">
        <v>179</v>
      </c>
      <c r="C28" s="39">
        <v>1</v>
      </c>
      <c r="D28" s="39" t="s">
        <v>510</v>
      </c>
    </row>
    <row r="29" spans="1:4">
      <c r="A29" s="46" t="s">
        <v>556</v>
      </c>
      <c r="B29" s="47" t="s">
        <v>180</v>
      </c>
      <c r="C29" s="39">
        <v>1</v>
      </c>
      <c r="D29" s="39" t="s">
        <v>510</v>
      </c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5"/>
      <c r="B33" s="47"/>
      <c r="C33" s="39"/>
      <c r="D33" s="39"/>
    </row>
    <row r="34" spans="1:4">
      <c r="A34" s="45"/>
      <c r="B34" s="47"/>
      <c r="C34" s="39"/>
      <c r="D34" s="39"/>
    </row>
    <row r="35" spans="1:4">
      <c r="A35" s="45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5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5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13389</v>
      </c>
      <c r="F5">
        <v>9659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16454</v>
      </c>
      <c r="F6">
        <v>15367</v>
      </c>
    </row>
    <row r="7" spans="1:6">
      <c r="A7" t="s">
        <v>378</v>
      </c>
      <c r="B7" t="s">
        <v>128</v>
      </c>
      <c r="C7" t="s">
        <v>128</v>
      </c>
      <c r="D7" t="s">
        <v>116</v>
      </c>
      <c r="F7">
        <v>1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25104</v>
      </c>
      <c r="F8">
        <v>32596</v>
      </c>
    </row>
    <row r="9" spans="1:6">
      <c r="A9" t="s">
        <v>380</v>
      </c>
      <c r="B9" t="s">
        <v>352</v>
      </c>
      <c r="C9" t="s">
        <v>137</v>
      </c>
      <c r="D9" t="s">
        <v>116</v>
      </c>
      <c r="E9">
        <v>2989</v>
      </c>
      <c r="F9">
        <v>2069</v>
      </c>
    </row>
    <row r="10" spans="1:6">
      <c r="A10" t="s">
        <v>381</v>
      </c>
      <c r="B10" t="s">
        <v>138</v>
      </c>
      <c r="C10" t="s">
        <v>138</v>
      </c>
      <c r="D10" t="s">
        <v>116</v>
      </c>
      <c r="E10">
        <v>4471</v>
      </c>
      <c r="F10">
        <v>3096</v>
      </c>
    </row>
    <row r="11" spans="1:6">
      <c r="A11" t="s">
        <v>382</v>
      </c>
      <c r="B11" t="s">
        <v>12</v>
      </c>
      <c r="C11" t="s">
        <v>12</v>
      </c>
      <c r="D11" t="s">
        <v>116</v>
      </c>
      <c r="E11">
        <v>62407</v>
      </c>
      <c r="F11">
        <v>62788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15981</v>
      </c>
      <c r="F12">
        <v>17331</v>
      </c>
    </row>
    <row r="13" spans="1:6">
      <c r="A13" t="s">
        <v>385</v>
      </c>
      <c r="B13" t="s">
        <v>385</v>
      </c>
      <c r="C13" t="s">
        <v>91</v>
      </c>
      <c r="D13" t="s">
        <v>80</v>
      </c>
      <c r="E13">
        <v>26679</v>
      </c>
      <c r="F13">
        <v>26687</v>
      </c>
    </row>
    <row r="14" spans="1:6">
      <c r="A14" t="s">
        <v>386</v>
      </c>
      <c r="B14" t="s">
        <v>387</v>
      </c>
      <c r="C14" t="s">
        <v>92</v>
      </c>
      <c r="D14" t="s">
        <v>80</v>
      </c>
      <c r="E14">
        <v>9764</v>
      </c>
      <c r="F14">
        <v>1958</v>
      </c>
    </row>
    <row r="15" spans="1:6">
      <c r="A15" t="s">
        <v>388</v>
      </c>
      <c r="B15" t="s">
        <v>101</v>
      </c>
      <c r="C15" t="s">
        <v>101</v>
      </c>
      <c r="D15" t="s">
        <v>80</v>
      </c>
      <c r="E15">
        <v>14121</v>
      </c>
      <c r="F15">
        <v>11877</v>
      </c>
    </row>
    <row r="16" spans="1:6">
      <c r="A16" t="s">
        <v>389</v>
      </c>
      <c r="D16" t="s">
        <v>80</v>
      </c>
      <c r="E16">
        <v>11908</v>
      </c>
      <c r="F16">
        <v>9615</v>
      </c>
    </row>
    <row r="17" spans="1:6">
      <c r="A17" t="s">
        <v>390</v>
      </c>
      <c r="B17" t="s">
        <v>107</v>
      </c>
      <c r="C17" t="s">
        <v>107</v>
      </c>
      <c r="D17" t="s">
        <v>80</v>
      </c>
      <c r="E17">
        <v>8018</v>
      </c>
    </row>
    <row r="18" spans="1:6">
      <c r="A18" t="s">
        <v>391</v>
      </c>
      <c r="B18" t="s">
        <v>138</v>
      </c>
      <c r="C18" t="s">
        <v>138</v>
      </c>
      <c r="D18" t="s">
        <v>80</v>
      </c>
      <c r="E18">
        <v>7574</v>
      </c>
      <c r="F18">
        <v>5188</v>
      </c>
    </row>
    <row r="19" spans="1:6">
      <c r="A19" t="s">
        <v>392</v>
      </c>
      <c r="D19" t="s">
        <v>80</v>
      </c>
      <c r="E19">
        <v>156452</v>
      </c>
      <c r="F19">
        <v>135444</v>
      </c>
    </row>
    <row r="20" spans="1:6">
      <c r="A20" t="s">
        <v>393</v>
      </c>
      <c r="D20" t="s">
        <v>80</v>
      </c>
    </row>
    <row r="21" spans="1:6">
      <c r="A21" t="s">
        <v>394</v>
      </c>
      <c r="B21" t="s">
        <v>141</v>
      </c>
      <c r="C21" t="s">
        <v>141</v>
      </c>
      <c r="D21" t="s">
        <v>141</v>
      </c>
    </row>
    <row r="22" spans="1:6">
      <c r="A22" t="s">
        <v>395</v>
      </c>
      <c r="B22" t="s">
        <v>395</v>
      </c>
      <c r="C22" t="s">
        <v>163</v>
      </c>
      <c r="D22" t="s">
        <v>141</v>
      </c>
      <c r="E22">
        <v>7469</v>
      </c>
      <c r="F22">
        <v>9489</v>
      </c>
    </row>
    <row r="23" spans="1:6">
      <c r="A23" t="s">
        <v>396</v>
      </c>
      <c r="B23" t="s">
        <v>152</v>
      </c>
      <c r="C23" t="s">
        <v>152</v>
      </c>
      <c r="D23" t="s">
        <v>141</v>
      </c>
      <c r="E23">
        <v>226</v>
      </c>
      <c r="F23">
        <v>1828</v>
      </c>
    </row>
    <row r="24" spans="1:6">
      <c r="A24" t="s">
        <v>397</v>
      </c>
      <c r="B24" t="s">
        <v>151</v>
      </c>
      <c r="C24" t="s">
        <v>151</v>
      </c>
      <c r="D24" t="s">
        <v>141</v>
      </c>
      <c r="E24">
        <v>10142</v>
      </c>
      <c r="F24">
        <v>4074</v>
      </c>
    </row>
    <row r="25" spans="1:6">
      <c r="A25" t="s">
        <v>398</v>
      </c>
      <c r="B25" t="s">
        <v>399</v>
      </c>
      <c r="C25" t="s">
        <v>162</v>
      </c>
      <c r="D25" t="s">
        <v>141</v>
      </c>
      <c r="E25">
        <v>2526</v>
      </c>
      <c r="F25">
        <v>3992</v>
      </c>
    </row>
    <row r="26" spans="1:6">
      <c r="A26" t="s">
        <v>400</v>
      </c>
      <c r="B26" t="s">
        <v>13</v>
      </c>
      <c r="C26" t="s">
        <v>13</v>
      </c>
      <c r="D26" t="s">
        <v>141</v>
      </c>
      <c r="E26">
        <v>20363</v>
      </c>
      <c r="F26">
        <v>19383</v>
      </c>
    </row>
    <row r="27" spans="1:6">
      <c r="A27" t="s">
        <v>401</v>
      </c>
      <c r="B27" t="s">
        <v>399</v>
      </c>
      <c r="C27" t="s">
        <v>162</v>
      </c>
      <c r="D27" t="s">
        <v>165</v>
      </c>
      <c r="E27">
        <v>7082</v>
      </c>
      <c r="F27">
        <v>8431</v>
      </c>
    </row>
    <row r="28" spans="1:6">
      <c r="A28" t="s">
        <v>402</v>
      </c>
      <c r="B28" t="s">
        <v>403</v>
      </c>
      <c r="C28" t="s">
        <v>147</v>
      </c>
      <c r="D28" t="s">
        <v>141</v>
      </c>
      <c r="E28">
        <v>6031</v>
      </c>
      <c r="F28">
        <v>6000</v>
      </c>
    </row>
    <row r="29" spans="1:6">
      <c r="A29" t="s">
        <v>404</v>
      </c>
      <c r="B29" t="s">
        <v>164</v>
      </c>
      <c r="C29" t="s">
        <v>164</v>
      </c>
      <c r="D29" t="s">
        <v>141</v>
      </c>
      <c r="E29">
        <v>567</v>
      </c>
      <c r="F29">
        <v>1190</v>
      </c>
    </row>
    <row r="30" spans="1:6">
      <c r="A30" t="s">
        <v>405</v>
      </c>
      <c r="B30" t="s">
        <v>164</v>
      </c>
      <c r="C30" t="s">
        <v>164</v>
      </c>
      <c r="D30" t="s">
        <v>141</v>
      </c>
      <c r="E30">
        <v>34043</v>
      </c>
      <c r="F30">
        <v>35004</v>
      </c>
    </row>
    <row r="31" spans="1:6">
      <c r="A31" t="s">
        <v>406</v>
      </c>
      <c r="B31" t="s">
        <v>180</v>
      </c>
      <c r="C31" t="s">
        <v>180</v>
      </c>
      <c r="D31" t="s">
        <v>165</v>
      </c>
    </row>
    <row r="32" spans="1:6">
      <c r="A32" t="s">
        <v>407</v>
      </c>
      <c r="B32" t="s">
        <v>181</v>
      </c>
      <c r="C32" t="s">
        <v>181</v>
      </c>
      <c r="D32" t="s">
        <v>141</v>
      </c>
    </row>
    <row r="33" spans="1:6">
      <c r="A33" t="s">
        <v>408</v>
      </c>
      <c r="B33" t="s">
        <v>183</v>
      </c>
      <c r="C33" t="s">
        <v>183</v>
      </c>
      <c r="D33" t="s">
        <v>181</v>
      </c>
    </row>
    <row r="34" spans="1:6">
      <c r="A34" t="s">
        <v>409</v>
      </c>
      <c r="D34" t="s">
        <v>181</v>
      </c>
    </row>
    <row r="35" spans="1:6">
      <c r="A35" t="s">
        <v>410</v>
      </c>
      <c r="B35" t="s">
        <v>182</v>
      </c>
      <c r="C35" t="s">
        <v>182</v>
      </c>
      <c r="D35" t="s">
        <v>181</v>
      </c>
    </row>
    <row r="36" spans="1:6">
      <c r="A36" t="s">
        <v>411</v>
      </c>
      <c r="D36" t="s">
        <v>181</v>
      </c>
    </row>
    <row r="37" spans="1:6">
      <c r="A37" t="s">
        <v>412</v>
      </c>
      <c r="B37" t="s">
        <v>182</v>
      </c>
      <c r="C37" t="s">
        <v>182</v>
      </c>
      <c r="D37" t="s">
        <v>181</v>
      </c>
      <c r="E37">
        <v>77</v>
      </c>
      <c r="F37">
        <v>73</v>
      </c>
    </row>
    <row r="38" spans="1:6">
      <c r="A38" t="s">
        <v>413</v>
      </c>
      <c r="B38" t="s">
        <v>182</v>
      </c>
      <c r="C38" t="s">
        <v>182</v>
      </c>
      <c r="D38" t="s">
        <v>181</v>
      </c>
      <c r="E38">
        <v>257034</v>
      </c>
      <c r="F38">
        <v>243598</v>
      </c>
    </row>
    <row r="39" spans="1:6">
      <c r="A39" t="s">
        <v>414</v>
      </c>
      <c r="B39" t="s">
        <v>185</v>
      </c>
      <c r="C39" t="s">
        <v>185</v>
      </c>
      <c r="D39" t="s">
        <v>181</v>
      </c>
      <c r="E39">
        <v>277</v>
      </c>
      <c r="F39">
        <v>232</v>
      </c>
    </row>
    <row r="40" spans="1:6">
      <c r="A40" t="s">
        <v>415</v>
      </c>
      <c r="B40" t="s">
        <v>187</v>
      </c>
      <c r="C40" t="s">
        <v>187</v>
      </c>
      <c r="D40" t="s">
        <v>181</v>
      </c>
      <c r="E40">
        <v>-134979</v>
      </c>
      <c r="F40">
        <v>-143463</v>
      </c>
    </row>
    <row r="41" spans="1:6">
      <c r="A41" t="s">
        <v>416</v>
      </c>
      <c r="B41" t="s">
        <v>195</v>
      </c>
      <c r="C41" t="s">
        <v>195</v>
      </c>
      <c r="D41" t="s">
        <v>181</v>
      </c>
      <c r="E41">
        <v>122409</v>
      </c>
      <c r="F41">
        <v>100440</v>
      </c>
    </row>
    <row r="42" spans="1:6">
      <c r="A42" t="s">
        <v>417</v>
      </c>
      <c r="D42" t="s">
        <v>181</v>
      </c>
      <c r="E42">
        <v>156452</v>
      </c>
      <c r="F42">
        <v>135444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workbookViewId="0"/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418</v>
      </c>
      <c r="B4" t="s">
        <v>419</v>
      </c>
      <c r="C4" t="s">
        <v>26</v>
      </c>
      <c r="D4" t="s">
        <v>419</v>
      </c>
    </row>
    <row r="5" spans="1:7">
      <c r="A5" t="s">
        <v>420</v>
      </c>
      <c r="D5" t="s">
        <v>419</v>
      </c>
      <c r="E5">
        <v>108924</v>
      </c>
      <c r="F5">
        <v>105191</v>
      </c>
      <c r="G5">
        <v>107398</v>
      </c>
    </row>
    <row r="6" spans="1:7">
      <c r="A6" t="s">
        <v>421</v>
      </c>
      <c r="D6" t="s">
        <v>419</v>
      </c>
      <c r="E6">
        <v>18522</v>
      </c>
      <c r="F6">
        <v>24150</v>
      </c>
      <c r="G6">
        <v>22685</v>
      </c>
    </row>
    <row r="7" spans="1:7">
      <c r="A7" t="s">
        <v>422</v>
      </c>
      <c r="B7" t="s">
        <v>423</v>
      </c>
      <c r="C7" t="s">
        <v>26</v>
      </c>
      <c r="D7" t="s">
        <v>419</v>
      </c>
      <c r="E7">
        <v>127446</v>
      </c>
      <c r="F7">
        <v>129341</v>
      </c>
      <c r="G7">
        <v>130083</v>
      </c>
    </row>
    <row r="8" spans="1:7">
      <c r="A8" t="s">
        <v>424</v>
      </c>
      <c r="B8" t="s">
        <v>27</v>
      </c>
      <c r="C8" t="s">
        <v>27</v>
      </c>
      <c r="D8" t="s">
        <v>419</v>
      </c>
      <c r="E8">
        <v>70808</v>
      </c>
      <c r="F8">
        <v>71080</v>
      </c>
      <c r="G8">
        <v>76191</v>
      </c>
    </row>
    <row r="9" spans="1:7">
      <c r="A9" t="s">
        <v>425</v>
      </c>
      <c r="B9" t="s">
        <v>426</v>
      </c>
      <c r="C9" t="s">
        <v>32</v>
      </c>
      <c r="D9" t="s">
        <v>419</v>
      </c>
      <c r="E9">
        <v>56638</v>
      </c>
      <c r="F9">
        <v>58261</v>
      </c>
      <c r="G9">
        <v>53892</v>
      </c>
    </row>
    <row r="10" spans="1:7">
      <c r="A10" t="s">
        <v>427</v>
      </c>
      <c r="B10" t="s">
        <v>58</v>
      </c>
      <c r="C10" t="s">
        <v>58</v>
      </c>
      <c r="D10" t="s">
        <v>419</v>
      </c>
    </row>
    <row r="11" spans="1:7">
      <c r="A11" t="s">
        <v>428</v>
      </c>
      <c r="B11" t="s">
        <v>429</v>
      </c>
      <c r="C11" t="s">
        <v>35</v>
      </c>
      <c r="D11" t="s">
        <v>419</v>
      </c>
      <c r="E11">
        <v>24663</v>
      </c>
      <c r="F11">
        <v>23225</v>
      </c>
      <c r="G11">
        <v>22092</v>
      </c>
    </row>
    <row r="12" spans="1:7">
      <c r="A12" t="s">
        <v>430</v>
      </c>
      <c r="B12" t="s">
        <v>37</v>
      </c>
      <c r="C12" t="s">
        <v>37</v>
      </c>
      <c r="D12" t="s">
        <v>419</v>
      </c>
      <c r="E12">
        <v>3334</v>
      </c>
      <c r="F12">
        <v>2004</v>
      </c>
      <c r="G12">
        <v>2147</v>
      </c>
    </row>
    <row r="13" spans="1:7">
      <c r="A13" t="s">
        <v>431</v>
      </c>
      <c r="B13" t="s">
        <v>36</v>
      </c>
      <c r="C13" t="s">
        <v>36</v>
      </c>
      <c r="D13" t="s">
        <v>419</v>
      </c>
      <c r="E13">
        <v>24847</v>
      </c>
      <c r="F13">
        <v>14813</v>
      </c>
      <c r="G13">
        <v>13120</v>
      </c>
    </row>
    <row r="14" spans="1:7">
      <c r="A14" t="s">
        <v>432</v>
      </c>
      <c r="B14" t="s">
        <v>45</v>
      </c>
      <c r="C14" t="s">
        <v>45</v>
      </c>
      <c r="D14" t="s">
        <v>419</v>
      </c>
      <c r="E14">
        <v>52844</v>
      </c>
      <c r="F14">
        <v>40042</v>
      </c>
      <c r="G14">
        <v>37359</v>
      </c>
    </row>
    <row r="15" spans="1:7">
      <c r="A15" t="s">
        <v>433</v>
      </c>
      <c r="B15" t="s">
        <v>419</v>
      </c>
      <c r="C15" t="s">
        <v>26</v>
      </c>
      <c r="D15" t="s">
        <v>419</v>
      </c>
      <c r="E15">
        <v>3794</v>
      </c>
      <c r="F15">
        <v>18219</v>
      </c>
      <c r="G15">
        <v>16533</v>
      </c>
    </row>
    <row r="16" spans="1:7">
      <c r="A16" t="s">
        <v>434</v>
      </c>
      <c r="B16" t="s">
        <v>435</v>
      </c>
      <c r="C16" t="s">
        <v>33</v>
      </c>
      <c r="D16" t="s">
        <v>419</v>
      </c>
      <c r="E16">
        <v>-13</v>
      </c>
      <c r="F16">
        <v>-150</v>
      </c>
      <c r="G16">
        <v>29</v>
      </c>
    </row>
    <row r="17" spans="1:7">
      <c r="A17" t="s">
        <v>436</v>
      </c>
      <c r="B17" t="s">
        <v>437</v>
      </c>
      <c r="C17" t="s">
        <v>61</v>
      </c>
      <c r="D17" t="s">
        <v>419</v>
      </c>
      <c r="E17">
        <v>3807</v>
      </c>
      <c r="F17">
        <v>18369</v>
      </c>
      <c r="G17">
        <v>16504</v>
      </c>
    </row>
    <row r="18" spans="1:7">
      <c r="A18" t="s">
        <v>438</v>
      </c>
      <c r="B18" t="s">
        <v>62</v>
      </c>
      <c r="C18" t="s">
        <v>62</v>
      </c>
      <c r="D18" t="s">
        <v>419</v>
      </c>
    </row>
    <row r="19" spans="1:7">
      <c r="A19" t="s">
        <v>439</v>
      </c>
      <c r="B19" t="s">
        <v>62</v>
      </c>
      <c r="C19" t="s">
        <v>62</v>
      </c>
      <c r="D19" t="s">
        <v>419</v>
      </c>
      <c r="E19">
        <v>-140</v>
      </c>
      <c r="F19">
        <v>-49</v>
      </c>
      <c r="G19">
        <v>407</v>
      </c>
    </row>
    <row r="20" spans="1:7">
      <c r="A20" t="s">
        <v>440</v>
      </c>
      <c r="B20" t="s">
        <v>62</v>
      </c>
      <c r="C20" t="s">
        <v>62</v>
      </c>
      <c r="D20" t="s">
        <v>419</v>
      </c>
      <c r="E20">
        <v>-2255</v>
      </c>
      <c r="F20">
        <v>8864</v>
      </c>
      <c r="G20">
        <v>3932</v>
      </c>
    </row>
    <row r="21" spans="1:7">
      <c r="A21" t="s">
        <v>441</v>
      </c>
      <c r="B21" t="s">
        <v>62</v>
      </c>
      <c r="C21" t="s">
        <v>62</v>
      </c>
      <c r="D21" t="s">
        <v>419</v>
      </c>
      <c r="E21">
        <v>-2115</v>
      </c>
      <c r="F21">
        <v>8913</v>
      </c>
      <c r="G21">
        <v>4339</v>
      </c>
    </row>
    <row r="22" spans="1:7">
      <c r="A22" t="s">
        <v>442</v>
      </c>
      <c r="D22" t="s">
        <v>419</v>
      </c>
      <c r="E22">
        <v>5922</v>
      </c>
      <c r="F22">
        <v>9456</v>
      </c>
      <c r="G22">
        <v>12165</v>
      </c>
    </row>
    <row r="23" spans="1:7">
      <c r="A23" t="s">
        <v>443</v>
      </c>
      <c r="B23" t="s">
        <v>56</v>
      </c>
      <c r="C23" t="s">
        <v>56</v>
      </c>
      <c r="D23" t="s">
        <v>419</v>
      </c>
      <c r="E23">
        <v>-72</v>
      </c>
    </row>
    <row r="24" spans="1:7">
      <c r="A24" t="s">
        <v>444</v>
      </c>
      <c r="D24" t="s">
        <v>419</v>
      </c>
      <c r="E24">
        <v>5850</v>
      </c>
      <c r="F24">
        <v>9456</v>
      </c>
      <c r="G24">
        <v>12165</v>
      </c>
    </row>
    <row r="25" spans="1:7">
      <c r="A25" t="s">
        <v>445</v>
      </c>
      <c r="B25" t="s">
        <v>446</v>
      </c>
      <c r="C25" t="s">
        <v>67</v>
      </c>
      <c r="D25" t="s">
        <v>419</v>
      </c>
      <c r="F25">
        <v>-497</v>
      </c>
      <c r="G25">
        <v>1657</v>
      </c>
    </row>
    <row r="26" spans="1:7">
      <c r="A26" t="s">
        <v>447</v>
      </c>
      <c r="D26" t="s">
        <v>419</v>
      </c>
      <c r="E26">
        <v>5850</v>
      </c>
      <c r="F26">
        <v>9953</v>
      </c>
      <c r="G26">
        <v>10508</v>
      </c>
    </row>
    <row r="27" spans="1:7">
      <c r="A27" t="s">
        <v>448</v>
      </c>
      <c r="D27" t="s">
        <v>419</v>
      </c>
      <c r="E27">
        <v>81</v>
      </c>
      <c r="F27">
        <v>142</v>
      </c>
      <c r="G27">
        <v>155</v>
      </c>
    </row>
    <row r="28" spans="1:7">
      <c r="A28" t="s">
        <v>449</v>
      </c>
      <c r="D28" t="s">
        <v>419</v>
      </c>
      <c r="E28">
        <v>74</v>
      </c>
      <c r="F28">
        <v>130</v>
      </c>
      <c r="G28">
        <v>143</v>
      </c>
    </row>
    <row r="29" spans="1:7">
      <c r="A29" t="s">
        <v>450</v>
      </c>
      <c r="D29" t="s">
        <v>419</v>
      </c>
      <c r="E29">
        <v>7220</v>
      </c>
      <c r="F29">
        <v>7026</v>
      </c>
      <c r="G29">
        <v>6783</v>
      </c>
    </row>
    <row r="30" spans="1:7">
      <c r="A30" t="s">
        <v>451</v>
      </c>
      <c r="D30" t="s">
        <v>419</v>
      </c>
      <c r="E30">
        <v>7856</v>
      </c>
      <c r="F30">
        <v>7642</v>
      </c>
      <c r="G30">
        <v>7361</v>
      </c>
    </row>
    <row r="31" spans="1:7">
      <c r="D31" t="s">
        <v>419</v>
      </c>
    </row>
    <row r="32" spans="1:7">
      <c r="D32" t="s">
        <v>419</v>
      </c>
    </row>
    <row r="33" spans="1:7">
      <c r="A33" t="s">
        <v>452</v>
      </c>
      <c r="D33" t="s">
        <v>419</v>
      </c>
    </row>
    <row r="34" spans="1:7">
      <c r="D34" t="s">
        <v>419</v>
      </c>
    </row>
    <row r="35" spans="1:7">
      <c r="D35" t="s">
        <v>419</v>
      </c>
      <c r="E35">
        <v>2018</v>
      </c>
      <c r="F35">
        <v>2017</v>
      </c>
      <c r="G35">
        <v>2016</v>
      </c>
    </row>
    <row r="36" spans="1:7">
      <c r="A36" t="s">
        <v>444</v>
      </c>
      <c r="D36" t="s">
        <v>419</v>
      </c>
      <c r="E36">
        <v>5850</v>
      </c>
      <c r="F36">
        <v>9456</v>
      </c>
      <c r="G36">
        <v>12165</v>
      </c>
    </row>
    <row r="37" spans="1:7">
      <c r="A37" t="s">
        <v>453</v>
      </c>
      <c r="B37" t="s">
        <v>454</v>
      </c>
      <c r="C37" t="s">
        <v>454</v>
      </c>
      <c r="D37" t="s">
        <v>419</v>
      </c>
    </row>
    <row r="38" spans="1:7">
      <c r="A38" t="s">
        <v>455</v>
      </c>
      <c r="B38" t="s">
        <v>71</v>
      </c>
      <c r="C38" t="s">
        <v>71</v>
      </c>
      <c r="D38" t="s">
        <v>419</v>
      </c>
      <c r="E38">
        <v>70</v>
      </c>
      <c r="F38">
        <v>12</v>
      </c>
      <c r="G38">
        <v>75</v>
      </c>
    </row>
    <row r="39" spans="1:7">
      <c r="A39" t="s">
        <v>456</v>
      </c>
      <c r="D39" t="s">
        <v>419</v>
      </c>
      <c r="G39">
        <v>-90</v>
      </c>
    </row>
    <row r="40" spans="1:7">
      <c r="A40" t="s">
        <v>457</v>
      </c>
      <c r="B40" t="s">
        <v>59</v>
      </c>
      <c r="C40" t="s">
        <v>59</v>
      </c>
      <c r="D40" t="s">
        <v>419</v>
      </c>
      <c r="E40">
        <v>-25</v>
      </c>
      <c r="F40">
        <v>123</v>
      </c>
      <c r="G40">
        <v>-75</v>
      </c>
    </row>
    <row r="41" spans="1:7">
      <c r="A41" t="s">
        <v>458</v>
      </c>
      <c r="B41" t="s">
        <v>454</v>
      </c>
      <c r="C41" t="s">
        <v>454</v>
      </c>
      <c r="D41" t="s">
        <v>419</v>
      </c>
      <c r="E41">
        <v>5895</v>
      </c>
      <c r="F41">
        <v>9591</v>
      </c>
      <c r="G41">
        <v>12075</v>
      </c>
    </row>
    <row r="42" spans="1:7">
      <c r="A42" t="s">
        <v>459</v>
      </c>
      <c r="B42" t="s">
        <v>67</v>
      </c>
      <c r="C42" t="s">
        <v>67</v>
      </c>
      <c r="D42" t="s">
        <v>419</v>
      </c>
      <c r="F42">
        <v>-497</v>
      </c>
      <c r="G42">
        <v>1657</v>
      </c>
    </row>
    <row r="43" spans="1:7">
      <c r="A43" t="s">
        <v>460</v>
      </c>
      <c r="D43" t="s">
        <v>419</v>
      </c>
      <c r="E43">
        <v>5895</v>
      </c>
      <c r="F43">
        <v>10088</v>
      </c>
      <c r="G43">
        <v>10418</v>
      </c>
    </row>
    <row r="44" spans="1:7">
      <c r="D44" t="s">
        <v>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461</v>
      </c>
      <c r="B3" t="s">
        <v>231</v>
      </c>
      <c r="C3" t="s">
        <v>231</v>
      </c>
      <c r="D3" t="s">
        <v>462</v>
      </c>
    </row>
    <row r="4" spans="1:7">
      <c r="A4" t="s">
        <v>463</v>
      </c>
      <c r="E4">
        <v>5850</v>
      </c>
      <c r="F4">
        <v>9456</v>
      </c>
      <c r="G4">
        <v>12165</v>
      </c>
    </row>
    <row r="5" spans="1:7">
      <c r="A5" t="s">
        <v>464</v>
      </c>
    </row>
    <row r="6" spans="1:7">
      <c r="A6" t="s">
        <v>465</v>
      </c>
      <c r="B6" t="s">
        <v>236</v>
      </c>
      <c r="C6" t="s">
        <v>236</v>
      </c>
      <c r="D6" t="s">
        <v>462</v>
      </c>
      <c r="E6">
        <v>4595</v>
      </c>
      <c r="F6">
        <v>4754</v>
      </c>
      <c r="G6">
        <v>4645</v>
      </c>
    </row>
    <row r="7" spans="1:7">
      <c r="A7" t="s">
        <v>440</v>
      </c>
      <c r="B7" t="s">
        <v>251</v>
      </c>
      <c r="C7" t="s">
        <v>251</v>
      </c>
      <c r="D7" t="s">
        <v>462</v>
      </c>
      <c r="E7">
        <v>-2255</v>
      </c>
      <c r="F7">
        <v>8864</v>
      </c>
      <c r="G7">
        <v>3932</v>
      </c>
    </row>
    <row r="8" spans="1:7">
      <c r="A8" t="s">
        <v>466</v>
      </c>
      <c r="B8" t="s">
        <v>248</v>
      </c>
      <c r="C8" t="s">
        <v>248</v>
      </c>
      <c r="D8" t="s">
        <v>462</v>
      </c>
      <c r="E8">
        <v>5227</v>
      </c>
      <c r="F8">
        <v>2745</v>
      </c>
      <c r="G8">
        <v>2260</v>
      </c>
    </row>
    <row r="9" spans="1:7">
      <c r="A9" t="s">
        <v>467</v>
      </c>
      <c r="D9" t="s">
        <v>462</v>
      </c>
      <c r="E9">
        <v>80</v>
      </c>
      <c r="F9">
        <v>-46</v>
      </c>
      <c r="G9">
        <v>-3</v>
      </c>
    </row>
    <row r="10" spans="1:7">
      <c r="A10" t="s">
        <v>468</v>
      </c>
      <c r="B10" t="s">
        <v>251</v>
      </c>
      <c r="C10" t="s">
        <v>251</v>
      </c>
      <c r="D10" t="s">
        <v>462</v>
      </c>
    </row>
    <row r="11" spans="1:7">
      <c r="A11" t="s">
        <v>469</v>
      </c>
      <c r="B11" t="s">
        <v>265</v>
      </c>
      <c r="C11" t="s">
        <v>265</v>
      </c>
      <c r="D11" t="s">
        <v>462</v>
      </c>
      <c r="E11">
        <v>-1076</v>
      </c>
      <c r="F11">
        <v>5243</v>
      </c>
      <c r="G11">
        <v>-4700</v>
      </c>
    </row>
    <row r="12" spans="1:7">
      <c r="A12" t="s">
        <v>470</v>
      </c>
      <c r="B12" t="s">
        <v>261</v>
      </c>
      <c r="C12" t="s">
        <v>261</v>
      </c>
      <c r="D12" t="s">
        <v>462</v>
      </c>
      <c r="E12">
        <v>6046</v>
      </c>
      <c r="F12">
        <v>-13834</v>
      </c>
      <c r="G12">
        <v>-4731</v>
      </c>
    </row>
    <row r="13" spans="1:7">
      <c r="A13" t="s">
        <v>471</v>
      </c>
      <c r="B13" t="s">
        <v>239</v>
      </c>
      <c r="C13" t="s">
        <v>239</v>
      </c>
      <c r="D13" t="s">
        <v>462</v>
      </c>
      <c r="E13">
        <v>1</v>
      </c>
      <c r="F13">
        <v>99</v>
      </c>
      <c r="G13">
        <v>-59</v>
      </c>
    </row>
    <row r="14" spans="1:7">
      <c r="A14" t="s">
        <v>472</v>
      </c>
      <c r="B14" t="s">
        <v>265</v>
      </c>
      <c r="C14" t="s">
        <v>265</v>
      </c>
      <c r="D14" t="s">
        <v>462</v>
      </c>
      <c r="E14">
        <v>-920</v>
      </c>
      <c r="F14">
        <v>-1244</v>
      </c>
      <c r="G14">
        <v>-736</v>
      </c>
    </row>
    <row r="15" spans="1:7">
      <c r="A15" t="s">
        <v>381</v>
      </c>
      <c r="B15" t="s">
        <v>276</v>
      </c>
      <c r="C15" t="s">
        <v>276</v>
      </c>
      <c r="D15" t="s">
        <v>462</v>
      </c>
      <c r="E15">
        <v>-505</v>
      </c>
      <c r="F15">
        <v>-474</v>
      </c>
      <c r="G15">
        <v>883</v>
      </c>
    </row>
    <row r="16" spans="1:7">
      <c r="A16" t="s">
        <v>395</v>
      </c>
      <c r="B16" t="s">
        <v>275</v>
      </c>
      <c r="C16" t="s">
        <v>275</v>
      </c>
      <c r="D16" t="s">
        <v>462</v>
      </c>
      <c r="E16">
        <v>-2020</v>
      </c>
      <c r="F16">
        <v>3143</v>
      </c>
      <c r="G16">
        <v>-688</v>
      </c>
    </row>
    <row r="17" spans="1:7">
      <c r="A17" t="s">
        <v>473</v>
      </c>
      <c r="B17" t="s">
        <v>237</v>
      </c>
      <c r="C17" t="s">
        <v>237</v>
      </c>
      <c r="D17" t="s">
        <v>462</v>
      </c>
      <c r="E17">
        <v>-1477</v>
      </c>
      <c r="F17">
        <v>250</v>
      </c>
      <c r="G17">
        <v>1356</v>
      </c>
    </row>
    <row r="18" spans="1:7">
      <c r="A18" t="s">
        <v>474</v>
      </c>
      <c r="B18" t="s">
        <v>277</v>
      </c>
      <c r="C18" t="s">
        <v>277</v>
      </c>
      <c r="D18" t="s">
        <v>462</v>
      </c>
      <c r="E18">
        <v>6146</v>
      </c>
      <c r="F18">
        <v>-1380</v>
      </c>
      <c r="G18">
        <v>-351</v>
      </c>
    </row>
    <row r="19" spans="1:7">
      <c r="A19" t="s">
        <v>389</v>
      </c>
      <c r="D19" t="s">
        <v>462</v>
      </c>
      <c r="E19">
        <v>-2294</v>
      </c>
      <c r="F19">
        <v>-4782</v>
      </c>
      <c r="G19">
        <v>-3867</v>
      </c>
    </row>
    <row r="20" spans="1:7">
      <c r="A20" t="s">
        <v>391</v>
      </c>
      <c r="B20" t="s">
        <v>276</v>
      </c>
      <c r="C20" t="s">
        <v>276</v>
      </c>
      <c r="D20" t="s">
        <v>462</v>
      </c>
      <c r="E20">
        <v>-871</v>
      </c>
      <c r="F20">
        <v>-984</v>
      </c>
      <c r="G20">
        <v>-1951</v>
      </c>
    </row>
    <row r="21" spans="1:7">
      <c r="A21" t="s">
        <v>475</v>
      </c>
      <c r="B21" t="s">
        <v>269</v>
      </c>
      <c r="C21" t="s">
        <v>269</v>
      </c>
      <c r="D21" t="s">
        <v>462</v>
      </c>
      <c r="E21">
        <v>-3240</v>
      </c>
      <c r="F21">
        <v>-1401</v>
      </c>
      <c r="G21">
        <v>-2300</v>
      </c>
    </row>
    <row r="22" spans="1:7">
      <c r="A22" t="s">
        <v>476</v>
      </c>
      <c r="B22" t="s">
        <v>285</v>
      </c>
      <c r="C22" t="s">
        <v>285</v>
      </c>
      <c r="D22" t="s">
        <v>462</v>
      </c>
      <c r="E22">
        <v>13287</v>
      </c>
      <c r="F22">
        <v>10409</v>
      </c>
      <c r="G22">
        <v>5855</v>
      </c>
    </row>
    <row r="23" spans="1:7">
      <c r="A23" t="s">
        <v>477</v>
      </c>
      <c r="B23" t="s">
        <v>286</v>
      </c>
      <c r="C23" t="s">
        <v>286</v>
      </c>
      <c r="D23" t="s">
        <v>478</v>
      </c>
    </row>
    <row r="24" spans="1:7">
      <c r="A24" t="s">
        <v>479</v>
      </c>
      <c r="B24" t="s">
        <v>298</v>
      </c>
      <c r="C24" t="s">
        <v>298</v>
      </c>
      <c r="D24" t="s">
        <v>480</v>
      </c>
      <c r="G24">
        <v>115</v>
      </c>
    </row>
    <row r="25" spans="1:7">
      <c r="A25" t="s">
        <v>481</v>
      </c>
      <c r="B25" t="s">
        <v>240</v>
      </c>
      <c r="C25" t="s">
        <v>240</v>
      </c>
      <c r="D25" t="s">
        <v>462</v>
      </c>
      <c r="E25">
        <v>-2750</v>
      </c>
    </row>
    <row r="26" spans="1:7">
      <c r="A26" t="s">
        <v>390</v>
      </c>
      <c r="D26" t="s">
        <v>462</v>
      </c>
      <c r="E26">
        <v>-8091</v>
      </c>
    </row>
    <row r="27" spans="1:7">
      <c r="A27" t="s">
        <v>482</v>
      </c>
      <c r="B27" t="s">
        <v>290</v>
      </c>
      <c r="C27" t="s">
        <v>290</v>
      </c>
      <c r="D27" t="s">
        <v>462</v>
      </c>
      <c r="F27">
        <v>-13757</v>
      </c>
    </row>
    <row r="28" spans="1:7">
      <c r="A28" t="s">
        <v>483</v>
      </c>
      <c r="B28" t="s">
        <v>287</v>
      </c>
      <c r="C28" t="s">
        <v>287</v>
      </c>
      <c r="D28" t="s">
        <v>478</v>
      </c>
      <c r="E28">
        <v>-1358</v>
      </c>
      <c r="F28">
        <v>-3469</v>
      </c>
      <c r="G28">
        <v>-3417</v>
      </c>
    </row>
    <row r="29" spans="1:7">
      <c r="A29" t="s">
        <v>484</v>
      </c>
      <c r="B29" t="s">
        <v>288</v>
      </c>
      <c r="C29" t="s">
        <v>288</v>
      </c>
      <c r="D29" t="s">
        <v>478</v>
      </c>
      <c r="E29">
        <v>25</v>
      </c>
      <c r="F29">
        <v>57</v>
      </c>
    </row>
    <row r="30" spans="1:7">
      <c r="A30" t="s">
        <v>485</v>
      </c>
      <c r="B30" t="s">
        <v>296</v>
      </c>
      <c r="C30" t="s">
        <v>296</v>
      </c>
      <c r="D30" t="s">
        <v>478</v>
      </c>
      <c r="E30">
        <v>-12174</v>
      </c>
      <c r="F30">
        <v>-17169</v>
      </c>
      <c r="G30">
        <v>-3302</v>
      </c>
    </row>
    <row r="31" spans="1:7">
      <c r="A31" t="s">
        <v>486</v>
      </c>
      <c r="B31" t="s">
        <v>297</v>
      </c>
      <c r="C31" t="s">
        <v>297</v>
      </c>
      <c r="D31" t="s">
        <v>480</v>
      </c>
    </row>
    <row r="32" spans="1:7">
      <c r="A32" t="s">
        <v>487</v>
      </c>
      <c r="B32" t="s">
        <v>298</v>
      </c>
      <c r="C32" t="s">
        <v>298</v>
      </c>
      <c r="D32" t="s">
        <v>480</v>
      </c>
      <c r="E32">
        <v>4034</v>
      </c>
      <c r="F32">
        <v>2452</v>
      </c>
      <c r="G32">
        <v>2382</v>
      </c>
    </row>
    <row r="33" spans="1:7">
      <c r="A33" t="s">
        <v>488</v>
      </c>
      <c r="B33" t="s">
        <v>298</v>
      </c>
      <c r="C33" t="s">
        <v>298</v>
      </c>
      <c r="D33" t="s">
        <v>480</v>
      </c>
      <c r="E33">
        <v>-1271</v>
      </c>
      <c r="F33">
        <v>-1076</v>
      </c>
      <c r="G33">
        <v>-762</v>
      </c>
    </row>
    <row r="34" spans="1:7">
      <c r="A34" t="s">
        <v>489</v>
      </c>
      <c r="B34" t="s">
        <v>490</v>
      </c>
      <c r="C34" t="s">
        <v>307</v>
      </c>
      <c r="D34" t="s">
        <v>480</v>
      </c>
      <c r="E34">
        <v>-126</v>
      </c>
      <c r="F34">
        <v>-965</v>
      </c>
    </row>
    <row r="35" spans="1:7">
      <c r="A35" t="s">
        <v>491</v>
      </c>
      <c r="B35" t="s">
        <v>299</v>
      </c>
      <c r="C35" t="s">
        <v>299</v>
      </c>
      <c r="D35" t="s">
        <v>480</v>
      </c>
      <c r="E35">
        <v>3000</v>
      </c>
      <c r="F35">
        <v>40307</v>
      </c>
      <c r="G35">
        <v>34792</v>
      </c>
    </row>
    <row r="36" spans="1:7">
      <c r="A36" t="s">
        <v>492</v>
      </c>
      <c r="B36" t="s">
        <v>302</v>
      </c>
      <c r="C36" t="s">
        <v>302</v>
      </c>
      <c r="D36" t="s">
        <v>480</v>
      </c>
      <c r="E36">
        <v>-3000</v>
      </c>
      <c r="F36">
        <v>-34979</v>
      </c>
      <c r="G36">
        <v>-34262</v>
      </c>
    </row>
    <row r="37" spans="1:7">
      <c r="A37" t="s">
        <v>493</v>
      </c>
      <c r="B37" t="s">
        <v>300</v>
      </c>
      <c r="C37" t="s">
        <v>300</v>
      </c>
      <c r="D37" t="s">
        <v>480</v>
      </c>
      <c r="E37">
        <v>-10</v>
      </c>
      <c r="F37">
        <v>-68</v>
      </c>
      <c r="G37">
        <v>-747</v>
      </c>
    </row>
    <row r="38" spans="1:7">
      <c r="A38" t="s">
        <v>494</v>
      </c>
      <c r="B38" t="s">
        <v>495</v>
      </c>
      <c r="C38" t="s">
        <v>495</v>
      </c>
      <c r="D38" t="s">
        <v>480</v>
      </c>
      <c r="F38">
        <v>-120</v>
      </c>
    </row>
    <row r="39" spans="1:7">
      <c r="A39" t="s">
        <v>496</v>
      </c>
      <c r="B39" t="s">
        <v>311</v>
      </c>
      <c r="C39" t="s">
        <v>311</v>
      </c>
      <c r="D39" t="s">
        <v>480</v>
      </c>
      <c r="E39">
        <v>2627</v>
      </c>
      <c r="F39">
        <v>5551</v>
      </c>
      <c r="G39">
        <v>1403</v>
      </c>
    </row>
    <row r="40" spans="1:7">
      <c r="A40" t="s">
        <v>497</v>
      </c>
      <c r="B40" t="s">
        <v>313</v>
      </c>
      <c r="C40" t="s">
        <v>313</v>
      </c>
      <c r="D40" t="s">
        <v>480</v>
      </c>
      <c r="E40">
        <v>-10</v>
      </c>
      <c r="F40">
        <v>74</v>
      </c>
      <c r="G40">
        <v>-52</v>
      </c>
    </row>
    <row r="41" spans="1:7">
      <c r="A41" t="s">
        <v>498</v>
      </c>
      <c r="B41" t="s">
        <v>499</v>
      </c>
      <c r="C41" t="s">
        <v>312</v>
      </c>
      <c r="D41" t="s">
        <v>480</v>
      </c>
      <c r="E41">
        <v>3730</v>
      </c>
      <c r="F41">
        <v>-1135</v>
      </c>
      <c r="G41">
        <v>3904</v>
      </c>
    </row>
    <row r="42" spans="1:7">
      <c r="A42" t="s">
        <v>500</v>
      </c>
      <c r="B42" t="s">
        <v>501</v>
      </c>
      <c r="C42" t="s">
        <v>315</v>
      </c>
      <c r="D42" t="s">
        <v>480</v>
      </c>
      <c r="E42">
        <v>9659</v>
      </c>
      <c r="F42">
        <v>10794</v>
      </c>
      <c r="G42">
        <v>6890</v>
      </c>
    </row>
    <row r="43" spans="1:7">
      <c r="A43" t="s">
        <v>502</v>
      </c>
      <c r="B43" t="s">
        <v>316</v>
      </c>
      <c r="C43" t="s">
        <v>316</v>
      </c>
      <c r="D43" t="s">
        <v>480</v>
      </c>
      <c r="E43">
        <v>13389</v>
      </c>
      <c r="F43">
        <v>9659</v>
      </c>
      <c r="G43">
        <v>10794</v>
      </c>
    </row>
    <row r="44" spans="1:7">
      <c r="A44" t="s">
        <v>503</v>
      </c>
      <c r="D44" t="s">
        <v>480</v>
      </c>
    </row>
    <row r="45" spans="1:7">
      <c r="A45" t="s">
        <v>504</v>
      </c>
      <c r="D45" t="s">
        <v>480</v>
      </c>
      <c r="E45">
        <v>1449</v>
      </c>
      <c r="F45">
        <v>1637</v>
      </c>
      <c r="G45">
        <v>1250</v>
      </c>
    </row>
    <row r="46" spans="1:7">
      <c r="A46" t="s">
        <v>505</v>
      </c>
      <c r="D46" t="s">
        <v>480</v>
      </c>
      <c r="E46">
        <v>5450</v>
      </c>
      <c r="G46">
        <v>6349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DE1AA-4742-4DC3-8C28-F428C047BA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E67B1B-D4E8-470F-81C9-756C140EE0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915E61-7965-41A8-87FB-828FFC7E0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2021-11-19T05:29:44Z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