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CogNext\GroundTruth\PDFs &amp; Excels\"/>
    </mc:Choice>
  </mc:AlternateContent>
  <bookViews>
    <workbookView xWindow="0" yWindow="0" windowWidth="20490" windowHeight="7050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209" i="1"/>
  <c r="F209" i="1"/>
  <c r="G92" i="1"/>
  <c r="F92" i="1"/>
  <c r="G36" i="1"/>
  <c r="F36" i="1"/>
  <c r="G24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L382" i="1"/>
  <c r="O381" i="1"/>
  <c r="N381" i="1"/>
  <c r="M381" i="1"/>
  <c r="L381" i="1"/>
  <c r="K381" i="1"/>
  <c r="J381" i="1"/>
  <c r="J377" i="1"/>
  <c r="L376" i="1"/>
  <c r="O375" i="1"/>
  <c r="N375" i="1"/>
  <c r="M375" i="1"/>
  <c r="L375" i="1"/>
  <c r="K375" i="1"/>
  <c r="J375" i="1"/>
  <c r="H373" i="1"/>
  <c r="L371" i="1"/>
  <c r="N370" i="1"/>
  <c r="H369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383" i="1" s="1"/>
  <c r="F161" i="1"/>
  <c r="F8" i="1" s="1"/>
  <c r="F382" i="1" s="1"/>
  <c r="G326" i="1"/>
  <c r="F384" i="1"/>
  <c r="F13" i="1"/>
  <c r="F377" i="1"/>
  <c r="F353" i="1"/>
  <c r="F355" i="1" s="1"/>
  <c r="F357" i="1" s="1"/>
  <c r="F385" i="1"/>
  <c r="J372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F375" i="1"/>
  <c r="H365" i="1"/>
  <c r="L368" i="1"/>
  <c r="H370" i="1"/>
  <c r="L372" i="1"/>
  <c r="H375" i="1"/>
  <c r="N376" i="1"/>
  <c r="L377" i="1"/>
  <c r="J378" i="1"/>
  <c r="H381" i="1"/>
  <c r="N382" i="1"/>
  <c r="J384" i="1"/>
  <c r="F381" i="1"/>
  <c r="I365" i="1"/>
  <c r="M368" i="1"/>
  <c r="M372" i="1"/>
  <c r="I375" i="1"/>
  <c r="O376" i="1"/>
  <c r="M377" i="1"/>
  <c r="K378" i="1"/>
  <c r="I381" i="1"/>
  <c r="O382" i="1"/>
  <c r="K384" i="1"/>
  <c r="H384" i="1"/>
  <c r="F363" i="1"/>
  <c r="N368" i="1"/>
  <c r="N372" i="1"/>
  <c r="H376" i="1"/>
  <c r="N377" i="1"/>
  <c r="L378" i="1"/>
  <c r="H382" i="1"/>
  <c r="J383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G12" i="1" l="1"/>
  <c r="G376" i="1" s="1"/>
  <c r="G382" i="1"/>
  <c r="F12" i="1"/>
  <c r="F376" i="1" s="1"/>
  <c r="F383" i="1"/>
  <c r="F14" i="1"/>
  <c r="G353" i="1"/>
  <c r="G355" i="1" s="1"/>
  <c r="G357" i="1" s="1"/>
  <c r="G385" i="1"/>
  <c r="F378" i="1"/>
  <c r="F370" i="1"/>
  <c r="F59" i="1"/>
  <c r="F67" i="1" s="1"/>
  <c r="F71" i="1" s="1"/>
  <c r="G378" i="1"/>
  <c r="G370" i="1"/>
  <c r="G59" i="1"/>
  <c r="G67" i="1" s="1"/>
  <c r="G71" i="1" s="1"/>
  <c r="G14" i="1" l="1"/>
  <c r="G366" i="1"/>
  <c r="F366" i="1"/>
  <c r="G373" i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<sst xmlns="http://schemas.openxmlformats.org/spreadsheetml/2006/main" count="944" uniqueCount="569">
  <si>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</si>
  <si>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</si>
  <si>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</si>
  <si>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</si>
  <si>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</si>
  <si>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</si>
  <si>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</si>
  <si>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</si>
  <si>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</si>
  <si>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</si>
  <si>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</si>
  <si>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</si>
  <si>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</si>
  <si>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</si>
  <si>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</si>
  <si>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</si>
  <si>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</si>
  <si>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</si>
  <si>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</si>
  <si>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</si>
  <si>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</si>
  <si>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</si>
  <si>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</si>
  <si>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</si>
  <si>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</si>
  <si>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</si>
  <si>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</si>
  <si>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</si>
  <si>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</si>
  <si>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</si>
  <si>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</si>
  <si>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</si>
  <si>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</si>
  <si>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</si>
  <si>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</si>
  <si>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</si>
  <si>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</si>
  <si>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</si>
  <si>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</si>
  <si>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</si>
  <si>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</si>
  <si>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</si>
  <si>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</si>
  <si>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</si>
  <si>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</si>
  <si>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</si>
  <si>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</si>
  <si>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</si>
  <si>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</si>
  <si>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</si>
  <si>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</si>
  <si>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</si>
  <si>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</si>
  <si>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</si>
  <si>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</si>
  <si>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</si>
  <si>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</si>
  <si>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</si>
  <si>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</si>
  <si>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</si>
  <si>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</si>
  <si>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</si>
  <si>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</si>
  <si>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</si>
  <si>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</si>
  <si>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</si>
  <si>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</si>
  <si>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</si>
  <si>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</si>
  <si>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</si>
  <si>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</si>
  <si>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</si>
  <si>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</si>
  <si>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</si>
  <si>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</si>
  <si>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</si>
  <si>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</si>
  <si>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</si>
  <si>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</si>
  <si>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</si>
  <si>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</si>
  <si>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</si>
  <si>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</si>
  <si>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</si>
  <si>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</si>
  <si>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</si>
  <si>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</si>
  <si>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</si>
  <si>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</si>
  <si>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</si>
  <si>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</si>
  <si>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</si>
  <si>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</si>
  <si>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</si>
  <si>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</si>
  <si>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</si>
  <si>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</si>
  <si>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</si>
  <si>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</si>
  <si>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</si>
  <si>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</si>
  <si>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</si>
  <si>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</si>
  <si>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</si>
  <si>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</si>
  <si>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</si>
  <si>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</si>
  <si>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</si>
  <si>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</si>
  <si>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</si>
  <si>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</si>
  <si>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</si>
  <si>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</si>
  <si>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</si>
  <si>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</si>
  <si>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</si>
  <si>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</si>
  <si>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</si>
  <si>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</si>
  <si>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</si>
  <si>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</si>
  <si>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</si>
  <si>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</si>
  <si>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</si>
  <si>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</si>
  <si>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</si>
  <si>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</si>
  <si>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</si>
  <si>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</si>
  <si>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</si>
  <si>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</si>
  <si>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</si>
  <si>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</si>
  <si>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</si>
  <si>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</si>
  <si>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</si>
  <si>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</si>
  <si>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</si>
  <si>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</si>
  <si>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</si>
  <si>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</si>
  <si>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</si>
  <si>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</si>
  <si>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</si>
  <si>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</si>
  <si>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</si>
  <si>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</si>
  <si>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</si>
  <si>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</si>
  <si>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</si>
  <si>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</si>
  <si>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</si>
  <si>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</si>
  <si>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</si>
  <si>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</si>
  <si>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</si>
  <si>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</si>
  <si>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</si>
  <si>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</si>
  <si>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</si>
  <si>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</si>
  <si>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</si>
  <si>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</si>
  <si>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</si>
  <si>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</si>
  <si>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</si>
  <si>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</si>
  <si>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</si>
  <si>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</si>
  <si>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</si>
  <si>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</si>
  <si>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</si>
  <si>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</si>
  <si>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</si>
  <si>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</si>
  <si>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</si>
  <si>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</si>
  <si>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</si>
  <si>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</si>
  <si>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</si>
  <si>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</si>
  <si>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</si>
  <si>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</si>
  <si>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</si>
  <si>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</si>
  <si>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</si>
  <si>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</si>
  <si>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</si>
  <si>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</si>
  <si>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</si>
  <si>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</si>
  <si>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</si>
  <si>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</si>
  <si>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</si>
  <si>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</si>
  <si>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</si>
  <si>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</si>
  <si>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</si>
  <si>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</si>
  <si>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</si>
  <si>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</si>
  <si>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</si>
  <si>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</si>
  <si>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</si>
  <si>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</si>
  <si>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</si>
  <si>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</si>
  <si>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</si>
  <si>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</si>
  <si>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</si>
  <si>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</si>
  <si>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</si>
  <si>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</si>
  <si>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</si>
  <si>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</si>
  <si>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</si>
  <si>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</si>
  <si>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</si>
  <si>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</si>
  <si>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</si>
  <si>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</si>
  <si>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</si>
  <si>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</si>
  <si>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</si>
  <si>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</si>
  <si>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</si>
  <si>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</si>
  <si>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</si>
  <si>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</si>
  <si>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</si>
  <si>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</si>
  <si>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</si>
  <si>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</si>
  <si>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</si>
  <si>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</si>
  <si>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</si>
  <si>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</si>
  <si>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</si>
  <si>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</si>
  <si>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</si>
  <si>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</si>
  <si>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</si>
  <si>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</si>
  <si>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</si>
  <si>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</si>
  <si>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</si>
  <si>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</si>
  <si>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</si>
  <si>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</si>
  <si>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</si>
  <si>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</si>
  <si>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</si>
  <si>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</si>
  <si>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</si>
  <si>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</si>
  <si>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</si>
  <si>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</si>
  <si>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</si>
  <si>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</si>
  <si>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</si>
  <si>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</si>
  <si>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</si>
  <si>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</si>
  <si>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</si>
  <si>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</si>
  <si>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</si>
  <si>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</si>
  <si>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</si>
  <si>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</si>
  <si>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</si>
  <si>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</si>
  <si>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</si>
  <si>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</si>
  <si>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</si>
  <si>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</si>
  <si>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</si>
  <si>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</si>
  <si>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</si>
  <si>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</si>
  <si>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</si>
  <si>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</si>
  <si>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</si>
  <si>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</si>
  <si>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</si>
  <si>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</si>
  <si>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</si>
  <si>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</si>
  <si>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</si>
  <si>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</si>
  <si>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</si>
  <si>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</si>
  <si>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</si>
  <si>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</si>
  <si>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</si>
  <si>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</si>
  <si>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</si>
  <si>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</si>
  <si>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</si>
  <si>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</si>
  <si>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</si>
  <si>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</si>
  <si>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</si>
  <si>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</si>
  <si>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</si>
  <si>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</si>
  <si>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</si>
  <si>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</si>
  <si>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</si>
  <si>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</si>
  <si>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</si>
  <si>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</si>
  <si>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</si>
  <si>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</si>
  <si>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</si>
  <si>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</si>
  <si>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</si>
  <si>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</si>
  <si>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</si>
  <si>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</si>
  <si>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</si>
  <si>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</si>
  <si>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</si>
  <si>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</si>
  <si>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</si>
  <si>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</si>
  <si>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</si>
  <si>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</si>
  <si>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</si>
  <si>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</si>
  <si>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</si>
  <si>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</si>
  <si>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</si>
  <si>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</si>
  <si>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</si>
  <si>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</si>
  <si>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</si>
  <si>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</si>
  <si>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</si>
  <si>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</si>
  <si>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</si>
  <si>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</si>
  <si>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</si>
  <si>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</si>
  <si>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</si>
  <si>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</si>
  <si>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</si>
  <si>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</si>
  <si>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</si>
  <si>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</si>
  <si>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</si>
  <si>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</si>
  <si>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</si>
  <si>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</si>
  <si>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</si>
  <si>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</si>
  <si>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</si>
  <si>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</si>
  <si>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</si>
  <si>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</si>
  <si>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</si>
  <si>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</si>
  <si>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</si>
  <si>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</si>
  <si>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</si>
  <si>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</si>
  <si>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</si>
  <si>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</si>
  <si>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</si>
  <si>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</si>
  <si>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</si>
  <si>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</si>
  <si>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</si>
  <si>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</si>
  <si>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</si>
  <si>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</si>
  <si>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</si>
  <si>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</si>
  <si>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Short-term investment securities</t>
  </si>
  <si>
    <t>TOTAL CASH, CASH EQUIVALENTS AND SHORT-TERM INVESTMENT</t>
  </si>
  <si>
    <t>SECURITIES</t>
  </si>
  <si>
    <t>Accounts receivable, net of allowance for doubtful accounts of $5,768 and $3,311 at</t>
  </si>
  <si>
    <t>December 31, 2018 and 2017, respectively</t>
  </si>
  <si>
    <t>Inventories</t>
  </si>
  <si>
    <t>Prepaid income taxes</t>
  </si>
  <si>
    <t>Prepaid expenses and other current assets</t>
  </si>
  <si>
    <t>Related-party receivable</t>
  </si>
  <si>
    <t>Assets held-for-sale</t>
  </si>
  <si>
    <t>TOTAL CURRENT ASSETS</t>
  </si>
  <si>
    <t>PROPERTY, PLANT AND EQUIPMENT, net</t>
  </si>
  <si>
    <t>LONG-TERM INVESTMENT SECURITIES</t>
  </si>
  <si>
    <t>GOODWILL</t>
  </si>
  <si>
    <t>Goodwill</t>
  </si>
  <si>
    <t>INTANGIBLE ASSETS, net</t>
  </si>
  <si>
    <t>Other Intangibles</t>
  </si>
  <si>
    <t>DEFERRED INCOME TAXES</t>
  </si>
  <si>
    <t>OTHER ASSETS</t>
  </si>
  <si>
    <t>TOTAL ASSETS</t>
  </si>
  <si>
    <t>LIABILITIES AND STOCKHOLDERS EQUITY</t>
  </si>
  <si>
    <t>CURRENT LIABILITIES:</t>
  </si>
  <si>
    <t>Accounts payable</t>
  </si>
  <si>
    <t>Accrued liabilities</t>
  </si>
  <si>
    <t>TOTAL CURRENT LIABILITIES</t>
  </si>
  <si>
    <t>CONTINGENT EARN-OUT LIABILITY</t>
  </si>
  <si>
    <t>OTHER LONG-TERM LIABILITIES</t>
  </si>
  <si>
    <t>INCOME TAX LIABILITY</t>
  </si>
  <si>
    <t>COMMITMENTS AND CONTINGENCIES (Note 15)</t>
  </si>
  <si>
    <t>STOCKHOLDERS EQUITY:</t>
  </si>
  <si>
    <t>Convertible preferred stock, $1.00 par value Authorized500 shares; Issued and</t>
  </si>
  <si>
    <t>outstanding none</t>
  </si>
  <si>
    <t>Common stock, $0.10 par value  Authorized80,000 shares; Issued 20,492 shares at</t>
  </si>
  <si>
    <t>December 31, 2018 and 20,210 at December 31, 2017 and outstanding 20,491 shares at</t>
  </si>
  <si>
    <t>December 31, 2018 and 20,210 shares at December 31, 2017</t>
  </si>
  <si>
    <t>Additional paid-in capital</t>
  </si>
  <si>
    <t>Treasury stock, at cost</t>
  </si>
  <si>
    <t>Treasury Stock</t>
  </si>
  <si>
    <t>Retained earnings</t>
  </si>
  <si>
    <t>Accumulated other comprehensive loss</t>
  </si>
  <si>
    <t>TOTAL STOCKHOLDERS' EQUITY</t>
  </si>
  <si>
    <t>REVENUES:</t>
  </si>
  <si>
    <t>Revenue</t>
  </si>
  <si>
    <t>Net sales</t>
  </si>
  <si>
    <t>Net revenue</t>
  </si>
  <si>
    <t>Other</t>
  </si>
  <si>
    <t>TOTAL REVENUE</t>
  </si>
  <si>
    <t>Total Cost of Revenue</t>
  </si>
  <si>
    <t>Total Cost of Revenue TODO REMOVE</t>
  </si>
  <si>
    <t>COST OF GOODS SOLD</t>
  </si>
  <si>
    <t>GROSS PROFIT</t>
  </si>
  <si>
    <t>Gross Profit</t>
  </si>
  <si>
    <t>OPERATING EXPENSES:</t>
  </si>
  <si>
    <t>Selling, general and administrative</t>
  </si>
  <si>
    <t>Research and development</t>
  </si>
  <si>
    <t>Restructuring, strategic transaction and integration expense</t>
  </si>
  <si>
    <t>Change in fair value of contingent earn-out</t>
  </si>
  <si>
    <t>Contract settlement</t>
  </si>
  <si>
    <t>Impairment of assets held for sale</t>
  </si>
  <si>
    <t>TOTAL OPERATING EXPENSES</t>
  </si>
  <si>
    <t>INCOME (LOSS) FROM OPERATIONS</t>
  </si>
  <si>
    <t>Operating Profit</t>
  </si>
  <si>
    <t>BARGAIN PURCHASE GAIN</t>
  </si>
  <si>
    <t>INTEREST EXPENSE</t>
  </si>
  <si>
    <t>OTHER INCOME (EXPENSE), NET</t>
  </si>
  <si>
    <t>Other Income - net</t>
  </si>
  <si>
    <t>INCOME BEFORE INCOME TAXES</t>
  </si>
  <si>
    <t>Profit before Zakat</t>
  </si>
  <si>
    <t>BENEFIT (PROVISION) FOR INCOME TAXES</t>
  </si>
  <si>
    <t>NET INCOME</t>
  </si>
  <si>
    <t>NET INCOME PER SHARE</t>
  </si>
  <si>
    <t>Basic</t>
  </si>
  <si>
    <t>Diluted</t>
  </si>
  <si>
    <t>WEIGHTED AVERAGE NUMBER OF SHARES</t>
  </si>
  <si>
    <t>Net income</t>
  </si>
  <si>
    <t>Other comprehensive income (loss), net of tax:</t>
  </si>
  <si>
    <t>Total Other Comprehensive Income (Loss)</t>
  </si>
  <si>
    <t>Total Other Comprehensive Income</t>
  </si>
  <si>
    <t>Cash flow hedge adjustments, net of tax of  $317 and $224 for the years ended December 31, 2018 and 2017, respectively</t>
  </si>
  <si>
    <t>Foreign currency translation adjustment, net of tax of $0, $56 and $185 for the years ended December 31, 2018, 2017 and 2016, respectively</t>
  </si>
  <si>
    <t>Other adjustments, net of tax of $0 for all periods</t>
  </si>
  <si>
    <t>Other comprehensive (loss) income, net of tax</t>
  </si>
  <si>
    <t>CASH FLOWS FROM OPERATING ACTIVITIES:</t>
  </si>
  <si>
    <t>Operating Activities</t>
  </si>
  <si>
    <t>Adjustments to reconcile net income to net cash provided by operating activities:</t>
  </si>
  <si>
    <t>Depreciation and amortization</t>
  </si>
  <si>
    <t>Provision for doubtful accounts</t>
  </si>
  <si>
    <t>Provision for warranty and returns</t>
  </si>
  <si>
    <t>Stock compensation</t>
  </si>
  <si>
    <t>Loss on disposal or write-off of property, plant and equipment</t>
  </si>
  <si>
    <t>Write-off of acquired intangibles</t>
  </si>
  <si>
    <t>Bond premium amortization</t>
  </si>
  <si>
    <t>Debt issuance cost amortization</t>
  </si>
  <si>
    <t>Impairment of assets held-for-sale</t>
  </si>
  <si>
    <t>Bargain purchase gain</t>
  </si>
  <si>
    <t>Changes in operating assets and liabilities, net of amounts acquired:</t>
  </si>
  <si>
    <t>Accounts receivable</t>
  </si>
  <si>
    <t>Prepaid expenses and other assets</t>
  </si>
  <si>
    <t>Related-party receivables</t>
  </si>
  <si>
    <t>Income taxes, including excess tax benefits and deferred income taxes</t>
  </si>
  <si>
    <t>Net cash provided by operating activities</t>
  </si>
  <si>
    <t>CASH FLOWS FROM INVESTING ACTIVITIES:</t>
  </si>
  <si>
    <t>Investing Activities</t>
  </si>
  <si>
    <t>Purchases of property, plant and equipment</t>
  </si>
  <si>
    <t>Proceeds from sale of assets</t>
  </si>
  <si>
    <t>Proceeds from the disposal of assets held-for-sale, net</t>
  </si>
  <si>
    <t>Intangible asset additions</t>
  </si>
  <si>
    <t>Business acquisitions, net of cash acquired</t>
  </si>
  <si>
    <t>Purchases of investment securities</t>
  </si>
  <si>
    <t>Proceeds from sale of investment securities</t>
  </si>
  <si>
    <t>Net cash (used in) provided by investing activities</t>
  </si>
  <si>
    <t>CASH FLOWS FROM FINANCING ACTIVITIES:</t>
  </si>
  <si>
    <t>Financing Activities</t>
  </si>
  <si>
    <t>Repayment of long-term obligations</t>
  </si>
  <si>
    <t>Proceeds from exercise of stock options</t>
  </si>
  <si>
    <t>Proceeds from employee stock purchase plan</t>
  </si>
  <si>
    <t>Purchase of treasury stock/tax withholding payments on net share settlement of equity awards</t>
  </si>
  <si>
    <t>Net cash provided by (used in) financing activities</t>
  </si>
  <si>
    <t>Effect of exchange rate changes on cash</t>
  </si>
  <si>
    <t>NET INCREASE (DECREASE) IN CASH AND CASH EQUIVALENTS</t>
  </si>
  <si>
    <t>Net increase (decrease) in cash and cash equivalents</t>
  </si>
  <si>
    <t>CASH AND CASH EQUIVALENTS, beginning of period</t>
  </si>
  <si>
    <t>Cash and cash equivalents at beginning of period</t>
  </si>
  <si>
    <t>SUPPLEMENTAL DISCLOSURE OF CASH FLOW INFORMATION</t>
  </si>
  <si>
    <t>Cash paid during the year for income taxes</t>
  </si>
  <si>
    <t>Cash paid during the year for interest</t>
  </si>
  <si>
    <t xml:space="preserve">Adjustment for Income Tax Paid </t>
  </si>
  <si>
    <t>SUPPLEMENTAL DISCLOSURE OF NON-CASH INVESTING AND</t>
  </si>
  <si>
    <t>FINANCING ACTIVITIES:</t>
  </si>
  <si>
    <t>Accounts payable for property, plant and equipment</t>
  </si>
  <si>
    <t>Detail of assets acquired and liabilities assumed in acquisitions:</t>
  </si>
  <si>
    <t>Fair value of assets acquired</t>
  </si>
  <si>
    <t>Cash paid for acquisitions, net of cash acquired</t>
  </si>
  <si>
    <t>Non-cash seller note</t>
  </si>
  <si>
    <t>Estimated working capital adjustment</t>
  </si>
  <si>
    <t>Contingent consideration</t>
  </si>
  <si>
    <t>Issuance of common stock for acquisitions</t>
  </si>
  <si>
    <t>Finance Costs</t>
  </si>
  <si>
    <t>Goodwill, acquired during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</si>
  <si>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</si>
  <si>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</si>
  <si>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</si>
  <si>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</si>
  <si>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</si>
  <si>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</si>
  <si>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 operating expenses</t>
  </si>
  <si>
    <t>interest expense</t>
  </si>
  <si>
    <t>other income (expenses)</t>
  </si>
  <si>
    <t>property, plant and equipment</t>
  </si>
  <si>
    <t>accumulated depreciation and amortisation</t>
  </si>
  <si>
    <t>long term tax payable</t>
  </si>
  <si>
    <t>other non-current liabilities</t>
  </si>
  <si>
    <t>net sales</t>
  </si>
  <si>
    <t>other</t>
  </si>
  <si>
    <t>restructuring and strategic transaction</t>
  </si>
  <si>
    <t>contract settlement</t>
  </si>
  <si>
    <t>change in fair value of contingent earn-out</t>
  </si>
  <si>
    <t>exceptional gains (losses)</t>
  </si>
  <si>
    <t>bargain purchase gain</t>
  </si>
  <si>
    <t>interest paid and financial costs</t>
  </si>
  <si>
    <t>other income (expense), net</t>
  </si>
  <si>
    <t>current taxation</t>
  </si>
  <si>
    <t>benefit (provision) for income taxes</t>
  </si>
  <si>
    <t>machinery and equipment</t>
  </si>
  <si>
    <t>land, building and building improvements</t>
  </si>
  <si>
    <t>molds</t>
  </si>
  <si>
    <t>computer equipment and software</t>
  </si>
  <si>
    <t>furniture and fixtures</t>
  </si>
  <si>
    <t>instruments placed with customers</t>
  </si>
  <si>
    <t>construction in progress</t>
  </si>
  <si>
    <t>accumulated depreciation</t>
  </si>
  <si>
    <t>land and buildings</t>
  </si>
  <si>
    <t>other fixed assets</t>
  </si>
  <si>
    <t>leased assets</t>
  </si>
  <si>
    <t>raw material</t>
  </si>
  <si>
    <t>work in process</t>
  </si>
  <si>
    <t>finished goods</t>
  </si>
  <si>
    <t>stock - raw materials</t>
  </si>
  <si>
    <t>stock - work in progress</t>
  </si>
  <si>
    <t>stock - finished goods</t>
  </si>
  <si>
    <t>related-party receivable</t>
  </si>
  <si>
    <t>trade debtors</t>
  </si>
  <si>
    <t>accounts receivable, net of allowance for doubtful accounts</t>
  </si>
  <si>
    <t>deferred tax asset</t>
  </si>
  <si>
    <t>deferred income taxes</t>
  </si>
  <si>
    <t>deferred tax liability</t>
  </si>
  <si>
    <t>income tax liability</t>
  </si>
  <si>
    <t>other long-term liabilities</t>
  </si>
  <si>
    <t>contingent earn-out liability</t>
  </si>
  <si>
    <t>ordinary shares</t>
  </si>
  <si>
    <t>additional paid-in capital</t>
  </si>
  <si>
    <t>common stock, $0.10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</si>
</sst>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B7-482E-9223-5F0356D5BA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B4-47BE-B552-EB01A07BFA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62-4623-A944-1B2A670DE1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3E-4A7A-B9A9-A0795A616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F5-4B6D-932F-61D07581D3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EB-418C-AB44-B11A7A1FB9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0F4-4746-8010-6246EA9C55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131-46FC-941F-A7AA19B7B8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FD-4C62-8E60-857B8D2F39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66-4B4E-ABD0-3D9A943328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F4-4EBF-8DD7-21C2F86C55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15-4FD6-9BA3-A7BDD8232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EC-4036-ADD5-B90BFA7DCC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80-4E1D-BFEC-927F123F03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F4-4CCE-BDCA-54BF280B23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0.710937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28793</v>
      </c>
      <c r="G6" s="7">
        <f t="shared" ref="G6:O6" si="1">IF(G4=$BF$1,"",G71)</f>
        <v>68644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658355</v>
      </c>
      <c r="G7" s="7">
        <f t="shared" ref="G7:O7" si="2">IF(G4=$BF$1,"",G128)</f>
        <v>632289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927036</v>
      </c>
      <c r="G8" s="7">
        <f t="shared" ref="G8:O8" si="3">IF(G4=$BF$1,"",G161)</f>
        <v>864662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249289</v>
      </c>
      <c r="G9" s="7">
        <f t="shared" ref="G9:O9" si="4">IF(G4=$BF$1,"",G189)</f>
        <v>210292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72447</v>
      </c>
      <c r="G10" s="7">
        <f t="shared" ref="G10:O10" si="5">IF(G4=$BF$1,"",G210)</f>
        <v>88405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1263655</v>
      </c>
      <c r="G11" s="7">
        <f t="shared" ref="G11:O11" si="6">IF(G4=$BF$1,"",G227)</f>
        <v>1198254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1585391</v>
      </c>
      <c r="G12" s="35">
        <f t="shared" ref="G12:O12" si="7">IF(G4=$BF$1,"",SUM(G7:G8))</f>
        <v>1496951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1585391</v>
      </c>
      <c r="G13" s="35">
        <f t="shared" ref="G13:O13" si="8">IF(G4=$BF$1,"",SUM(G9:G11))</f>
        <v>1496951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1400040</v>
      </c>
      <c r="G24">
        <f>447+1292166</f>
        <v>1292613</v>
      </c>
      <c r="H24">
        <v>0</v>
      </c>
      <c r="P24" s="48"/>
    </row>
    <row r="25" spans="5:16">
      <c r="E25" s="1" t="s">
        <v>27</v>
      </c>
      <c r="F25">
        <v>830012</v>
      </c>
      <c r="G25">
        <v>866518</v>
      </c>
      <c r="H25">
        <v>177974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570028</v>
      </c>
      <c r="G30" s="7">
        <f>IF(G4=$BF$1,"",G24-G25+ABS(G26)-G27-G28-G29)</f>
        <v>426095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  <c r="F31"/>
      <c r="G31"/>
      <c r="H31">
        <v>885</v>
      </c>
      <c r="P31" s="48"/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328146</v>
      </c>
      <c r="G34">
        <v>303953</v>
      </c>
      <c r="H34">
        <v>89426</v>
      </c>
    </row>
    <row r="35" spans="5:16">
      <c r="E35" s="1" t="s">
        <v>37</v>
      </c>
      <c r="F35">
        <v>52867</v>
      </c>
      <c r="G35">
        <v>51253</v>
      </c>
      <c r="H35">
        <v>12955</v>
      </c>
    </row>
    <row r="36" spans="5:16">
      <c r="E36" s="1" t="s">
        <v>38</v>
      </c>
      <c r="F36" s="38">
        <f>105390+41613+20400</f>
        <v>167403</v>
      </c>
      <c r="G36" s="38">
        <f>77967+8000</f>
        <v>85967</v>
      </c>
      <c r="P36" s="48"/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>
        <v>0</v>
      </c>
      <c r="G42">
        <v>0</v>
      </c>
      <c r="H42">
        <v>728</v>
      </c>
    </row>
    <row r="43" spans="5:16">
      <c r="E43" s="6" t="s">
        <v>45</v>
      </c>
      <c r="F43" s="7">
        <f>F32+F33+F34+F35+F36+F37+F38+F39+F40+F41+F42</f>
        <v>548416</v>
      </c>
      <c r="G43" s="7">
        <f>G32+G33+G34+G35+G36+G37+G38+G39+G40+G41+G42</f>
        <v>441173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21612</v>
      </c>
      <c r="G44" s="7">
        <f>IF(G4=$BF$1,"",G30+G31-G43)</f>
        <v>-15078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  <c r="G47" s="38">
        <v>70890</v>
      </c>
      <c r="P47" s="48"/>
    </row>
    <row r="48" spans="5:16">
      <c r="E48" s="1" t="s">
        <v>50</v>
      </c>
    </row>
    <row r="49" spans="5:16">
      <c r="E49" s="1" t="s">
        <v>51</v>
      </c>
      <c r="F49">
        <v>709</v>
      </c>
      <c r="G49">
        <v>2047</v>
      </c>
      <c r="H49">
        <v>-118</v>
      </c>
      <c r="P49" s="48"/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 s="38">
        <v>1471</v>
      </c>
      <c r="G54" s="38">
        <v>-2482</v>
      </c>
      <c r="P54" s="48"/>
    </row>
    <row r="55" spans="5:16">
      <c r="E55" s="1" t="s">
        <v>57</v>
      </c>
    </row>
    <row r="56" spans="5:16">
      <c r="E56" s="1" t="s">
        <v>58</v>
      </c>
      <c r="F56"/>
      <c r="G56"/>
      <c r="H56">
        <v>0</v>
      </c>
      <c r="P56" s="48"/>
    </row>
    <row r="57" spans="5:16">
      <c r="E57" s="1" t="s">
        <v>59</v>
      </c>
      <c r="F57"/>
      <c r="G57"/>
      <c r="H57">
        <v>-514</v>
      </c>
      <c r="P57" s="48"/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22374</v>
      </c>
      <c r="G59" s="7">
        <f>IF(G4=$BF$1,"",G44+G45+G46+G47+G48-G49-G50-G51+G52-G53+G54+G55-G56+G57+G58)</f>
        <v>51283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-6419</v>
      </c>
      <c r="G60">
        <v>-17361</v>
      </c>
      <c r="H60">
        <v>-22080</v>
      </c>
      <c r="P60" s="48"/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28793</v>
      </c>
      <c r="G67" s="7">
        <f>IF(G4=$BF$1,"",SUM(G59,-G60,-ABS(G61),-G62,-G66))</f>
        <v>68644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28793</v>
      </c>
      <c r="G71" s="7">
        <f t="shared" ref="G71:O71" si="14">IF(G4=$BF$1,"",SUM(G67:G70))</f>
        <v>68644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9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28793</v>
      </c>
      <c r="G83" s="7">
        <f t="shared" ref="G83:O83" si="15">IF(G4=$BF$1,"",SUM(G71:G82))</f>
        <v>68644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v>212283</v>
      </c>
      <c r="G89" s="38">
        <v>206846</v>
      </c>
      <c r="P89" s="48"/>
    </row>
    <row r="90" spans="5:16">
      <c r="E90" s="1" t="s">
        <v>82</v>
      </c>
      <c r="F90" s="38">
        <v>70864</v>
      </c>
      <c r="G90" s="38">
        <v>57144</v>
      </c>
      <c r="P90" s="48"/>
    </row>
    <row r="91" spans="5:16">
      <c r="E91" s="1" t="s">
        <v>83</v>
      </c>
    </row>
    <row r="92" spans="5:16">
      <c r="E92" s="12" t="s">
        <v>84</v>
      </c>
      <c r="F92">
        <f>203431+80420+7409</f>
        <v>291260</v>
      </c>
      <c r="G92">
        <f>220999+44408+7361</f>
        <v>272768</v>
      </c>
      <c r="P92" s="48"/>
    </row>
    <row r="93" spans="5:16">
      <c r="E93" s="1" t="s">
        <v>85</v>
      </c>
    </row>
    <row r="94" spans="5:16">
      <c r="E94" s="1" t="s">
        <v>86</v>
      </c>
      <c r="F94" s="38">
        <v>60757</v>
      </c>
      <c r="G94" s="38">
        <v>15812</v>
      </c>
      <c r="P94" s="48"/>
    </row>
    <row r="95" spans="5:16">
      <c r="E95" s="1" t="s">
        <v>87</v>
      </c>
      <c r="F95" s="38">
        <v>59700</v>
      </c>
      <c r="G95" s="38">
        <v>56253</v>
      </c>
      <c r="P95" s="48"/>
    </row>
    <row r="96" spans="5:16">
      <c r="E96" s="12"/>
    </row>
    <row r="98" spans="5:16">
      <c r="E98" s="6" t="s">
        <v>88</v>
      </c>
      <c r="F98" s="7">
        <f>F89+F90+F91+F92+F93+F94+F95+F96</f>
        <v>694864</v>
      </c>
      <c r="G98" s="7">
        <f>IF(G4=$BF$1,"",G89+G90+G91+G92+G93+G94+G95+G96)</f>
        <v>608823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-262223</v>
      </c>
      <c r="G99" s="38">
        <v>-210139</v>
      </c>
      <c r="P99" s="48"/>
    </row>
    <row r="100" spans="5:16">
      <c r="E100" s="6" t="s">
        <v>90</v>
      </c>
      <c r="F100" s="7">
        <f>F98+F99</f>
        <v>432641</v>
      </c>
      <c r="G100" s="7">
        <f t="shared" ref="G100:O100" si="17">IF(G4=$BF$1,"",G98+G99)</f>
        <v>398684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11195</v>
      </c>
      <c r="G101">
        <v>12357</v>
      </c>
    </row>
    <row r="102" spans="5:16">
      <c r="E102" s="1" t="s">
        <v>92</v>
      </c>
      <c r="F102">
        <v>133421</v>
      </c>
      <c r="G102">
        <v>143753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144616</v>
      </c>
      <c r="G104" s="7">
        <f t="shared" ref="G104:O104" si="18">IF(G4=$BF$1,"",G101+G102+G103)</f>
        <v>156110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38654</v>
      </c>
      <c r="G111">
        <v>24775</v>
      </c>
      <c r="P111" s="48"/>
    </row>
    <row r="112" spans="5:16">
      <c r="E112" s="1" t="s">
        <v>102</v>
      </c>
    </row>
    <row r="113" spans="5:16">
      <c r="E113" s="1" t="s">
        <v>103</v>
      </c>
      <c r="F113">
        <v>2025</v>
      </c>
      <c r="G113">
        <v>14579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40419</v>
      </c>
      <c r="G126">
        <v>38141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658355</v>
      </c>
      <c r="G128" s="7">
        <f t="shared" ref="G128:O128" si="19">IF(G4=$BF$1,"",G100+SUM(G104:G126))</f>
        <v>632289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344781</v>
      </c>
      <c r="G130">
        <v>290072</v>
      </c>
    </row>
    <row r="131" spans="5:16">
      <c r="E131" s="1" t="s">
        <v>118</v>
      </c>
      <c r="F131">
        <v>37329</v>
      </c>
      <c r="G131">
        <v>10061</v>
      </c>
    </row>
    <row r="132" spans="5:16">
      <c r="E132" s="1" t="s">
        <v>119</v>
      </c>
    </row>
    <row r="133" spans="5:16">
      <c r="E133" s="1" t="s">
        <v>120</v>
      </c>
      <c r="F133" s="38">
        <v>176298</v>
      </c>
      <c r="G133" s="38">
        <v>112696</v>
      </c>
      <c r="P133" s="48"/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558408</v>
      </c>
      <c r="G140" s="7">
        <f t="shared" ref="G140:O140" si="20">IF(G4=$BF$1,"",G130+G131+G132+G133+G134+G135+G136+G139)</f>
        <v>412829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104104</v>
      </c>
      <c r="G142" s="38">
        <v>82397</v>
      </c>
      <c r="P142" s="48"/>
    </row>
    <row r="143" spans="5:16">
      <c r="E143" s="1" t="s">
        <v>125</v>
      </c>
      <c r="F143" s="38">
        <v>52909</v>
      </c>
      <c r="G143" s="38">
        <v>42304</v>
      </c>
      <c r="P143" s="48"/>
    </row>
    <row r="144" spans="5:16">
      <c r="E144" s="1" t="s">
        <v>126</v>
      </c>
      <c r="F144">
        <v>154150</v>
      </c>
      <c r="G144">
        <v>163956</v>
      </c>
      <c r="P144" s="48"/>
    </row>
    <row r="145" spans="5:16">
      <c r="E145" s="6" t="s">
        <v>127</v>
      </c>
      <c r="F145" s="7">
        <f>F141+F142+F143+F144</f>
        <v>311163</v>
      </c>
      <c r="G145" s="7">
        <f t="shared" ref="G145:O145" si="21">IF(G4=$BF$1,"",G141+G142+G143+G144)</f>
        <v>288657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9"/>
    </row>
    <row r="146" spans="5:16" ht="25.5">
      <c r="E146" s="1" t="s">
        <v>128</v>
      </c>
      <c r="F146" s="38">
        <v>20137</v>
      </c>
      <c r="G146" s="38">
        <v>98807</v>
      </c>
      <c r="P146" s="48"/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25980</v>
      </c>
      <c r="G154">
        <v>41286</v>
      </c>
    </row>
    <row r="155" spans="5:16">
      <c r="E155" s="1" t="s">
        <v>135</v>
      </c>
    </row>
    <row r="156" spans="5:16">
      <c r="E156" s="12" t="s">
        <v>136</v>
      </c>
      <c r="F156">
        <v>11348</v>
      </c>
      <c r="G156">
        <v>10594</v>
      </c>
    </row>
    <row r="157" spans="5:16">
      <c r="E157" s="12" t="s">
        <v>137</v>
      </c>
      <c r="F157"/>
      <c r="G157"/>
      <c r="P157" s="48"/>
    </row>
    <row r="158" spans="5:16">
      <c r="E158" s="1" t="s">
        <v>138</v>
      </c>
      <c r="G158"/>
    </row>
    <row r="159" spans="5:16">
      <c r="E159" s="1" t="s">
        <v>139</v>
      </c>
      <c r="F159">
        <v>0</v>
      </c>
      <c r="G159">
        <v>12489</v>
      </c>
      <c r="P159" s="48"/>
    </row>
    <row r="160" spans="5:16">
      <c r="E160" s="6" t="s">
        <v>140</v>
      </c>
      <c r="F160" s="7">
        <f>F146+F147+F148+F149+F150+F151+F152+F153+F154+F155+F156+F157+F158+F159</f>
        <v>57465</v>
      </c>
      <c r="G160" s="7">
        <f>IF(G4=$BF$1,"",G146+G147+G148+G149+G150+G151+G152+G153+G154+G155+G156+G157+G158+G159)</f>
        <v>163176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927036</v>
      </c>
      <c r="G161" s="7">
        <f t="shared" ref="G161:O161" si="22">IF(G4=$BF$1,"",G140+G145+G160)</f>
        <v>864662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128820</v>
      </c>
      <c r="G172">
        <v>132064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</row>
    <row r="187" spans="5:16">
      <c r="E187" s="1" t="s">
        <v>163</v>
      </c>
      <c r="F187">
        <v>120469</v>
      </c>
      <c r="G187">
        <v>78228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249289</v>
      </c>
      <c r="G189" s="7">
        <f t="shared" ref="G189:O189" si="23">IF(G4=$BF$1,"",SUM(G163:G188))</f>
        <v>210292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  <c r="F198" s="38">
        <v>3734</v>
      </c>
      <c r="G198" s="38">
        <v>4592</v>
      </c>
      <c r="P198" s="48"/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721</v>
      </c>
      <c r="G203" s="38">
        <v>1487</v>
      </c>
      <c r="P203" s="48"/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f>47400+20592</f>
        <v>67992</v>
      </c>
      <c r="G209">
        <f>27000+55326</f>
        <v>82326</v>
      </c>
      <c r="P209" s="48"/>
    </row>
    <row r="210" spans="5:16">
      <c r="E210" s="6" t="s">
        <v>14</v>
      </c>
      <c r="F210" s="7">
        <f>SUM(F191:F209)</f>
        <v>72447</v>
      </c>
      <c r="G210" s="7">
        <f t="shared" ref="G210:O210" si="24">IF(G4=$BF$1,"",SUM(G191:G209))</f>
        <v>88405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2049+657899</f>
        <v>659948</v>
      </c>
      <c r="G212">
        <f>2021+625568</f>
        <v>627589</v>
      </c>
      <c r="P212" s="48"/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620747</v>
      </c>
      <c r="G217">
        <v>585624</v>
      </c>
    </row>
    <row r="218" spans="5:16">
      <c r="E218" s="1" t="s">
        <v>188</v>
      </c>
    </row>
    <row r="219" spans="5:16">
      <c r="E219" s="1" t="s">
        <v>189</v>
      </c>
      <c r="F219">
        <v>-16945</v>
      </c>
      <c r="G219">
        <v>-14959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-95</v>
      </c>
      <c r="G223">
        <v>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1263655</v>
      </c>
      <c r="G227" s="7">
        <f t="shared" ref="G227:O227" si="25">IF(G4=$BF$1,"",SUM(G212:G226))</f>
        <v>1198254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28793</v>
      </c>
      <c r="G267">
        <v>68644</v>
      </c>
      <c r="H267">
        <v>63084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75004</v>
      </c>
      <c r="G271">
        <v>66569</v>
      </c>
      <c r="H271">
        <v>19778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288</v>
      </c>
      <c r="G275">
        <v>48</v>
      </c>
      <c r="H275">
        <v>0</v>
      </c>
    </row>
    <row r="276" spans="5:8">
      <c r="E276" s="1" t="s">
        <v>241</v>
      </c>
      <c r="F276">
        <v>20400</v>
      </c>
      <c r="G276">
        <v>8000</v>
      </c>
      <c r="H276">
        <v>0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  <c r="F280">
        <v>8867</v>
      </c>
      <c r="G280">
        <v>3778</v>
      </c>
      <c r="H280">
        <v>59</v>
      </c>
    </row>
    <row r="281" spans="5:8" ht="25.5" customHeight="1">
      <c r="E281" s="1" t="s">
        <v>246</v>
      </c>
    </row>
    <row r="284" spans="5:8">
      <c r="E284" s="1" t="s">
        <v>247</v>
      </c>
      <c r="F284">
        <v>709</v>
      </c>
      <c r="G284">
        <v>2047</v>
      </c>
      <c r="H284">
        <v>118</v>
      </c>
    </row>
    <row r="285" spans="5:8">
      <c r="E285" s="1" t="s">
        <v>248</v>
      </c>
      <c r="F285">
        <v>24241</v>
      </c>
      <c r="G285">
        <v>19352</v>
      </c>
      <c r="H285">
        <v>15242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3856</v>
      </c>
      <c r="G288">
        <v>-220</v>
      </c>
      <c r="H288">
        <v>75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133365</v>
      </c>
      <c r="G296" s="7">
        <f>IF(G4=$BF$1,"",G271+G272+G273+G274+G275+G276+G277+G278+G279+G280+G281+G282+G283+G284+G285+G286+G287+G288+G289+G290+G291+G292+G293+G294+G295)</f>
        <v>99574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162158</v>
      </c>
      <c r="G297" s="7">
        <f t="shared" ref="G297:O297" si="27">IF(G4=$BF$1,"",MIN(F267,F268,F269)+F296)</f>
        <v>162158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-21770</v>
      </c>
      <c r="G299">
        <v>181699</v>
      </c>
      <c r="H299">
        <v>-5501</v>
      </c>
    </row>
    <row r="300" spans="5:15">
      <c r="E300" s="1" t="s">
        <v>262</v>
      </c>
    </row>
    <row r="301" spans="5:15">
      <c r="E301" s="1" t="s">
        <v>263</v>
      </c>
      <c r="F301">
        <v>97443</v>
      </c>
      <c r="G301">
        <v>-95309</v>
      </c>
      <c r="H301">
        <v>0</v>
      </c>
    </row>
    <row r="302" spans="5:15" ht="25.5" customHeight="1">
      <c r="E302" s="1" t="s">
        <v>264</v>
      </c>
      <c r="F302">
        <v>1943</v>
      </c>
      <c r="G302">
        <v>-31807</v>
      </c>
      <c r="H302">
        <v>-3028</v>
      </c>
    </row>
    <row r="303" spans="5:15">
      <c r="E303" s="1" t="s">
        <v>265</v>
      </c>
      <c r="F303">
        <v>-76742</v>
      </c>
      <c r="G303">
        <v>-54533</v>
      </c>
      <c r="H303">
        <v>744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23270</v>
      </c>
      <c r="G315">
        <v>46648</v>
      </c>
      <c r="H315">
        <v>-463</v>
      </c>
    </row>
    <row r="316" spans="5:15">
      <c r="E316" s="1" t="s">
        <v>276</v>
      </c>
    </row>
    <row r="317" spans="5:15">
      <c r="E317" s="1" t="s">
        <v>277</v>
      </c>
      <c r="F317">
        <v>-29553</v>
      </c>
      <c r="G317">
        <v>14813</v>
      </c>
      <c r="H317">
        <v>-1221</v>
      </c>
    </row>
    <row r="318" spans="5:15">
      <c r="E318" s="6" t="s">
        <v>278</v>
      </c>
      <c r="F318" s="7">
        <f>F299+F300+F301+F302+F303+F304+F305+F306+F307+F308+F309+F310+F311+F312+F313+F314+F315+F316+F317</f>
        <v>-5409</v>
      </c>
      <c r="G318" s="7">
        <f>IF(G4=$BF$1,"",G299+G300+G301+G302+G303+G304+G305+G306+G307+G308+G309+G310+G311+G312+G313+G314+G315+G316+G317)</f>
        <v>61511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156749</v>
      </c>
      <c r="G319" s="7">
        <f t="shared" ref="G319:O319" si="28">IF(G4=$BF$1,"",G297+G318)</f>
        <v>223669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156749</v>
      </c>
      <c r="G326" s="7">
        <f t="shared" ref="G326:O326" si="30">IF(G4=$BF$1,"",G325+G319)</f>
        <v>223669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-67498</v>
      </c>
      <c r="G328">
        <v>-393999</v>
      </c>
      <c r="H328">
        <v>-26963</v>
      </c>
    </row>
    <row r="329" spans="5:15">
      <c r="E329" s="1" t="s">
        <v>288</v>
      </c>
      <c r="F329">
        <v>765</v>
      </c>
      <c r="G329">
        <v>886571</v>
      </c>
      <c r="H329">
        <v>3306</v>
      </c>
    </row>
    <row r="330" spans="5:15">
      <c r="E330" s="1" t="s">
        <v>289</v>
      </c>
      <c r="F330">
        <v>-8059</v>
      </c>
      <c r="G330">
        <v>-5203</v>
      </c>
      <c r="H330">
        <v>-1192</v>
      </c>
    </row>
    <row r="331" spans="5:15">
      <c r="E331" s="1" t="s">
        <v>290</v>
      </c>
      <c r="F331">
        <v>-15056</v>
      </c>
      <c r="G331">
        <v>-24743</v>
      </c>
      <c r="H331">
        <v>40150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-89848</v>
      </c>
      <c r="G337" s="7">
        <f>IF(G4=$BF$1,"",SUM(G328:G336))</f>
        <v>462626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14275</v>
      </c>
      <c r="G339">
        <v>34708</v>
      </c>
      <c r="H339">
        <v>19707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  <c r="F342">
        <v>0</v>
      </c>
      <c r="G342">
        <v>-75000</v>
      </c>
      <c r="H342">
        <v>0</v>
      </c>
    </row>
    <row r="343" spans="5:15">
      <c r="E343" s="1" t="s">
        <v>302</v>
      </c>
      <c r="F343">
        <v>-6252</v>
      </c>
      <c r="G343">
        <v>-4057</v>
      </c>
      <c r="H343">
        <v>-17235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0</v>
      </c>
      <c r="G349">
        <v>-413139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8023</v>
      </c>
      <c r="G352" s="7">
        <f>IF(G4=$BF$1,"",SUM(G339:G351))</f>
        <v>-457488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74924</v>
      </c>
      <c r="G353" s="7">
        <f t="shared" ref="G353:O353" si="33">IF(G4=$BF$1,"",G326+G337+G352)</f>
        <v>228807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-10159</v>
      </c>
      <c r="G354">
        <v>1787</v>
      </c>
      <c r="H354">
        <v>224</v>
      </c>
    </row>
    <row r="355" spans="5:15">
      <c r="E355" s="6" t="s">
        <v>314</v>
      </c>
      <c r="F355" s="7">
        <f>F353+F354</f>
        <v>64765</v>
      </c>
      <c r="G355" s="7">
        <f t="shared" ref="G355:O355" si="34">IF(G4=$BF$1,"",G353+G354)</f>
        <v>230594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290072</v>
      </c>
      <c r="G356">
        <v>445082</v>
      </c>
      <c r="H356">
        <v>336164</v>
      </c>
    </row>
    <row r="357" spans="5:15">
      <c r="E357" s="6" t="s">
        <v>316</v>
      </c>
      <c r="F357" s="7">
        <f>F355+F356</f>
        <v>354837</v>
      </c>
      <c r="G357" s="7">
        <f t="shared" ref="G357:O357" si="35">IF(G4=$BF$1,"",G355+G356)</f>
        <v>675676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8.3108401354465719E-2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-0.58054600547753632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5.9080090129870651E-2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0.40715122425073569</v>
      </c>
      <c r="G369" s="27">
        <f t="shared" si="41"/>
        <v>0.32963849195389494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1.5436701808519757E-2</v>
      </c>
      <c r="G370" s="27">
        <f t="shared" si="42"/>
        <v>-1.1664744204181761E-2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2.0565840975972114E-2</v>
      </c>
      <c r="G371" s="28">
        <f t="shared" si="43"/>
        <v>5.3104834935127528E-2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1.8161450392994535E-2</v>
      </c>
      <c r="G372" s="27">
        <f t="shared" si="44"/>
        <v>4.5855876378051122E-2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2.2785491293114024E-2</v>
      </c>
      <c r="G373" s="27">
        <f t="shared" si="45"/>
        <v>5.7286685460678624E-2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0.20293795032266487</v>
      </c>
      <c r="G376" s="30">
        <f t="shared" si="47"/>
        <v>0.19953692539034343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0.25460746801935658</v>
      </c>
      <c r="G377" s="30">
        <f t="shared" si="48"/>
        <v>0.24927686450452075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30.482369534555712</v>
      </c>
      <c r="G378" s="30">
        <f t="shared" si="49"/>
        <v>-7.3659013190034193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3.7187200397931717</v>
      </c>
      <c r="G382" s="32">
        <f t="shared" si="51"/>
        <v>4.1117208453008196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2.4705181536289205</v>
      </c>
      <c r="G383" s="32">
        <f t="shared" si="52"/>
        <v>2.7390723375116504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1.5327992811556066</v>
      </c>
      <c r="G384" s="32">
        <f t="shared" si="53"/>
        <v>1.4272202461339472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0.62878426244238617</v>
      </c>
      <c r="G385" s="32">
        <f t="shared" si="54"/>
        <v>1.0636115496547658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344781</v>
      </c>
      <c r="G418" s="17">
        <f>G130-G417</f>
        <v>290072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128820</v>
      </c>
      <c r="G433" s="17">
        <f>G172-G432</f>
        <v>132064</v>
      </c>
    </row>
  </sheetData>
  <conditionalFormatting sqref="E101:E103 E130:G136 E138:G139 F137:G137 E89:G97 H146:O159 E267:O269 F333:O336 E330:E336 E339:O351 E156:G159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6.7109375" style="40" customWidth="1"/>
    <col min="3" max="3" width="8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25.5">
      <c r="A1" s="39" t="s">
        <v>516</v>
      </c>
      <c r="B1" s="39" t="s">
        <v>517</v>
      </c>
      <c r="C1" s="39" t="s">
        <v>518</v>
      </c>
      <c r="D1" s="39" t="s">
        <v>519</v>
      </c>
      <c r="E1" s="39"/>
    </row>
    <row r="2" spans="1:5">
      <c r="A2" s="41" t="s">
        <v>529</v>
      </c>
      <c r="B2" s="41" t="s">
        <v>520</v>
      </c>
      <c r="C2" s="39">
        <v>1</v>
      </c>
      <c r="D2" s="39" t="s">
        <v>521</v>
      </c>
      <c r="E2" s="39"/>
    </row>
    <row r="3" spans="1:5">
      <c r="A3" s="42" t="s">
        <v>530</v>
      </c>
      <c r="B3" s="42" t="s">
        <v>520</v>
      </c>
      <c r="C3" s="39">
        <v>1</v>
      </c>
      <c r="D3" s="39" t="s">
        <v>521</v>
      </c>
    </row>
    <row r="4" spans="1:5">
      <c r="A4" s="41" t="s">
        <v>531</v>
      </c>
      <c r="B4" s="41" t="s">
        <v>522</v>
      </c>
      <c r="C4" s="39">
        <v>0</v>
      </c>
      <c r="D4" s="39" t="s">
        <v>521</v>
      </c>
    </row>
    <row r="5" spans="1:5">
      <c r="A5" t="s">
        <v>532</v>
      </c>
      <c r="B5" t="s">
        <v>522</v>
      </c>
      <c r="C5" s="39">
        <v>0</v>
      </c>
      <c r="D5" s="39" t="s">
        <v>521</v>
      </c>
    </row>
    <row r="6" spans="1:5">
      <c r="A6" s="43" t="s">
        <v>533</v>
      </c>
      <c r="B6" s="43" t="s">
        <v>522</v>
      </c>
      <c r="C6" s="39">
        <v>0</v>
      </c>
      <c r="D6" s="39" t="s">
        <v>521</v>
      </c>
    </row>
    <row r="7" spans="1:5">
      <c r="A7" s="41" t="s">
        <v>535</v>
      </c>
      <c r="B7" s="41" t="s">
        <v>534</v>
      </c>
      <c r="C7" s="39">
        <v>1</v>
      </c>
      <c r="D7" s="39" t="s">
        <v>521</v>
      </c>
    </row>
    <row r="8" spans="1:5">
      <c r="A8" s="42" t="s">
        <v>523</v>
      </c>
      <c r="B8" s="42" t="s">
        <v>536</v>
      </c>
      <c r="C8" s="39">
        <v>0</v>
      </c>
      <c r="D8" s="39" t="s">
        <v>521</v>
      </c>
    </row>
    <row r="9" spans="1:5">
      <c r="A9" s="42" t="s">
        <v>537</v>
      </c>
      <c r="B9" s="42" t="s">
        <v>524</v>
      </c>
      <c r="C9" s="39">
        <v>1</v>
      </c>
      <c r="D9" s="39" t="s">
        <v>521</v>
      </c>
    </row>
    <row r="10" spans="1:5">
      <c r="A10" s="44" t="s">
        <v>539</v>
      </c>
      <c r="B10" s="42" t="s">
        <v>538</v>
      </c>
      <c r="C10" s="39">
        <v>2</v>
      </c>
      <c r="D10" s="39" t="s">
        <v>521</v>
      </c>
    </row>
    <row r="11" spans="1:5">
      <c r="A11" s="45" t="s">
        <v>540</v>
      </c>
      <c r="B11" s="45" t="s">
        <v>525</v>
      </c>
      <c r="C11" s="39">
        <v>1</v>
      </c>
      <c r="D11" s="39" t="s">
        <v>521</v>
      </c>
    </row>
    <row r="12" spans="1:5">
      <c r="A12" s="46" t="s">
        <v>541</v>
      </c>
      <c r="B12" s="46" t="s">
        <v>548</v>
      </c>
      <c r="C12" s="39">
        <v>1</v>
      </c>
      <c r="D12" s="39" t="s">
        <v>521</v>
      </c>
    </row>
    <row r="13" spans="1:5">
      <c r="A13" s="44" t="s">
        <v>542</v>
      </c>
      <c r="B13" s="44" t="s">
        <v>549</v>
      </c>
      <c r="C13" s="39">
        <v>1</v>
      </c>
      <c r="D13" s="39" t="s">
        <v>521</v>
      </c>
    </row>
    <row r="14" spans="1:5">
      <c r="A14" s="44" t="s">
        <v>543</v>
      </c>
      <c r="B14" s="44" t="s">
        <v>525</v>
      </c>
      <c r="C14" s="39">
        <v>1</v>
      </c>
      <c r="D14" s="39" t="s">
        <v>521</v>
      </c>
    </row>
    <row r="15" spans="1:5">
      <c r="A15" s="46" t="s">
        <v>544</v>
      </c>
      <c r="B15" s="46" t="s">
        <v>525</v>
      </c>
      <c r="C15" s="39">
        <v>1</v>
      </c>
      <c r="D15" s="39" t="s">
        <v>521</v>
      </c>
    </row>
    <row r="16" spans="1:5">
      <c r="A16" s="46" t="s">
        <v>545</v>
      </c>
      <c r="B16" s="46" t="s">
        <v>550</v>
      </c>
      <c r="C16" s="39">
        <v>1</v>
      </c>
      <c r="D16" s="39" t="s">
        <v>521</v>
      </c>
    </row>
    <row r="17" spans="1:4">
      <c r="A17" s="46" t="s">
        <v>546</v>
      </c>
      <c r="B17" s="46" t="s">
        <v>546</v>
      </c>
      <c r="C17" s="39">
        <v>1</v>
      </c>
      <c r="D17" s="39" t="s">
        <v>521</v>
      </c>
    </row>
    <row r="18" spans="1:4">
      <c r="A18" s="46" t="s">
        <v>547</v>
      </c>
      <c r="B18" s="46" t="s">
        <v>526</v>
      </c>
      <c r="C18" s="39">
        <v>1</v>
      </c>
      <c r="D18" s="39" t="s">
        <v>521</v>
      </c>
    </row>
    <row r="19" spans="1:4">
      <c r="A19" s="45" t="s">
        <v>551</v>
      </c>
      <c r="B19" s="45" t="s">
        <v>554</v>
      </c>
      <c r="C19" s="39">
        <v>1</v>
      </c>
      <c r="D19" s="39" t="s">
        <v>521</v>
      </c>
    </row>
    <row r="20" spans="1:4">
      <c r="A20" s="45" t="s">
        <v>552</v>
      </c>
      <c r="B20" s="45" t="s">
        <v>555</v>
      </c>
      <c r="C20" s="39">
        <v>1</v>
      </c>
      <c r="D20" s="39" t="s">
        <v>521</v>
      </c>
    </row>
    <row r="21" spans="1:4">
      <c r="A21" s="45" t="s">
        <v>553</v>
      </c>
      <c r="B21" s="45" t="s">
        <v>556</v>
      </c>
      <c r="C21" s="39">
        <v>1</v>
      </c>
      <c r="D21" s="39" t="s">
        <v>521</v>
      </c>
    </row>
    <row r="22" spans="1:4">
      <c r="A22" s="46" t="s">
        <v>557</v>
      </c>
      <c r="B22" s="46" t="s">
        <v>128</v>
      </c>
      <c r="C22" s="39">
        <v>1</v>
      </c>
      <c r="D22" s="39" t="s">
        <v>521</v>
      </c>
    </row>
    <row r="23" spans="1:4" ht="25.5">
      <c r="A23" s="47" t="s">
        <v>559</v>
      </c>
      <c r="B23" s="46" t="s">
        <v>558</v>
      </c>
      <c r="C23" s="39">
        <v>1</v>
      </c>
      <c r="D23" s="39" t="s">
        <v>521</v>
      </c>
    </row>
    <row r="24" spans="1:4">
      <c r="A24" s="46" t="s">
        <v>561</v>
      </c>
      <c r="B24" s="46" t="s">
        <v>560</v>
      </c>
      <c r="C24" s="39">
        <v>1</v>
      </c>
      <c r="D24" s="39" t="s">
        <v>521</v>
      </c>
    </row>
    <row r="25" spans="1:4">
      <c r="A25" s="46" t="s">
        <v>561</v>
      </c>
      <c r="B25" s="46" t="s">
        <v>562</v>
      </c>
      <c r="C25" s="39">
        <v>1</v>
      </c>
      <c r="D25" s="39" t="s">
        <v>521</v>
      </c>
    </row>
    <row r="26" spans="1:4">
      <c r="A26" s="46" t="s">
        <v>563</v>
      </c>
      <c r="B26" s="46" t="s">
        <v>527</v>
      </c>
      <c r="C26" s="39">
        <v>1</v>
      </c>
      <c r="D26" s="39" t="s">
        <v>521</v>
      </c>
    </row>
    <row r="27" spans="1:4">
      <c r="A27" s="46" t="s">
        <v>564</v>
      </c>
      <c r="B27" s="47" t="s">
        <v>528</v>
      </c>
      <c r="C27" s="39">
        <v>1</v>
      </c>
      <c r="D27" s="39" t="s">
        <v>521</v>
      </c>
    </row>
    <row r="28" spans="1:4">
      <c r="A28" s="46" t="s">
        <v>565</v>
      </c>
      <c r="B28" s="47" t="s">
        <v>528</v>
      </c>
      <c r="C28" s="39">
        <v>1</v>
      </c>
      <c r="D28" s="39" t="s">
        <v>521</v>
      </c>
    </row>
    <row r="29" spans="1:4">
      <c r="A29" s="46" t="s">
        <v>568</v>
      </c>
      <c r="B29" s="47" t="s">
        <v>566</v>
      </c>
      <c r="C29" s="39">
        <v>1</v>
      </c>
      <c r="D29" s="39" t="s">
        <v>521</v>
      </c>
    </row>
    <row r="30" spans="1:4">
      <c r="A30" s="42" t="s">
        <v>567</v>
      </c>
      <c r="B30" s="47" t="s">
        <v>566</v>
      </c>
      <c r="C30" s="39">
        <v>1</v>
      </c>
      <c r="D30" s="39" t="s">
        <v>521</v>
      </c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4"/>
      <c r="B33" s="47"/>
      <c r="C33" s="39"/>
      <c r="D33" s="39"/>
    </row>
    <row r="34" spans="1:4">
      <c r="A34" s="44"/>
      <c r="B34" s="47"/>
      <c r="C34" s="39"/>
      <c r="D34" s="39"/>
    </row>
    <row r="35" spans="1:4">
      <c r="A35" s="44"/>
      <c r="B35" s="47"/>
      <c r="C35" s="39"/>
      <c r="D35" s="39"/>
    </row>
    <row r="36" spans="1:4">
      <c r="A36"/>
      <c r="B36" s="42"/>
      <c r="C36" s="39"/>
      <c r="D36" s="39"/>
    </row>
    <row r="37" spans="1:4">
      <c r="A37"/>
      <c r="B37" s="47"/>
      <c r="C37" s="39"/>
      <c r="D37" s="39"/>
    </row>
    <row r="38" spans="1:4">
      <c r="A38"/>
      <c r="B38" s="42"/>
      <c r="C38" s="39"/>
      <c r="D38" s="39"/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4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4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workbookViewId="0"/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344781</v>
      </c>
      <c r="F5">
        <v>290072</v>
      </c>
    </row>
    <row r="6" spans="1:6">
      <c r="A6" t="s">
        <v>377</v>
      </c>
      <c r="B6" t="s">
        <v>118</v>
      </c>
      <c r="C6" t="s">
        <v>118</v>
      </c>
      <c r="D6" t="s">
        <v>116</v>
      </c>
      <c r="E6">
        <v>37329</v>
      </c>
      <c r="F6">
        <v>10061</v>
      </c>
    </row>
    <row r="7" spans="1:6">
      <c r="A7" t="s">
        <v>378</v>
      </c>
      <c r="B7" t="s">
        <v>117</v>
      </c>
      <c r="C7" t="s">
        <v>117</v>
      </c>
      <c r="D7" t="s">
        <v>116</v>
      </c>
    </row>
    <row r="8" spans="1:6">
      <c r="A8" t="s">
        <v>379</v>
      </c>
      <c r="D8" t="s">
        <v>116</v>
      </c>
      <c r="E8">
        <v>382110</v>
      </c>
      <c r="F8">
        <v>300133</v>
      </c>
    </row>
    <row r="9" spans="1:6">
      <c r="A9" t="s">
        <v>380</v>
      </c>
      <c r="B9" t="s">
        <v>352</v>
      </c>
      <c r="C9" t="s">
        <v>137</v>
      </c>
      <c r="D9" t="s">
        <v>116</v>
      </c>
    </row>
    <row r="10" spans="1:6">
      <c r="A10" t="s">
        <v>381</v>
      </c>
      <c r="D10" t="s">
        <v>116</v>
      </c>
      <c r="E10">
        <v>176298</v>
      </c>
      <c r="F10">
        <v>112696</v>
      </c>
    </row>
    <row r="11" spans="1:6">
      <c r="A11" t="s">
        <v>382</v>
      </c>
      <c r="B11" t="s">
        <v>126</v>
      </c>
      <c r="C11" t="s">
        <v>126</v>
      </c>
      <c r="D11" t="s">
        <v>116</v>
      </c>
      <c r="E11">
        <v>311163</v>
      </c>
      <c r="F11">
        <v>288657</v>
      </c>
    </row>
    <row r="12" spans="1:6">
      <c r="A12" t="s">
        <v>383</v>
      </c>
      <c r="B12" t="s">
        <v>136</v>
      </c>
      <c r="C12" t="s">
        <v>136</v>
      </c>
      <c r="D12" t="s">
        <v>116</v>
      </c>
      <c r="E12">
        <v>11348</v>
      </c>
      <c r="F12">
        <v>10594</v>
      </c>
    </row>
    <row r="13" spans="1:6">
      <c r="A13" t="s">
        <v>384</v>
      </c>
      <c r="B13" t="s">
        <v>134</v>
      </c>
      <c r="C13" t="s">
        <v>134</v>
      </c>
      <c r="D13" t="s">
        <v>116</v>
      </c>
      <c r="E13">
        <v>25980</v>
      </c>
      <c r="F13">
        <v>41286</v>
      </c>
    </row>
    <row r="14" spans="1:6">
      <c r="A14" t="s">
        <v>385</v>
      </c>
      <c r="B14" t="s">
        <v>352</v>
      </c>
      <c r="C14" t="s">
        <v>137</v>
      </c>
      <c r="D14" t="s">
        <v>116</v>
      </c>
      <c r="E14">
        <v>20137</v>
      </c>
      <c r="F14">
        <v>98807</v>
      </c>
    </row>
    <row r="15" spans="1:6">
      <c r="A15" t="s">
        <v>386</v>
      </c>
      <c r="B15" t="s">
        <v>139</v>
      </c>
      <c r="C15" t="s">
        <v>139</v>
      </c>
      <c r="D15" t="s">
        <v>116</v>
      </c>
      <c r="F15">
        <v>12489</v>
      </c>
    </row>
    <row r="16" spans="1:6">
      <c r="A16" t="s">
        <v>387</v>
      </c>
      <c r="B16" t="s">
        <v>12</v>
      </c>
      <c r="C16" t="s">
        <v>12</v>
      </c>
      <c r="D16" t="s">
        <v>116</v>
      </c>
      <c r="E16">
        <v>927036</v>
      </c>
      <c r="F16">
        <v>864662</v>
      </c>
    </row>
    <row r="17" spans="1:6">
      <c r="A17" t="s">
        <v>388</v>
      </c>
      <c r="B17" t="s">
        <v>84</v>
      </c>
      <c r="C17" t="s">
        <v>84</v>
      </c>
      <c r="D17" t="s">
        <v>80</v>
      </c>
      <c r="E17">
        <v>432641</v>
      </c>
      <c r="F17">
        <v>398684</v>
      </c>
    </row>
    <row r="18" spans="1:6">
      <c r="A18" t="s">
        <v>389</v>
      </c>
      <c r="B18" t="s">
        <v>103</v>
      </c>
      <c r="C18" t="s">
        <v>103</v>
      </c>
      <c r="D18" t="s">
        <v>80</v>
      </c>
      <c r="E18">
        <v>2025</v>
      </c>
      <c r="F18">
        <v>14579</v>
      </c>
    </row>
    <row r="19" spans="1:6">
      <c r="A19" t="s">
        <v>390</v>
      </c>
      <c r="B19" t="s">
        <v>391</v>
      </c>
      <c r="C19" t="s">
        <v>91</v>
      </c>
      <c r="D19" t="s">
        <v>80</v>
      </c>
      <c r="E19">
        <v>11195</v>
      </c>
      <c r="F19">
        <v>12357</v>
      </c>
    </row>
    <row r="20" spans="1:6">
      <c r="A20" t="s">
        <v>392</v>
      </c>
      <c r="B20" t="s">
        <v>393</v>
      </c>
      <c r="C20" t="s">
        <v>92</v>
      </c>
      <c r="D20" t="s">
        <v>80</v>
      </c>
      <c r="E20">
        <v>133421</v>
      </c>
      <c r="F20">
        <v>143753</v>
      </c>
    </row>
    <row r="21" spans="1:6">
      <c r="A21" t="s">
        <v>394</v>
      </c>
      <c r="B21" t="s">
        <v>101</v>
      </c>
      <c r="C21" t="s">
        <v>101</v>
      </c>
      <c r="D21" t="s">
        <v>80</v>
      </c>
      <c r="E21">
        <v>38654</v>
      </c>
      <c r="F21">
        <v>24775</v>
      </c>
    </row>
    <row r="22" spans="1:6">
      <c r="A22" t="s">
        <v>395</v>
      </c>
      <c r="B22" t="s">
        <v>113</v>
      </c>
      <c r="C22" t="s">
        <v>113</v>
      </c>
      <c r="D22" t="s">
        <v>80</v>
      </c>
      <c r="E22">
        <v>40419</v>
      </c>
      <c r="F22">
        <v>38141</v>
      </c>
    </row>
    <row r="23" spans="1:6">
      <c r="A23" t="s">
        <v>396</v>
      </c>
      <c r="D23" t="s">
        <v>80</v>
      </c>
      <c r="E23">
        <v>1585391</v>
      </c>
      <c r="F23">
        <v>1496951</v>
      </c>
    </row>
    <row r="24" spans="1:6">
      <c r="A24" t="s">
        <v>397</v>
      </c>
      <c r="D24" t="s">
        <v>80</v>
      </c>
    </row>
    <row r="25" spans="1:6">
      <c r="A25" t="s">
        <v>398</v>
      </c>
      <c r="B25" t="s">
        <v>141</v>
      </c>
      <c r="C25" t="s">
        <v>141</v>
      </c>
      <c r="D25" t="s">
        <v>141</v>
      </c>
    </row>
    <row r="26" spans="1:6">
      <c r="A26" t="s">
        <v>399</v>
      </c>
      <c r="B26" t="s">
        <v>399</v>
      </c>
      <c r="C26" t="s">
        <v>163</v>
      </c>
      <c r="D26" t="s">
        <v>141</v>
      </c>
      <c r="E26">
        <v>120469</v>
      </c>
      <c r="F26">
        <v>78228</v>
      </c>
    </row>
    <row r="27" spans="1:6">
      <c r="A27" t="s">
        <v>400</v>
      </c>
      <c r="B27" t="s">
        <v>151</v>
      </c>
      <c r="C27" t="s">
        <v>151</v>
      </c>
      <c r="D27" t="s">
        <v>141</v>
      </c>
      <c r="E27">
        <v>128820</v>
      </c>
      <c r="F27">
        <v>132064</v>
      </c>
    </row>
    <row r="28" spans="1:6">
      <c r="A28" t="s">
        <v>401</v>
      </c>
      <c r="B28" t="s">
        <v>13</v>
      </c>
      <c r="C28" t="s">
        <v>13</v>
      </c>
      <c r="D28" t="s">
        <v>141</v>
      </c>
      <c r="E28">
        <v>249289</v>
      </c>
      <c r="F28">
        <v>210292</v>
      </c>
    </row>
    <row r="29" spans="1:6">
      <c r="A29" t="s">
        <v>402</v>
      </c>
      <c r="B29" t="s">
        <v>180</v>
      </c>
      <c r="C29" t="s">
        <v>180</v>
      </c>
      <c r="D29" t="s">
        <v>141</v>
      </c>
      <c r="E29">
        <v>47400</v>
      </c>
      <c r="F29">
        <v>27000</v>
      </c>
    </row>
    <row r="30" spans="1:6">
      <c r="A30" t="s">
        <v>403</v>
      </c>
      <c r="B30" t="s">
        <v>180</v>
      </c>
      <c r="C30" t="s">
        <v>180</v>
      </c>
      <c r="D30" t="s">
        <v>165</v>
      </c>
      <c r="E30">
        <v>20592</v>
      </c>
      <c r="F30">
        <v>55326</v>
      </c>
    </row>
    <row r="31" spans="1:6">
      <c r="A31" t="s">
        <v>394</v>
      </c>
      <c r="B31" t="s">
        <v>101</v>
      </c>
      <c r="C31" t="s">
        <v>101</v>
      </c>
      <c r="D31" t="s">
        <v>80</v>
      </c>
      <c r="E31">
        <v>721</v>
      </c>
      <c r="F31">
        <v>1487</v>
      </c>
    </row>
    <row r="32" spans="1:6">
      <c r="A32" t="s">
        <v>404</v>
      </c>
      <c r="B32" t="s">
        <v>178</v>
      </c>
      <c r="C32" t="s">
        <v>178</v>
      </c>
      <c r="D32" t="s">
        <v>141</v>
      </c>
      <c r="E32">
        <v>3734</v>
      </c>
      <c r="F32">
        <v>4592</v>
      </c>
    </row>
    <row r="33" spans="1:6">
      <c r="A33" t="s">
        <v>405</v>
      </c>
      <c r="B33" t="s">
        <v>180</v>
      </c>
      <c r="C33" t="s">
        <v>180</v>
      </c>
      <c r="D33" t="s">
        <v>165</v>
      </c>
    </row>
    <row r="34" spans="1:6">
      <c r="A34" t="s">
        <v>406</v>
      </c>
      <c r="B34" t="s">
        <v>181</v>
      </c>
      <c r="C34" t="s">
        <v>181</v>
      </c>
      <c r="D34" t="s">
        <v>141</v>
      </c>
    </row>
    <row r="35" spans="1:6">
      <c r="A35" t="s">
        <v>407</v>
      </c>
      <c r="B35" t="s">
        <v>183</v>
      </c>
      <c r="C35" t="s">
        <v>183</v>
      </c>
      <c r="D35" t="s">
        <v>181</v>
      </c>
    </row>
    <row r="36" spans="1:6">
      <c r="A36" t="s">
        <v>408</v>
      </c>
      <c r="D36" t="s">
        <v>181</v>
      </c>
    </row>
    <row r="37" spans="1:6">
      <c r="A37" t="s">
        <v>409</v>
      </c>
      <c r="B37" t="s">
        <v>182</v>
      </c>
      <c r="C37" t="s">
        <v>182</v>
      </c>
      <c r="D37" t="s">
        <v>181</v>
      </c>
    </row>
    <row r="38" spans="1:6">
      <c r="A38" t="s">
        <v>410</v>
      </c>
      <c r="D38" t="s">
        <v>181</v>
      </c>
    </row>
    <row r="39" spans="1:6">
      <c r="A39" t="s">
        <v>411</v>
      </c>
      <c r="D39" t="s">
        <v>181</v>
      </c>
      <c r="E39">
        <v>2049</v>
      </c>
      <c r="F39">
        <v>2021</v>
      </c>
    </row>
    <row r="40" spans="1:6">
      <c r="A40" t="s">
        <v>412</v>
      </c>
      <c r="B40" t="s">
        <v>182</v>
      </c>
      <c r="C40" t="s">
        <v>182</v>
      </c>
      <c r="D40" t="s">
        <v>181</v>
      </c>
      <c r="E40">
        <v>657899</v>
      </c>
      <c r="F40">
        <v>625568</v>
      </c>
    </row>
    <row r="41" spans="1:6">
      <c r="A41" t="s">
        <v>413</v>
      </c>
      <c r="B41" t="s">
        <v>414</v>
      </c>
      <c r="C41" t="s">
        <v>192</v>
      </c>
      <c r="D41" t="s">
        <v>181</v>
      </c>
      <c r="E41">
        <v>-95</v>
      </c>
    </row>
    <row r="42" spans="1:6">
      <c r="A42" t="s">
        <v>415</v>
      </c>
      <c r="B42" t="s">
        <v>187</v>
      </c>
      <c r="C42" t="s">
        <v>187</v>
      </c>
      <c r="D42" t="s">
        <v>181</v>
      </c>
      <c r="E42">
        <v>620747</v>
      </c>
      <c r="F42">
        <v>585624</v>
      </c>
    </row>
    <row r="43" spans="1:6">
      <c r="A43" t="s">
        <v>416</v>
      </c>
      <c r="B43" t="s">
        <v>189</v>
      </c>
      <c r="C43" t="s">
        <v>189</v>
      </c>
      <c r="D43" t="s">
        <v>181</v>
      </c>
      <c r="E43">
        <v>-16945</v>
      </c>
      <c r="F43">
        <v>-14959</v>
      </c>
    </row>
    <row r="44" spans="1:6">
      <c r="A44" t="s">
        <v>417</v>
      </c>
      <c r="B44" t="s">
        <v>195</v>
      </c>
      <c r="C44" t="s">
        <v>195</v>
      </c>
      <c r="D44" t="s">
        <v>181</v>
      </c>
      <c r="E44">
        <v>1263655</v>
      </c>
      <c r="F44">
        <v>1198254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418</v>
      </c>
      <c r="B3" t="s">
        <v>419</v>
      </c>
      <c r="C3" t="s">
        <v>26</v>
      </c>
      <c r="D3" t="s">
        <v>419</v>
      </c>
    </row>
    <row r="4" spans="1:7">
      <c r="A4" t="s">
        <v>420</v>
      </c>
      <c r="B4" t="s">
        <v>421</v>
      </c>
      <c r="C4" t="s">
        <v>26</v>
      </c>
      <c r="D4" t="s">
        <v>419</v>
      </c>
      <c r="E4">
        <v>1400040</v>
      </c>
      <c r="F4">
        <v>1292166</v>
      </c>
      <c r="G4">
        <v>379339</v>
      </c>
    </row>
    <row r="5" spans="1:7">
      <c r="A5" t="s">
        <v>422</v>
      </c>
      <c r="D5" t="s">
        <v>419</v>
      </c>
      <c r="F5">
        <v>447</v>
      </c>
      <c r="G5">
        <v>33</v>
      </c>
    </row>
    <row r="6" spans="1:7">
      <c r="A6" t="s">
        <v>423</v>
      </c>
      <c r="B6" t="s">
        <v>424</v>
      </c>
      <c r="C6" t="s">
        <v>425</v>
      </c>
      <c r="D6" t="s">
        <v>419</v>
      </c>
      <c r="E6">
        <v>-1400040</v>
      </c>
      <c r="F6">
        <v>-1292613</v>
      </c>
      <c r="G6">
        <v>379372</v>
      </c>
    </row>
    <row r="7" spans="1:7">
      <c r="A7" t="s">
        <v>426</v>
      </c>
      <c r="B7" t="s">
        <v>27</v>
      </c>
      <c r="C7" t="s">
        <v>27</v>
      </c>
      <c r="D7" t="s">
        <v>419</v>
      </c>
      <c r="E7">
        <v>830012</v>
      </c>
      <c r="F7">
        <v>866518</v>
      </c>
      <c r="G7">
        <v>177974</v>
      </c>
    </row>
    <row r="8" spans="1:7">
      <c r="A8" t="s">
        <v>427</v>
      </c>
      <c r="B8" t="s">
        <v>428</v>
      </c>
      <c r="C8" t="s">
        <v>32</v>
      </c>
      <c r="D8" t="s">
        <v>419</v>
      </c>
      <c r="E8">
        <v>570028</v>
      </c>
      <c r="F8">
        <v>426095</v>
      </c>
      <c r="G8">
        <v>201398</v>
      </c>
    </row>
    <row r="9" spans="1:7">
      <c r="A9" t="s">
        <v>429</v>
      </c>
      <c r="B9" t="s">
        <v>58</v>
      </c>
      <c r="C9" t="s">
        <v>58</v>
      </c>
      <c r="D9" t="s">
        <v>419</v>
      </c>
    </row>
    <row r="10" spans="1:7">
      <c r="A10" t="s">
        <v>430</v>
      </c>
      <c r="B10" t="s">
        <v>36</v>
      </c>
      <c r="C10" t="s">
        <v>36</v>
      </c>
      <c r="D10" t="s">
        <v>419</v>
      </c>
      <c r="E10">
        <v>328146</v>
      </c>
      <c r="F10">
        <v>303953</v>
      </c>
      <c r="G10">
        <v>89426</v>
      </c>
    </row>
    <row r="11" spans="1:7">
      <c r="A11" t="s">
        <v>431</v>
      </c>
      <c r="B11" t="s">
        <v>37</v>
      </c>
      <c r="C11" t="s">
        <v>37</v>
      </c>
      <c r="D11" t="s">
        <v>419</v>
      </c>
      <c r="E11">
        <v>52867</v>
      </c>
      <c r="F11">
        <v>51253</v>
      </c>
      <c r="G11">
        <v>12955</v>
      </c>
    </row>
    <row r="12" spans="1:7">
      <c r="A12" t="s">
        <v>432</v>
      </c>
      <c r="D12" t="s">
        <v>419</v>
      </c>
      <c r="E12">
        <v>105390</v>
      </c>
      <c r="F12">
        <v>77967</v>
      </c>
      <c r="G12">
        <v>15348</v>
      </c>
    </row>
    <row r="13" spans="1:7">
      <c r="A13" t="s">
        <v>433</v>
      </c>
      <c r="D13" t="s">
        <v>419</v>
      </c>
      <c r="E13">
        <v>20400</v>
      </c>
      <c r="F13">
        <v>8000</v>
      </c>
    </row>
    <row r="14" spans="1:7">
      <c r="A14" t="s">
        <v>434</v>
      </c>
      <c r="D14" t="s">
        <v>419</v>
      </c>
      <c r="E14">
        <v>41613</v>
      </c>
    </row>
    <row r="15" spans="1:7">
      <c r="A15" t="s">
        <v>435</v>
      </c>
      <c r="B15" t="s">
        <v>44</v>
      </c>
      <c r="C15" t="s">
        <v>44</v>
      </c>
      <c r="D15" t="s">
        <v>419</v>
      </c>
      <c r="G15">
        <v>728</v>
      </c>
    </row>
    <row r="16" spans="1:7">
      <c r="A16" t="s">
        <v>436</v>
      </c>
      <c r="B16" t="s">
        <v>45</v>
      </c>
      <c r="C16" t="s">
        <v>45</v>
      </c>
      <c r="D16" t="s">
        <v>419</v>
      </c>
      <c r="E16">
        <v>548416</v>
      </c>
      <c r="F16">
        <v>441173</v>
      </c>
      <c r="G16">
        <v>118457</v>
      </c>
    </row>
    <row r="17" spans="1:7">
      <c r="A17" t="s">
        <v>437</v>
      </c>
      <c r="B17" t="s">
        <v>438</v>
      </c>
      <c r="C17" t="s">
        <v>46</v>
      </c>
      <c r="D17" t="s">
        <v>419</v>
      </c>
      <c r="E17">
        <v>21612</v>
      </c>
      <c r="F17">
        <v>-15078</v>
      </c>
      <c r="G17">
        <v>82941</v>
      </c>
    </row>
    <row r="18" spans="1:7">
      <c r="A18" t="s">
        <v>439</v>
      </c>
      <c r="D18" t="s">
        <v>419</v>
      </c>
      <c r="F18">
        <v>70890</v>
      </c>
      <c r="G18">
        <v>1456</v>
      </c>
    </row>
    <row r="19" spans="1:7">
      <c r="A19" t="s">
        <v>440</v>
      </c>
      <c r="B19" t="s">
        <v>51</v>
      </c>
      <c r="C19" t="s">
        <v>51</v>
      </c>
      <c r="D19" t="s">
        <v>419</v>
      </c>
      <c r="E19">
        <v>-709</v>
      </c>
      <c r="F19">
        <v>-2047</v>
      </c>
      <c r="G19">
        <v>-118</v>
      </c>
    </row>
    <row r="20" spans="1:7">
      <c r="A20" t="s">
        <v>441</v>
      </c>
      <c r="B20" t="s">
        <v>442</v>
      </c>
      <c r="C20" t="s">
        <v>33</v>
      </c>
      <c r="D20" t="s">
        <v>419</v>
      </c>
      <c r="E20">
        <v>1471</v>
      </c>
      <c r="F20">
        <v>-2482</v>
      </c>
      <c r="G20">
        <v>885</v>
      </c>
    </row>
    <row r="21" spans="1:7">
      <c r="A21" t="s">
        <v>443</v>
      </c>
      <c r="B21" t="s">
        <v>444</v>
      </c>
      <c r="C21" t="s">
        <v>61</v>
      </c>
      <c r="D21" t="s">
        <v>419</v>
      </c>
      <c r="E21">
        <v>22374</v>
      </c>
      <c r="F21">
        <v>51283</v>
      </c>
      <c r="G21">
        <v>85164</v>
      </c>
    </row>
    <row r="22" spans="1:7">
      <c r="A22" t="s">
        <v>445</v>
      </c>
      <c r="B22" t="s">
        <v>62</v>
      </c>
      <c r="C22" t="s">
        <v>62</v>
      </c>
      <c r="D22" t="s">
        <v>419</v>
      </c>
      <c r="E22">
        <v>6419</v>
      </c>
      <c r="F22">
        <v>17361</v>
      </c>
      <c r="G22">
        <v>-22080</v>
      </c>
    </row>
    <row r="23" spans="1:7">
      <c r="A23" t="s">
        <v>446</v>
      </c>
      <c r="B23" t="s">
        <v>70</v>
      </c>
      <c r="C23" t="s">
        <v>70</v>
      </c>
      <c r="D23" t="s">
        <v>419</v>
      </c>
      <c r="E23">
        <v>28793</v>
      </c>
      <c r="F23">
        <v>68644</v>
      </c>
      <c r="G23">
        <v>63084</v>
      </c>
    </row>
    <row r="24" spans="1:7">
      <c r="A24" t="s">
        <v>447</v>
      </c>
      <c r="D24" t="s">
        <v>419</v>
      </c>
    </row>
    <row r="25" spans="1:7">
      <c r="A25" t="s">
        <v>448</v>
      </c>
      <c r="D25" t="s">
        <v>419</v>
      </c>
      <c r="E25">
        <v>141</v>
      </c>
      <c r="F25">
        <v>350</v>
      </c>
      <c r="G25">
        <v>390</v>
      </c>
    </row>
    <row r="26" spans="1:7">
      <c r="A26" t="s">
        <v>449</v>
      </c>
      <c r="D26" t="s">
        <v>419</v>
      </c>
      <c r="E26">
        <v>133</v>
      </c>
      <c r="F26">
        <v>329</v>
      </c>
      <c r="G26">
        <v>366</v>
      </c>
    </row>
    <row r="27" spans="1:7">
      <c r="A27" t="s">
        <v>450</v>
      </c>
      <c r="D27" t="s">
        <v>419</v>
      </c>
    </row>
    <row r="28" spans="1:7">
      <c r="A28" t="s">
        <v>448</v>
      </c>
      <c r="D28" t="s">
        <v>419</v>
      </c>
      <c r="E28">
        <v>20394</v>
      </c>
      <c r="F28">
        <v>19614</v>
      </c>
      <c r="G28">
        <v>16168</v>
      </c>
    </row>
    <row r="29" spans="1:7">
      <c r="D29" t="s">
        <v>419</v>
      </c>
    </row>
    <row r="30" spans="1:7">
      <c r="D30" t="s">
        <v>419</v>
      </c>
      <c r="E30">
        <v>2018</v>
      </c>
      <c r="F30">
        <v>2017</v>
      </c>
    </row>
    <row r="31" spans="1:7">
      <c r="A31" t="s">
        <v>451</v>
      </c>
      <c r="B31" t="s">
        <v>70</v>
      </c>
      <c r="C31" t="s">
        <v>70</v>
      </c>
      <c r="D31" t="s">
        <v>419</v>
      </c>
      <c r="E31">
        <v>28793</v>
      </c>
      <c r="F31">
        <v>68644</v>
      </c>
      <c r="G31">
        <v>63084</v>
      </c>
    </row>
    <row r="32" spans="1:7">
      <c r="A32" t="s">
        <v>452</v>
      </c>
      <c r="B32" t="s">
        <v>453</v>
      </c>
      <c r="C32" t="s">
        <v>454</v>
      </c>
      <c r="D32" t="s">
        <v>419</v>
      </c>
    </row>
    <row r="33" spans="1:7">
      <c r="A33" t="s">
        <v>455</v>
      </c>
      <c r="D33" t="s">
        <v>419</v>
      </c>
      <c r="E33">
        <v>1003</v>
      </c>
      <c r="F33">
        <v>-365</v>
      </c>
    </row>
    <row r="34" spans="1:7">
      <c r="A34" t="s">
        <v>456</v>
      </c>
      <c r="B34" t="s">
        <v>59</v>
      </c>
      <c r="C34" t="s">
        <v>59</v>
      </c>
      <c r="D34" t="s">
        <v>419</v>
      </c>
      <c r="E34">
        <v>-3104</v>
      </c>
      <c r="F34">
        <v>6694</v>
      </c>
      <c r="G34">
        <v>-514</v>
      </c>
    </row>
    <row r="35" spans="1:7">
      <c r="A35" t="s">
        <v>457</v>
      </c>
      <c r="D35" t="s">
        <v>419</v>
      </c>
      <c r="E35">
        <v>115</v>
      </c>
      <c r="F35">
        <v>-16</v>
      </c>
    </row>
    <row r="36" spans="1:7">
      <c r="A36" t="s">
        <v>458</v>
      </c>
      <c r="B36" t="s">
        <v>453</v>
      </c>
      <c r="C36" t="s">
        <v>454</v>
      </c>
      <c r="D36" t="s">
        <v>419</v>
      </c>
      <c r="E36">
        <v>-1986</v>
      </c>
      <c r="F36">
        <v>6313</v>
      </c>
      <c r="G36">
        <v>-514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459</v>
      </c>
      <c r="B3" t="s">
        <v>231</v>
      </c>
      <c r="C3" t="s">
        <v>231</v>
      </c>
      <c r="D3" t="s">
        <v>460</v>
      </c>
    </row>
    <row r="4" spans="1:7">
      <c r="A4" t="s">
        <v>451</v>
      </c>
      <c r="B4" t="s">
        <v>232</v>
      </c>
      <c r="C4" t="s">
        <v>232</v>
      </c>
      <c r="D4" t="s">
        <v>460</v>
      </c>
      <c r="E4">
        <v>28793</v>
      </c>
      <c r="F4">
        <v>68644</v>
      </c>
      <c r="G4">
        <v>63084</v>
      </c>
    </row>
    <row r="5" spans="1:7">
      <c r="A5" t="s">
        <v>461</v>
      </c>
    </row>
    <row r="6" spans="1:7">
      <c r="A6" t="s">
        <v>462</v>
      </c>
      <c r="B6" t="s">
        <v>236</v>
      </c>
      <c r="C6" t="s">
        <v>236</v>
      </c>
      <c r="D6" t="s">
        <v>460</v>
      </c>
      <c r="E6">
        <v>74735</v>
      </c>
      <c r="F6">
        <v>66569</v>
      </c>
      <c r="G6">
        <v>19050</v>
      </c>
    </row>
    <row r="7" spans="1:7">
      <c r="A7" t="s">
        <v>463</v>
      </c>
      <c r="B7" t="s">
        <v>250</v>
      </c>
      <c r="C7" t="s">
        <v>250</v>
      </c>
      <c r="E7">
        <v>781</v>
      </c>
      <c r="F7">
        <v>2308</v>
      </c>
    </row>
    <row r="8" spans="1:7">
      <c r="A8" t="s">
        <v>464</v>
      </c>
      <c r="E8">
        <v>5353</v>
      </c>
      <c r="F8">
        <v>845</v>
      </c>
      <c r="G8">
        <v>559</v>
      </c>
    </row>
    <row r="9" spans="1:7">
      <c r="A9" t="s">
        <v>465</v>
      </c>
      <c r="B9" t="s">
        <v>248</v>
      </c>
      <c r="C9" t="s">
        <v>248</v>
      </c>
      <c r="D9" t="s">
        <v>460</v>
      </c>
      <c r="E9">
        <v>24241</v>
      </c>
      <c r="F9">
        <v>19352</v>
      </c>
      <c r="G9">
        <v>15242</v>
      </c>
    </row>
    <row r="10" spans="1:7">
      <c r="A10" t="s">
        <v>466</v>
      </c>
      <c r="B10" t="s">
        <v>245</v>
      </c>
      <c r="C10" t="s">
        <v>245</v>
      </c>
      <c r="D10" t="s">
        <v>460</v>
      </c>
      <c r="E10">
        <v>8867</v>
      </c>
      <c r="F10">
        <v>3778</v>
      </c>
      <c r="G10">
        <v>59</v>
      </c>
    </row>
    <row r="11" spans="1:7">
      <c r="A11" t="s">
        <v>434</v>
      </c>
      <c r="E11">
        <v>12696</v>
      </c>
    </row>
    <row r="12" spans="1:7">
      <c r="A12" t="s">
        <v>467</v>
      </c>
      <c r="E12">
        <v>5000</v>
      </c>
    </row>
    <row r="13" spans="1:7">
      <c r="A13" t="s">
        <v>468</v>
      </c>
      <c r="B13" t="s">
        <v>240</v>
      </c>
      <c r="C13" t="s">
        <v>240</v>
      </c>
      <c r="E13">
        <v>342</v>
      </c>
      <c r="F13">
        <v>103</v>
      </c>
      <c r="G13">
        <v>1355</v>
      </c>
    </row>
    <row r="14" spans="1:7">
      <c r="A14" t="s">
        <v>469</v>
      </c>
      <c r="B14" t="s">
        <v>240</v>
      </c>
      <c r="C14" t="s">
        <v>240</v>
      </c>
      <c r="D14" t="s">
        <v>460</v>
      </c>
      <c r="E14">
        <v>288</v>
      </c>
      <c r="F14">
        <v>48</v>
      </c>
    </row>
    <row r="15" spans="1:7">
      <c r="A15" t="s">
        <v>470</v>
      </c>
      <c r="B15" t="s">
        <v>236</v>
      </c>
      <c r="C15" t="s">
        <v>236</v>
      </c>
      <c r="D15" t="s">
        <v>460</v>
      </c>
      <c r="E15">
        <v>269</v>
      </c>
      <c r="G15">
        <v>728</v>
      </c>
    </row>
    <row r="16" spans="1:7">
      <c r="A16" t="s">
        <v>471</v>
      </c>
      <c r="D16" t="s">
        <v>460</v>
      </c>
      <c r="F16">
        <v>-70890</v>
      </c>
      <c r="G16">
        <v>-1456</v>
      </c>
    </row>
    <row r="17" spans="1:7">
      <c r="A17" t="s">
        <v>433</v>
      </c>
      <c r="B17" t="s">
        <v>241</v>
      </c>
      <c r="C17" t="s">
        <v>241</v>
      </c>
      <c r="D17" t="s">
        <v>460</v>
      </c>
      <c r="E17">
        <v>20400</v>
      </c>
      <c r="F17">
        <v>8000</v>
      </c>
    </row>
    <row r="18" spans="1:7">
      <c r="A18" t="s">
        <v>422</v>
      </c>
      <c r="B18" t="s">
        <v>251</v>
      </c>
      <c r="C18" t="s">
        <v>251</v>
      </c>
      <c r="D18" t="s">
        <v>460</v>
      </c>
      <c r="E18">
        <v>3856</v>
      </c>
      <c r="F18">
        <v>-220</v>
      </c>
      <c r="G18">
        <v>75</v>
      </c>
    </row>
    <row r="19" spans="1:7">
      <c r="A19" t="s">
        <v>472</v>
      </c>
      <c r="B19" t="s">
        <v>251</v>
      </c>
      <c r="C19" t="s">
        <v>251</v>
      </c>
      <c r="D19" t="s">
        <v>460</v>
      </c>
    </row>
    <row r="20" spans="1:7">
      <c r="A20" t="s">
        <v>473</v>
      </c>
      <c r="B20" t="s">
        <v>265</v>
      </c>
      <c r="C20" t="s">
        <v>265</v>
      </c>
      <c r="D20" t="s">
        <v>460</v>
      </c>
      <c r="E20">
        <v>-76742</v>
      </c>
      <c r="F20">
        <v>-54533</v>
      </c>
      <c r="G20">
        <v>744</v>
      </c>
    </row>
    <row r="21" spans="1:7">
      <c r="A21" t="s">
        <v>382</v>
      </c>
      <c r="B21" t="s">
        <v>261</v>
      </c>
      <c r="C21" t="s">
        <v>261</v>
      </c>
      <c r="D21" t="s">
        <v>460</v>
      </c>
      <c r="E21">
        <v>-21770</v>
      </c>
      <c r="F21">
        <v>181699</v>
      </c>
      <c r="G21">
        <v>-5501</v>
      </c>
    </row>
    <row r="22" spans="1:7">
      <c r="A22" t="s">
        <v>474</v>
      </c>
      <c r="B22" t="s">
        <v>264</v>
      </c>
      <c r="C22" t="s">
        <v>264</v>
      </c>
      <c r="D22" t="s">
        <v>460</v>
      </c>
      <c r="E22">
        <v>1943</v>
      </c>
      <c r="F22">
        <v>-31807</v>
      </c>
      <c r="G22">
        <v>-3028</v>
      </c>
    </row>
    <row r="23" spans="1:7">
      <c r="A23" t="s">
        <v>475</v>
      </c>
      <c r="B23" t="s">
        <v>263</v>
      </c>
      <c r="C23" t="s">
        <v>263</v>
      </c>
      <c r="D23" t="s">
        <v>460</v>
      </c>
      <c r="E23">
        <v>97443</v>
      </c>
      <c r="F23">
        <v>-95309</v>
      </c>
    </row>
    <row r="24" spans="1:7">
      <c r="A24" t="s">
        <v>399</v>
      </c>
      <c r="B24" t="s">
        <v>275</v>
      </c>
      <c r="C24" t="s">
        <v>275</v>
      </c>
      <c r="D24" t="s">
        <v>460</v>
      </c>
      <c r="E24">
        <v>23270</v>
      </c>
      <c r="F24">
        <v>46648</v>
      </c>
      <c r="G24">
        <v>-463</v>
      </c>
    </row>
    <row r="25" spans="1:7">
      <c r="A25" t="s">
        <v>400</v>
      </c>
      <c r="B25" t="s">
        <v>277</v>
      </c>
      <c r="C25" t="s">
        <v>277</v>
      </c>
      <c r="D25" t="s">
        <v>460</v>
      </c>
      <c r="E25">
        <v>-29553</v>
      </c>
      <c r="F25">
        <v>33813</v>
      </c>
      <c r="G25">
        <v>-1221</v>
      </c>
    </row>
    <row r="26" spans="1:7">
      <c r="A26" t="s">
        <v>476</v>
      </c>
      <c r="D26" t="s">
        <v>460</v>
      </c>
      <c r="E26">
        <v>-19997</v>
      </c>
      <c r="F26">
        <v>-24625</v>
      </c>
      <c r="G26">
        <v>714</v>
      </c>
    </row>
    <row r="27" spans="1:7">
      <c r="A27" t="s">
        <v>477</v>
      </c>
      <c r="B27" t="s">
        <v>285</v>
      </c>
      <c r="C27" t="s">
        <v>285</v>
      </c>
      <c r="D27" t="s">
        <v>460</v>
      </c>
      <c r="E27">
        <v>160215</v>
      </c>
      <c r="F27">
        <v>154423</v>
      </c>
      <c r="G27">
        <v>89941</v>
      </c>
    </row>
    <row r="28" spans="1:7">
      <c r="A28" t="s">
        <v>478</v>
      </c>
      <c r="B28" t="s">
        <v>286</v>
      </c>
      <c r="C28" t="s">
        <v>286</v>
      </c>
      <c r="D28" t="s">
        <v>479</v>
      </c>
    </row>
    <row r="29" spans="1:7">
      <c r="A29" t="s">
        <v>480</v>
      </c>
      <c r="B29" t="s">
        <v>287</v>
      </c>
      <c r="C29" t="s">
        <v>287</v>
      </c>
      <c r="D29" t="s">
        <v>479</v>
      </c>
      <c r="E29">
        <v>-92720</v>
      </c>
      <c r="F29">
        <v>-74479</v>
      </c>
      <c r="G29">
        <v>-23361</v>
      </c>
    </row>
    <row r="30" spans="1:7">
      <c r="A30" t="s">
        <v>481</v>
      </c>
      <c r="B30" t="s">
        <v>288</v>
      </c>
      <c r="C30" t="s">
        <v>288</v>
      </c>
      <c r="D30" t="s">
        <v>479</v>
      </c>
      <c r="E30">
        <v>765</v>
      </c>
      <c r="F30">
        <v>2</v>
      </c>
    </row>
    <row r="31" spans="1:7">
      <c r="A31" t="s">
        <v>482</v>
      </c>
      <c r="D31" t="s">
        <v>479</v>
      </c>
      <c r="E31">
        <v>13000</v>
      </c>
      <c r="G31">
        <v>3268</v>
      </c>
    </row>
    <row r="32" spans="1:7">
      <c r="A32" t="s">
        <v>483</v>
      </c>
      <c r="B32" t="s">
        <v>289</v>
      </c>
      <c r="C32" t="s">
        <v>289</v>
      </c>
      <c r="D32" t="s">
        <v>479</v>
      </c>
      <c r="E32">
        <v>-8059</v>
      </c>
      <c r="F32">
        <v>-5203</v>
      </c>
      <c r="G32">
        <v>-1192</v>
      </c>
    </row>
    <row r="33" spans="1:7">
      <c r="A33" t="s">
        <v>484</v>
      </c>
      <c r="B33" t="s">
        <v>287</v>
      </c>
      <c r="C33" t="s">
        <v>287</v>
      </c>
      <c r="D33" t="s">
        <v>479</v>
      </c>
      <c r="E33">
        <v>-1300</v>
      </c>
      <c r="F33">
        <v>-162448</v>
      </c>
      <c r="G33">
        <v>-2584</v>
      </c>
    </row>
    <row r="34" spans="1:7">
      <c r="A34" t="s">
        <v>485</v>
      </c>
      <c r="B34" t="s">
        <v>290</v>
      </c>
      <c r="C34" t="s">
        <v>290</v>
      </c>
      <c r="D34" t="s">
        <v>479</v>
      </c>
      <c r="E34">
        <v>-30496</v>
      </c>
      <c r="F34">
        <v>-24743</v>
      </c>
      <c r="G34">
        <v>-118384</v>
      </c>
    </row>
    <row r="35" spans="1:7">
      <c r="A35" t="s">
        <v>486</v>
      </c>
      <c r="B35" t="s">
        <v>290</v>
      </c>
      <c r="C35" t="s">
        <v>290</v>
      </c>
      <c r="D35" t="s">
        <v>479</v>
      </c>
      <c r="E35">
        <v>15440</v>
      </c>
      <c r="G35">
        <v>158534</v>
      </c>
    </row>
    <row r="36" spans="1:7">
      <c r="A36" t="s">
        <v>487</v>
      </c>
      <c r="B36" t="s">
        <v>296</v>
      </c>
      <c r="C36" t="s">
        <v>296</v>
      </c>
      <c r="D36" t="s">
        <v>479</v>
      </c>
      <c r="E36">
        <v>-103370</v>
      </c>
      <c r="F36">
        <v>-266871</v>
      </c>
      <c r="G36">
        <v>16281</v>
      </c>
    </row>
    <row r="37" spans="1:7">
      <c r="A37" t="s">
        <v>488</v>
      </c>
      <c r="B37" t="s">
        <v>297</v>
      </c>
      <c r="C37" t="s">
        <v>297</v>
      </c>
      <c r="D37" t="s">
        <v>489</v>
      </c>
    </row>
    <row r="38" spans="1:7">
      <c r="A38" t="s">
        <v>490</v>
      </c>
      <c r="B38" t="s">
        <v>301</v>
      </c>
      <c r="C38" t="s">
        <v>301</v>
      </c>
      <c r="D38" t="s">
        <v>489</v>
      </c>
      <c r="F38">
        <v>-75000</v>
      </c>
    </row>
    <row r="39" spans="1:7">
      <c r="A39" t="s">
        <v>491</v>
      </c>
      <c r="B39" t="s">
        <v>298</v>
      </c>
      <c r="C39" t="s">
        <v>298</v>
      </c>
      <c r="D39" t="s">
        <v>489</v>
      </c>
      <c r="E39">
        <v>14275</v>
      </c>
      <c r="F39">
        <v>32003</v>
      </c>
      <c r="G39">
        <v>17346</v>
      </c>
    </row>
    <row r="40" spans="1:7">
      <c r="A40" t="s">
        <v>492</v>
      </c>
      <c r="B40" t="s">
        <v>298</v>
      </c>
      <c r="C40" t="s">
        <v>298</v>
      </c>
      <c r="D40" t="s">
        <v>489</v>
      </c>
      <c r="F40">
        <v>2705</v>
      </c>
      <c r="G40">
        <v>2361</v>
      </c>
    </row>
    <row r="41" spans="1:7">
      <c r="A41" t="s">
        <v>493</v>
      </c>
      <c r="B41" t="s">
        <v>302</v>
      </c>
      <c r="C41" t="s">
        <v>302</v>
      </c>
      <c r="D41" t="s">
        <v>489</v>
      </c>
      <c r="E41">
        <v>-6252</v>
      </c>
      <c r="F41">
        <v>-4057</v>
      </c>
      <c r="G41">
        <v>-17235</v>
      </c>
    </row>
    <row r="42" spans="1:7">
      <c r="A42" t="s">
        <v>494</v>
      </c>
      <c r="B42" t="s">
        <v>311</v>
      </c>
      <c r="C42" t="s">
        <v>311</v>
      </c>
      <c r="D42" t="s">
        <v>489</v>
      </c>
      <c r="E42">
        <v>8023</v>
      </c>
      <c r="F42">
        <v>-44349</v>
      </c>
      <c r="G42">
        <v>2472</v>
      </c>
    </row>
    <row r="43" spans="1:7">
      <c r="A43" t="s">
        <v>495</v>
      </c>
      <c r="B43" t="s">
        <v>313</v>
      </c>
      <c r="C43" t="s">
        <v>313</v>
      </c>
      <c r="D43" t="s">
        <v>489</v>
      </c>
      <c r="E43">
        <v>-10159</v>
      </c>
      <c r="F43">
        <v>1787</v>
      </c>
      <c r="G43">
        <v>224</v>
      </c>
    </row>
    <row r="44" spans="1:7">
      <c r="A44" t="s">
        <v>496</v>
      </c>
      <c r="B44" t="s">
        <v>497</v>
      </c>
      <c r="C44" t="s">
        <v>312</v>
      </c>
      <c r="D44" t="s">
        <v>489</v>
      </c>
      <c r="E44">
        <v>54709</v>
      </c>
      <c r="F44">
        <v>-155010</v>
      </c>
      <c r="G44">
        <v>108918</v>
      </c>
    </row>
    <row r="45" spans="1:7">
      <c r="A45" t="s">
        <v>498</v>
      </c>
      <c r="B45" t="s">
        <v>499</v>
      </c>
      <c r="C45" t="s">
        <v>315</v>
      </c>
      <c r="D45" t="s">
        <v>489</v>
      </c>
      <c r="E45">
        <v>290072</v>
      </c>
      <c r="F45">
        <v>445082</v>
      </c>
      <c r="G45">
        <v>336164</v>
      </c>
    </row>
    <row r="46" spans="1:7">
      <c r="D46" t="s">
        <v>489</v>
      </c>
    </row>
    <row r="47" spans="1:7">
      <c r="D47" t="s">
        <v>489</v>
      </c>
      <c r="F47">
        <v>2017</v>
      </c>
      <c r="G47">
        <v>2016</v>
      </c>
    </row>
    <row r="48" spans="1:7">
      <c r="A48" t="s">
        <v>500</v>
      </c>
      <c r="D48" t="s">
        <v>489</v>
      </c>
    </row>
    <row r="49" spans="1:7">
      <c r="A49" t="s">
        <v>501</v>
      </c>
      <c r="D49" t="s">
        <v>489</v>
      </c>
      <c r="E49">
        <v>12598</v>
      </c>
      <c r="F49">
        <v>5109</v>
      </c>
      <c r="G49">
        <v>21101</v>
      </c>
    </row>
    <row r="50" spans="1:7">
      <c r="A50" t="s">
        <v>502</v>
      </c>
      <c r="B50" t="s">
        <v>503</v>
      </c>
      <c r="C50" t="s">
        <v>247</v>
      </c>
      <c r="D50" t="s">
        <v>460</v>
      </c>
      <c r="E50">
        <v>709</v>
      </c>
      <c r="F50">
        <v>2047</v>
      </c>
      <c r="G50">
        <v>118</v>
      </c>
    </row>
    <row r="51" spans="1:7">
      <c r="A51" t="s">
        <v>504</v>
      </c>
      <c r="D51" t="s">
        <v>489</v>
      </c>
    </row>
    <row r="52" spans="1:7">
      <c r="A52" t="s">
        <v>505</v>
      </c>
      <c r="B52" t="s">
        <v>297</v>
      </c>
      <c r="C52" t="s">
        <v>297</v>
      </c>
      <c r="D52" t="s">
        <v>489</v>
      </c>
    </row>
    <row r="53" spans="1:7">
      <c r="A53" t="s">
        <v>506</v>
      </c>
      <c r="B53" t="s">
        <v>287</v>
      </c>
      <c r="C53" t="s">
        <v>287</v>
      </c>
      <c r="D53" t="s">
        <v>479</v>
      </c>
      <c r="E53">
        <v>26522</v>
      </c>
      <c r="F53">
        <v>5376</v>
      </c>
      <c r="G53">
        <v>1566</v>
      </c>
    </row>
    <row r="54" spans="1:7">
      <c r="A54" t="s">
        <v>507</v>
      </c>
      <c r="D54" t="s">
        <v>489</v>
      </c>
    </row>
    <row r="55" spans="1:7">
      <c r="A55" t="s">
        <v>508</v>
      </c>
      <c r="B55" t="s">
        <v>288</v>
      </c>
      <c r="C55" t="s">
        <v>288</v>
      </c>
      <c r="D55" t="s">
        <v>479</v>
      </c>
      <c r="F55">
        <v>886569</v>
      </c>
      <c r="G55">
        <v>3306</v>
      </c>
    </row>
    <row r="56" spans="1:7">
      <c r="A56" t="s">
        <v>509</v>
      </c>
      <c r="B56" t="s">
        <v>287</v>
      </c>
      <c r="C56" t="s">
        <v>287</v>
      </c>
      <c r="D56" t="s">
        <v>479</v>
      </c>
      <c r="F56">
        <v>-162448</v>
      </c>
      <c r="G56">
        <v>-2584</v>
      </c>
    </row>
    <row r="57" spans="1:7">
      <c r="A57" t="s">
        <v>510</v>
      </c>
      <c r="D57" t="s">
        <v>489</v>
      </c>
      <c r="F57">
        <v>-75000</v>
      </c>
    </row>
    <row r="58" spans="1:7">
      <c r="A58" t="s">
        <v>511</v>
      </c>
      <c r="D58" t="s">
        <v>489</v>
      </c>
      <c r="F58">
        <v>4253</v>
      </c>
    </row>
    <row r="59" spans="1:7">
      <c r="A59" t="s">
        <v>512</v>
      </c>
      <c r="B59" t="s">
        <v>277</v>
      </c>
      <c r="C59" t="s">
        <v>277</v>
      </c>
      <c r="D59" t="s">
        <v>460</v>
      </c>
      <c r="F59">
        <v>-19000</v>
      </c>
    </row>
    <row r="60" spans="1:7">
      <c r="A60" t="s">
        <v>513</v>
      </c>
      <c r="B60" t="s">
        <v>514</v>
      </c>
      <c r="C60" t="s">
        <v>514</v>
      </c>
      <c r="D60" t="s">
        <v>489</v>
      </c>
      <c r="F60">
        <v>-413139</v>
      </c>
    </row>
    <row r="61" spans="1:7">
      <c r="A61" t="s">
        <v>471</v>
      </c>
      <c r="D61" t="s">
        <v>489</v>
      </c>
      <c r="F61">
        <v>-70890</v>
      </c>
      <c r="G61">
        <v>-1456</v>
      </c>
    </row>
    <row r="62" spans="1:7">
      <c r="A62" t="s">
        <v>515</v>
      </c>
      <c r="D62" t="s">
        <v>489</v>
      </c>
      <c r="F62">
        <v>6536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E29286-F92A-4D5B-AA45-45DAAE5AC6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9C3E2ED-6E0E-417F-BBF4-4DC0FE29D5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D88072-8AC5-4AAF-9284-52CFF6465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2021-12-01T06:21:36Z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