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04596aa28c2177/Desktop/"/>
    </mc:Choice>
  </mc:AlternateContent>
  <xr:revisionPtr revIDLastSave="197" documentId="8_{0D00CD0E-A21F-4826-B585-E740C03288B9}" xr6:coauthVersionLast="47" xr6:coauthVersionMax="47" xr10:uidLastSave="{81C9ED40-4037-4334-B9AF-78EE7C724789}"/>
  <bookViews>
    <workbookView xWindow="-110" yWindow="-110" windowWidth="19420" windowHeight="10300" activeTab="5" xr2:uid="{D5CF3C8C-BE44-482A-AFDF-D0786664A604}"/>
  </bookViews>
  <sheets>
    <sheet name="Historical FS" sheetId="2" r:id="rId1"/>
    <sheet name="Cash Flow" sheetId="1" r:id="rId2"/>
    <sheet name="Ratio Analysis " sheetId="6" r:id="rId3"/>
    <sheet name="Beta" sheetId="12" r:id="rId4"/>
    <sheet name="Rm" sheetId="14" r:id="rId5"/>
    <sheet name="DCF" sheetId="16" r:id="rId6"/>
    <sheet name="Data&gt;" sheetId="3" r:id="rId7"/>
    <sheet name="Data Sheet" sheetId="4" r:id="rId8"/>
    <sheet name="Raw Balance Sheet" sheetId="9" r:id="rId9"/>
    <sheet name="Cash Flow Data" sheetId="5" r:id="rId10"/>
  </sheets>
  <definedNames>
    <definedName name="_xlnm._FilterDatabase" localSheetId="3" hidden="1">Beta!$B$6:$D$6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7" i="2" l="1"/>
  <c r="G27" i="2"/>
  <c r="H27" i="2"/>
  <c r="I27" i="2"/>
  <c r="F30" i="2"/>
  <c r="G30" i="2"/>
  <c r="H30" i="2"/>
  <c r="I30" i="2"/>
  <c r="F33" i="2"/>
  <c r="G33" i="2"/>
  <c r="H33" i="2"/>
  <c r="I33" i="2"/>
  <c r="F36" i="2"/>
  <c r="G36" i="2"/>
  <c r="H36" i="2"/>
  <c r="I36" i="2"/>
  <c r="F7" i="2"/>
  <c r="G7" i="2"/>
  <c r="H7" i="2"/>
  <c r="I7" i="2"/>
  <c r="H9" i="1"/>
  <c r="I9" i="1"/>
  <c r="J9" i="1"/>
  <c r="G9" i="1"/>
  <c r="G25" i="1"/>
  <c r="H25" i="1"/>
  <c r="I25" i="1"/>
  <c r="J25" i="1"/>
  <c r="F25" i="1"/>
  <c r="H57" i="16"/>
  <c r="H56" i="16"/>
  <c r="H55" i="16"/>
  <c r="C28" i="16"/>
  <c r="F44" i="1"/>
  <c r="G44" i="1" s="1"/>
  <c r="H44" i="1" s="1"/>
  <c r="I44" i="1" s="1"/>
  <c r="J44" i="1" s="1"/>
  <c r="E44" i="1"/>
  <c r="D33" i="16"/>
  <c r="E33" i="16" s="1"/>
  <c r="F33" i="16" s="1"/>
  <c r="G33" i="16" s="1"/>
  <c r="H33" i="16" s="1"/>
  <c r="I33" i="16" s="1"/>
  <c r="J33" i="16" s="1"/>
  <c r="K33" i="16" s="1"/>
  <c r="L33" i="16" s="1"/>
  <c r="L55" i="16" s="1"/>
  <c r="H11" i="16" l="1"/>
  <c r="H12" i="16" s="1"/>
  <c r="G43" i="1"/>
  <c r="D3" i="2"/>
  <c r="F74" i="2"/>
  <c r="G74" i="2" s="1"/>
  <c r="H74" i="2" s="1"/>
  <c r="I74" i="2" s="1"/>
  <c r="H15" i="16"/>
  <c r="H14" i="16"/>
  <c r="H13" i="16"/>
  <c r="C13" i="16"/>
  <c r="C16" i="16"/>
  <c r="C15" i="16"/>
  <c r="I7" i="12"/>
  <c r="G115" i="12"/>
  <c r="D115" i="12"/>
  <c r="G114" i="12"/>
  <c r="D114" i="12"/>
  <c r="G113" i="12"/>
  <c r="D113" i="12"/>
  <c r="G112" i="12"/>
  <c r="D112" i="12"/>
  <c r="G111" i="12"/>
  <c r="D111" i="12"/>
  <c r="G110" i="12"/>
  <c r="D110" i="12"/>
  <c r="G109" i="12"/>
  <c r="D109" i="12"/>
  <c r="G108" i="12"/>
  <c r="D108" i="12"/>
  <c r="G107" i="12"/>
  <c r="D107" i="12"/>
  <c r="G106" i="12"/>
  <c r="D106" i="12"/>
  <c r="G105" i="12"/>
  <c r="D105" i="12"/>
  <c r="G104" i="12"/>
  <c r="D104" i="12"/>
  <c r="G103" i="12"/>
  <c r="D103" i="12"/>
  <c r="G102" i="12"/>
  <c r="D102" i="12"/>
  <c r="G101" i="12"/>
  <c r="D101" i="12"/>
  <c r="G100" i="12"/>
  <c r="D100" i="12"/>
  <c r="G99" i="12"/>
  <c r="D99" i="12"/>
  <c r="G98" i="12"/>
  <c r="D98" i="12"/>
  <c r="G97" i="12"/>
  <c r="D97" i="12"/>
  <c r="G96" i="12"/>
  <c r="D96" i="12"/>
  <c r="G95" i="12"/>
  <c r="D95" i="12"/>
  <c r="G94" i="12"/>
  <c r="D94" i="12"/>
  <c r="G93" i="12"/>
  <c r="D93" i="12"/>
  <c r="G92" i="12"/>
  <c r="D92" i="12"/>
  <c r="G91" i="12"/>
  <c r="D91" i="12"/>
  <c r="G90" i="12"/>
  <c r="D90" i="12"/>
  <c r="G89" i="12"/>
  <c r="D89" i="12"/>
  <c r="G88" i="12"/>
  <c r="D88" i="12"/>
  <c r="G87" i="12"/>
  <c r="D87" i="12"/>
  <c r="G86" i="12"/>
  <c r="D86" i="12"/>
  <c r="G85" i="12"/>
  <c r="D85" i="12"/>
  <c r="G84" i="12"/>
  <c r="D84" i="12"/>
  <c r="G83" i="12"/>
  <c r="D83" i="12"/>
  <c r="G82" i="12"/>
  <c r="D82" i="12"/>
  <c r="G81" i="12"/>
  <c r="D81" i="12"/>
  <c r="G80" i="12"/>
  <c r="D80" i="12"/>
  <c r="G79" i="12"/>
  <c r="D79" i="12"/>
  <c r="G78" i="12"/>
  <c r="D78" i="12"/>
  <c r="G77" i="12"/>
  <c r="D77" i="12"/>
  <c r="G76" i="12"/>
  <c r="D76" i="12"/>
  <c r="G75" i="12"/>
  <c r="D75" i="12"/>
  <c r="G74" i="12"/>
  <c r="D74" i="12"/>
  <c r="G73" i="12"/>
  <c r="D73" i="12"/>
  <c r="G72" i="12"/>
  <c r="D72" i="12"/>
  <c r="G71" i="12"/>
  <c r="D71" i="12"/>
  <c r="G70" i="12"/>
  <c r="D70" i="12"/>
  <c r="G69" i="12"/>
  <c r="D69" i="12"/>
  <c r="G68" i="12"/>
  <c r="D68" i="12"/>
  <c r="G67" i="12"/>
  <c r="D67" i="12"/>
  <c r="G66" i="12"/>
  <c r="D66" i="12"/>
  <c r="G65" i="12"/>
  <c r="D65" i="12"/>
  <c r="G64" i="12"/>
  <c r="D64" i="12"/>
  <c r="G63" i="12"/>
  <c r="D63" i="12"/>
  <c r="G62" i="12"/>
  <c r="D62" i="12"/>
  <c r="G61" i="12"/>
  <c r="D61" i="12"/>
  <c r="G60" i="12"/>
  <c r="D60" i="12"/>
  <c r="G59" i="12"/>
  <c r="D59" i="12"/>
  <c r="G58" i="12"/>
  <c r="D58" i="12"/>
  <c r="G57" i="12"/>
  <c r="D57" i="12"/>
  <c r="G56" i="12"/>
  <c r="D56" i="12"/>
  <c r="G55" i="12"/>
  <c r="D55" i="12"/>
  <c r="G54" i="12"/>
  <c r="D54" i="12"/>
  <c r="G53" i="12"/>
  <c r="D53" i="12"/>
  <c r="G52" i="12"/>
  <c r="D52" i="12"/>
  <c r="G51" i="12"/>
  <c r="D51" i="12"/>
  <c r="G50" i="12"/>
  <c r="D50" i="12"/>
  <c r="G49" i="12"/>
  <c r="D49" i="12"/>
  <c r="G48" i="12"/>
  <c r="D48" i="12"/>
  <c r="G47" i="12"/>
  <c r="D47" i="12"/>
  <c r="G46" i="12"/>
  <c r="D46" i="12"/>
  <c r="G45" i="12"/>
  <c r="D45" i="12"/>
  <c r="G44" i="12"/>
  <c r="D44" i="12"/>
  <c r="G43" i="12"/>
  <c r="D43" i="12"/>
  <c r="G42" i="12"/>
  <c r="D42" i="12"/>
  <c r="G41" i="12"/>
  <c r="D41" i="12"/>
  <c r="G40" i="12"/>
  <c r="D40" i="12"/>
  <c r="G39" i="12"/>
  <c r="D39" i="12"/>
  <c r="G38" i="12"/>
  <c r="D38" i="12"/>
  <c r="G37" i="12"/>
  <c r="D37" i="12"/>
  <c r="G36" i="12"/>
  <c r="D36" i="12"/>
  <c r="G35" i="12"/>
  <c r="D35" i="12"/>
  <c r="G34" i="12"/>
  <c r="D34" i="12"/>
  <c r="G33" i="12"/>
  <c r="D33" i="12"/>
  <c r="G32" i="12"/>
  <c r="D32" i="12"/>
  <c r="G31" i="12"/>
  <c r="D31" i="12"/>
  <c r="G30" i="12"/>
  <c r="D30" i="12"/>
  <c r="G29" i="12"/>
  <c r="D29" i="12"/>
  <c r="G28" i="12"/>
  <c r="D28" i="12"/>
  <c r="G27" i="12"/>
  <c r="D27" i="12"/>
  <c r="G26" i="12"/>
  <c r="D26" i="12"/>
  <c r="G25" i="12"/>
  <c r="D25" i="12"/>
  <c r="G24" i="12"/>
  <c r="D24" i="12"/>
  <c r="G23" i="12"/>
  <c r="D23" i="12"/>
  <c r="G22" i="12"/>
  <c r="D22" i="12"/>
  <c r="G21" i="12"/>
  <c r="D21" i="12"/>
  <c r="G20" i="12"/>
  <c r="D20" i="12"/>
  <c r="G19" i="12"/>
  <c r="D19" i="12"/>
  <c r="G18" i="12"/>
  <c r="D18" i="12"/>
  <c r="G17" i="12"/>
  <c r="D17" i="12"/>
  <c r="G16" i="12"/>
  <c r="D16" i="12"/>
  <c r="G15" i="12"/>
  <c r="D15" i="12"/>
  <c r="G14" i="12"/>
  <c r="D14" i="12"/>
  <c r="G13" i="12"/>
  <c r="D13" i="12"/>
  <c r="G12" i="12"/>
  <c r="D12" i="12"/>
  <c r="G11" i="12"/>
  <c r="D11" i="12"/>
  <c r="G10" i="12"/>
  <c r="D10" i="12"/>
  <c r="G9" i="12"/>
  <c r="D9" i="12"/>
  <c r="G8" i="12"/>
  <c r="D8" i="12"/>
  <c r="F8" i="14"/>
  <c r="C29" i="14"/>
  <c r="L9" i="16" l="1"/>
  <c r="L10" i="16"/>
  <c r="H16" i="16"/>
  <c r="C74" i="4"/>
  <c r="D74" i="4"/>
  <c r="E74" i="4"/>
  <c r="F74" i="4"/>
  <c r="G74" i="4"/>
  <c r="H74" i="4"/>
  <c r="I74" i="4"/>
  <c r="J74" i="4"/>
  <c r="K74" i="4"/>
  <c r="B74" i="4"/>
  <c r="C43" i="6"/>
  <c r="D43" i="6"/>
  <c r="E43" i="6"/>
  <c r="C45" i="6"/>
  <c r="D45" i="6"/>
  <c r="E45" i="6"/>
  <c r="G43" i="6" l="1"/>
  <c r="G45" i="6"/>
  <c r="H45" i="6"/>
  <c r="H43" i="6"/>
  <c r="B2" i="6" l="1"/>
  <c r="E3" i="6"/>
  <c r="D3" i="6"/>
  <c r="C3" i="6"/>
  <c r="C53" i="2"/>
  <c r="D53" i="2"/>
  <c r="E53" i="2"/>
  <c r="F53" i="2" s="1"/>
  <c r="G53" i="2" s="1"/>
  <c r="H53" i="2" s="1"/>
  <c r="I53" i="2" s="1"/>
  <c r="C56" i="2"/>
  <c r="D56" i="2"/>
  <c r="E56" i="2"/>
  <c r="C57" i="2"/>
  <c r="D57" i="2"/>
  <c r="E57" i="2"/>
  <c r="C58" i="2"/>
  <c r="D58" i="2"/>
  <c r="E58" i="2"/>
  <c r="C50" i="2"/>
  <c r="D50" i="2"/>
  <c r="D80" i="2" s="1"/>
  <c r="E50" i="2"/>
  <c r="C51" i="2"/>
  <c r="D51" i="2"/>
  <c r="E51" i="2"/>
  <c r="C52" i="2"/>
  <c r="D52" i="2"/>
  <c r="E52" i="2"/>
  <c r="F52" i="2" s="1"/>
  <c r="G52" i="2" s="1"/>
  <c r="H52" i="2" s="1"/>
  <c r="I52" i="2" s="1"/>
  <c r="C44" i="2"/>
  <c r="D44" i="2"/>
  <c r="E44" i="2"/>
  <c r="F44" i="2" s="1"/>
  <c r="G44" i="2" s="1"/>
  <c r="H44" i="2" s="1"/>
  <c r="I44" i="2" s="1"/>
  <c r="C45" i="2"/>
  <c r="D45" i="2"/>
  <c r="E45" i="2"/>
  <c r="C46" i="2"/>
  <c r="D46" i="2"/>
  <c r="E46" i="2"/>
  <c r="F46" i="2" s="1"/>
  <c r="G46" i="2" s="1"/>
  <c r="H46" i="2" s="1"/>
  <c r="I46" i="2" s="1"/>
  <c r="C47" i="2"/>
  <c r="D47" i="2"/>
  <c r="E47" i="2"/>
  <c r="F47" i="2" s="1"/>
  <c r="G47" i="2" s="1"/>
  <c r="H47" i="2" s="1"/>
  <c r="I47" i="2" s="1"/>
  <c r="C48" i="2"/>
  <c r="D48" i="2"/>
  <c r="E48" i="2"/>
  <c r="C35" i="2"/>
  <c r="D35" i="2"/>
  <c r="E35" i="2"/>
  <c r="C25" i="16" s="1"/>
  <c r="C23" i="2"/>
  <c r="D23" i="2"/>
  <c r="E23" i="2"/>
  <c r="C29" i="2"/>
  <c r="D29" i="2"/>
  <c r="E29" i="2"/>
  <c r="F29" i="2" s="1"/>
  <c r="C17" i="2"/>
  <c r="D17" i="2"/>
  <c r="E17" i="2"/>
  <c r="C11" i="2"/>
  <c r="D11" i="2"/>
  <c r="E11" i="2"/>
  <c r="C6" i="2"/>
  <c r="C73" i="2" s="1"/>
  <c r="D6" i="2"/>
  <c r="E6" i="2"/>
  <c r="B2" i="2"/>
  <c r="C3" i="2"/>
  <c r="E3" i="2"/>
  <c r="E83" i="2" l="1"/>
  <c r="F83" i="2" s="1"/>
  <c r="G83" i="2" s="1"/>
  <c r="E14" i="2"/>
  <c r="E70" i="2"/>
  <c r="C27" i="16"/>
  <c r="D70" i="2"/>
  <c r="G34" i="1"/>
  <c r="G38" i="1" s="1"/>
  <c r="G29" i="2"/>
  <c r="D81" i="2"/>
  <c r="E69" i="2"/>
  <c r="D69" i="2"/>
  <c r="E80" i="2"/>
  <c r="D82" i="2"/>
  <c r="C69" i="2"/>
  <c r="D71" i="2"/>
  <c r="E84" i="2"/>
  <c r="F84" i="2" s="1"/>
  <c r="E82" i="2"/>
  <c r="F82" i="2" s="1"/>
  <c r="D73" i="2"/>
  <c r="D83" i="2"/>
  <c r="D84" i="2"/>
  <c r="C71" i="2"/>
  <c r="H70" i="2"/>
  <c r="F68" i="2"/>
  <c r="H68" i="2" s="1"/>
  <c r="E39" i="16" s="1"/>
  <c r="E73" i="2"/>
  <c r="F73" i="2" s="1"/>
  <c r="L12" i="16"/>
  <c r="E71" i="2"/>
  <c r="D8" i="6"/>
  <c r="C8" i="6"/>
  <c r="E28" i="6"/>
  <c r="E35" i="6" s="1"/>
  <c r="C26" i="6"/>
  <c r="C33" i="6" s="1"/>
  <c r="D28" i="6"/>
  <c r="D35" i="6" s="1"/>
  <c r="E27" i="6"/>
  <c r="E34" i="6" s="1"/>
  <c r="E26" i="6"/>
  <c r="E33" i="6" s="1"/>
  <c r="C27" i="6"/>
  <c r="C34" i="6" s="1"/>
  <c r="D29" i="6"/>
  <c r="D40" i="6"/>
  <c r="C29" i="6"/>
  <c r="C28" i="6"/>
  <c r="C35" i="6" s="1"/>
  <c r="E29" i="6"/>
  <c r="E8" i="6"/>
  <c r="D27" i="6"/>
  <c r="D34" i="6" s="1"/>
  <c r="D26" i="6"/>
  <c r="D33" i="6" s="1"/>
  <c r="E59" i="2"/>
  <c r="E42" i="6" s="1"/>
  <c r="D59" i="2"/>
  <c r="C59" i="2"/>
  <c r="D54" i="2"/>
  <c r="C54" i="2"/>
  <c r="E54" i="2"/>
  <c r="E18" i="2"/>
  <c r="D30" i="2"/>
  <c r="D18" i="2"/>
  <c r="E12" i="2"/>
  <c r="E16" i="6" s="1"/>
  <c r="C12" i="2"/>
  <c r="C16" i="6" s="1"/>
  <c r="C24" i="2"/>
  <c r="C17" i="6" s="1"/>
  <c r="D14" i="2"/>
  <c r="C14" i="2"/>
  <c r="E24" i="2"/>
  <c r="E17" i="6" s="1"/>
  <c r="D24" i="2"/>
  <c r="D17" i="6" s="1"/>
  <c r="E30" i="2"/>
  <c r="E7" i="2"/>
  <c r="E4" i="6" s="1"/>
  <c r="C4" i="6"/>
  <c r="C30" i="2"/>
  <c r="C18" i="2"/>
  <c r="D12" i="2"/>
  <c r="D16" i="6" s="1"/>
  <c r="D7" i="2"/>
  <c r="D4" i="6" s="1"/>
  <c r="G73" i="2" l="1"/>
  <c r="H73" i="2" s="1"/>
  <c r="I73" i="2" s="1"/>
  <c r="G68" i="2"/>
  <c r="F6" i="2"/>
  <c r="G6" i="2" s="1"/>
  <c r="I68" i="2"/>
  <c r="F39" i="16" s="1"/>
  <c r="G39" i="16" s="1"/>
  <c r="G38" i="16" s="1"/>
  <c r="D39" i="16"/>
  <c r="H29" i="2"/>
  <c r="H34" i="1"/>
  <c r="H38" i="1" s="1"/>
  <c r="E81" i="2"/>
  <c r="F81" i="2" s="1"/>
  <c r="G81" i="2" s="1"/>
  <c r="H81" i="2" s="1"/>
  <c r="C30" i="16"/>
  <c r="H83" i="2"/>
  <c r="G82" i="2"/>
  <c r="F56" i="2"/>
  <c r="G6" i="1" s="1"/>
  <c r="G84" i="2"/>
  <c r="F70" i="2"/>
  <c r="G70" i="2"/>
  <c r="F11" i="2"/>
  <c r="H71" i="2"/>
  <c r="G71" i="2"/>
  <c r="F71" i="2"/>
  <c r="I71" i="2" s="1"/>
  <c r="E36" i="6"/>
  <c r="C36" i="6"/>
  <c r="H28" i="6"/>
  <c r="D36" i="6"/>
  <c r="H33" i="6"/>
  <c r="H17" i="6"/>
  <c r="G17" i="6"/>
  <c r="H26" i="6"/>
  <c r="H29" i="6"/>
  <c r="H4" i="6"/>
  <c r="H16" i="6"/>
  <c r="G29" i="6"/>
  <c r="G4" i="6"/>
  <c r="G8" i="6"/>
  <c r="G26" i="6"/>
  <c r="D38" i="6"/>
  <c r="E40" i="6"/>
  <c r="E38" i="6"/>
  <c r="G28" i="6"/>
  <c r="G16" i="6"/>
  <c r="H8" i="6"/>
  <c r="C38" i="6"/>
  <c r="C40" i="6"/>
  <c r="H27" i="6"/>
  <c r="C61" i="2"/>
  <c r="C39" i="6" s="1"/>
  <c r="C42" i="6"/>
  <c r="D61" i="2"/>
  <c r="D42" i="6"/>
  <c r="G33" i="6"/>
  <c r="G27" i="6"/>
  <c r="H34" i="6"/>
  <c r="G35" i="6"/>
  <c r="H35" i="6"/>
  <c r="G34" i="6"/>
  <c r="E61" i="2"/>
  <c r="C20" i="2"/>
  <c r="C26" i="2" s="1"/>
  <c r="C15" i="2"/>
  <c r="C10" i="6" s="1"/>
  <c r="D20" i="2"/>
  <c r="D26" i="2" s="1"/>
  <c r="D15" i="2"/>
  <c r="D10" i="6" s="1"/>
  <c r="E20" i="2"/>
  <c r="E15" i="2"/>
  <c r="E10" i="6" s="1"/>
  <c r="E26" i="2" l="1"/>
  <c r="E27" i="2" s="1"/>
  <c r="C23" i="16"/>
  <c r="F17" i="2"/>
  <c r="F18" i="2" s="1"/>
  <c r="F14" i="2"/>
  <c r="I34" i="1"/>
  <c r="I38" i="1" s="1"/>
  <c r="I29" i="2"/>
  <c r="J34" i="1" s="1"/>
  <c r="J38" i="1" s="1"/>
  <c r="F57" i="2"/>
  <c r="G7" i="1" s="1"/>
  <c r="F12" i="2"/>
  <c r="G13" i="9"/>
  <c r="G8" i="1" s="1"/>
  <c r="G11" i="1" s="1"/>
  <c r="H39" i="16"/>
  <c r="G80" i="2"/>
  <c r="F80" i="2"/>
  <c r="I83" i="2"/>
  <c r="H82" i="2"/>
  <c r="G56" i="2"/>
  <c r="H6" i="1" s="1"/>
  <c r="H84" i="2"/>
  <c r="I70" i="2"/>
  <c r="F23" i="2"/>
  <c r="I81" i="2"/>
  <c r="H6" i="2"/>
  <c r="G11" i="2"/>
  <c r="G14" i="2" s="1"/>
  <c r="G17" i="2"/>
  <c r="G18" i="2" s="1"/>
  <c r="D27" i="2"/>
  <c r="D32" i="2"/>
  <c r="D72" i="2" s="1"/>
  <c r="C27" i="2"/>
  <c r="C32" i="2"/>
  <c r="C72" i="2" s="1"/>
  <c r="H42" i="6"/>
  <c r="E46" i="6"/>
  <c r="H40" i="6"/>
  <c r="G40" i="6"/>
  <c r="E39" i="6"/>
  <c r="G10" i="6"/>
  <c r="D39" i="6"/>
  <c r="D46" i="6"/>
  <c r="G38" i="6"/>
  <c r="H38" i="6"/>
  <c r="D44" i="6"/>
  <c r="D47" i="6"/>
  <c r="D20" i="6"/>
  <c r="D24" i="6"/>
  <c r="D11" i="6"/>
  <c r="D5" i="6"/>
  <c r="D12" i="6"/>
  <c r="D18" i="6" s="1"/>
  <c r="G42" i="6"/>
  <c r="E44" i="6"/>
  <c r="E47" i="6"/>
  <c r="E12" i="6"/>
  <c r="E18" i="6" s="1"/>
  <c r="E20" i="6"/>
  <c r="E24" i="6"/>
  <c r="E11" i="6"/>
  <c r="E5" i="6"/>
  <c r="C44" i="6"/>
  <c r="C47" i="6"/>
  <c r="C24" i="6"/>
  <c r="C11" i="6"/>
  <c r="C5" i="6"/>
  <c r="C12" i="6"/>
  <c r="C18" i="6" s="1"/>
  <c r="C20" i="6"/>
  <c r="C46" i="6"/>
  <c r="H10" i="6"/>
  <c r="G36" i="6"/>
  <c r="H36" i="6"/>
  <c r="D21" i="2"/>
  <c r="E21" i="2"/>
  <c r="C21" i="2"/>
  <c r="F69" i="2" l="1"/>
  <c r="D27" i="16"/>
  <c r="D42" i="16" s="1"/>
  <c r="H80" i="2"/>
  <c r="F30" i="16" s="1"/>
  <c r="F48" i="16" s="1"/>
  <c r="D28" i="16"/>
  <c r="E32" i="2"/>
  <c r="E72" i="2" s="1"/>
  <c r="F72" i="2" s="1"/>
  <c r="G72" i="2" s="1"/>
  <c r="H72" i="2" s="1"/>
  <c r="I72" i="2" s="1"/>
  <c r="C24" i="16"/>
  <c r="C26" i="16" s="1"/>
  <c r="C29" i="16" s="1"/>
  <c r="C31" i="16" s="1"/>
  <c r="I39" i="16"/>
  <c r="J39" i="16" s="1"/>
  <c r="K39" i="16" s="1"/>
  <c r="H22" i="16"/>
  <c r="F20" i="2"/>
  <c r="F26" i="2" s="1"/>
  <c r="F15" i="2"/>
  <c r="G57" i="2"/>
  <c r="H7" i="1" s="1"/>
  <c r="H11" i="1" s="1"/>
  <c r="G12" i="2"/>
  <c r="H13" i="9"/>
  <c r="H8" i="1" s="1"/>
  <c r="D30" i="16"/>
  <c r="D48" i="16" s="1"/>
  <c r="G15" i="1"/>
  <c r="G27" i="1" s="1"/>
  <c r="E30" i="16"/>
  <c r="E48" i="16" s="1"/>
  <c r="H15" i="1"/>
  <c r="H27" i="1" s="1"/>
  <c r="I82" i="2"/>
  <c r="H56" i="2"/>
  <c r="I6" i="1" s="1"/>
  <c r="F50" i="2"/>
  <c r="F54" i="2" s="1"/>
  <c r="I84" i="2"/>
  <c r="G15" i="2"/>
  <c r="G69" i="2"/>
  <c r="G20" i="2"/>
  <c r="E23" i="16" s="1"/>
  <c r="I6" i="2"/>
  <c r="H17" i="2"/>
  <c r="H18" i="2" s="1"/>
  <c r="H11" i="2"/>
  <c r="H14" i="2" s="1"/>
  <c r="H39" i="6"/>
  <c r="C38" i="2"/>
  <c r="C39" i="2" s="1"/>
  <c r="C22" i="6" s="1"/>
  <c r="C6" i="6"/>
  <c r="C13" i="6"/>
  <c r="G39" i="6"/>
  <c r="D38" i="2"/>
  <c r="D39" i="2" s="1"/>
  <c r="D22" i="6" s="1"/>
  <c r="D6" i="6"/>
  <c r="D13" i="6"/>
  <c r="H11" i="6"/>
  <c r="G11" i="6"/>
  <c r="G5" i="6"/>
  <c r="H5" i="6"/>
  <c r="H24" i="6"/>
  <c r="G24" i="6"/>
  <c r="E38" i="2"/>
  <c r="E39" i="2" s="1"/>
  <c r="E22" i="6" s="1"/>
  <c r="E6" i="6"/>
  <c r="G12" i="6"/>
  <c r="H12" i="6"/>
  <c r="H44" i="6"/>
  <c r="G44" i="6"/>
  <c r="G46" i="6"/>
  <c r="H46" i="6"/>
  <c r="H20" i="6"/>
  <c r="G20" i="6"/>
  <c r="G47" i="6"/>
  <c r="H47" i="6"/>
  <c r="D36" i="2"/>
  <c r="D33" i="2"/>
  <c r="E33" i="2"/>
  <c r="E36" i="2"/>
  <c r="C36" i="2"/>
  <c r="C33" i="2"/>
  <c r="D47" i="16" l="1"/>
  <c r="E13" i="6"/>
  <c r="G13" i="6" s="1"/>
  <c r="E45" i="16"/>
  <c r="I15" i="1"/>
  <c r="I27" i="1" s="1"/>
  <c r="D23" i="16"/>
  <c r="E40" i="16" s="1"/>
  <c r="G5" i="1"/>
  <c r="G4" i="1" s="1"/>
  <c r="I80" i="2"/>
  <c r="G30" i="16" s="1"/>
  <c r="G48" i="16" s="1"/>
  <c r="H48" i="16" s="1"/>
  <c r="I22" i="16"/>
  <c r="E28" i="16"/>
  <c r="H5" i="1"/>
  <c r="G21" i="2"/>
  <c r="H57" i="2"/>
  <c r="I7" i="1" s="1"/>
  <c r="H12" i="2"/>
  <c r="I13" i="9"/>
  <c r="I8" i="1" s="1"/>
  <c r="F32" i="2"/>
  <c r="F35" i="2" s="1"/>
  <c r="G12" i="1"/>
  <c r="D24" i="16"/>
  <c r="F21" i="2"/>
  <c r="G23" i="2"/>
  <c r="I56" i="2"/>
  <c r="J6" i="1" s="1"/>
  <c r="H69" i="2"/>
  <c r="L13" i="16"/>
  <c r="L16" i="16" s="1"/>
  <c r="C55" i="16" s="1"/>
  <c r="I17" i="2"/>
  <c r="I18" i="2" s="1"/>
  <c r="I11" i="2"/>
  <c r="I14" i="2" s="1"/>
  <c r="C48" i="6"/>
  <c r="D48" i="6"/>
  <c r="D14" i="6"/>
  <c r="D7" i="6"/>
  <c r="G6" i="6"/>
  <c r="H6" i="6"/>
  <c r="E14" i="6"/>
  <c r="E7" i="6"/>
  <c r="E48" i="6"/>
  <c r="H18" i="6"/>
  <c r="G18" i="6"/>
  <c r="C14" i="6"/>
  <c r="C7" i="6"/>
  <c r="I11" i="1" l="1"/>
  <c r="H13" i="6"/>
  <c r="I48" i="16"/>
  <c r="J48" i="16" s="1"/>
  <c r="K48" i="16" s="1"/>
  <c r="L48" i="16" s="1"/>
  <c r="H30" i="16"/>
  <c r="G26" i="2"/>
  <c r="E24" i="16" s="1"/>
  <c r="E27" i="16"/>
  <c r="J15" i="1"/>
  <c r="J27" i="1" s="1"/>
  <c r="D40" i="16"/>
  <c r="D45" i="16"/>
  <c r="D46" i="16"/>
  <c r="D41" i="16"/>
  <c r="J22" i="16"/>
  <c r="F28" i="16"/>
  <c r="H20" i="2"/>
  <c r="F23" i="16" s="1"/>
  <c r="H15" i="2"/>
  <c r="F38" i="2"/>
  <c r="F39" i="2" s="1"/>
  <c r="D25" i="16"/>
  <c r="I69" i="2"/>
  <c r="I12" i="2"/>
  <c r="J13" i="9"/>
  <c r="J8" i="1" s="1"/>
  <c r="G50" i="2"/>
  <c r="G54" i="2" s="1"/>
  <c r="I57" i="2"/>
  <c r="J7" i="1" s="1"/>
  <c r="D21" i="6"/>
  <c r="D23" i="6" s="1"/>
  <c r="G14" i="6"/>
  <c r="C21" i="6"/>
  <c r="C23" i="6" s="1"/>
  <c r="E21" i="6"/>
  <c r="E23" i="6" s="1"/>
  <c r="H22" i="6"/>
  <c r="G22" i="6"/>
  <c r="H14" i="6"/>
  <c r="G7" i="6"/>
  <c r="H7" i="6"/>
  <c r="J11" i="1" l="1"/>
  <c r="G28" i="16" s="1"/>
  <c r="J30" i="16"/>
  <c r="F45" i="2"/>
  <c r="F45" i="16"/>
  <c r="F40" i="16"/>
  <c r="D26" i="16"/>
  <c r="D29" i="16" s="1"/>
  <c r="D31" i="16" s="1"/>
  <c r="D36" i="16" s="1"/>
  <c r="D50" i="16"/>
  <c r="E46" i="16"/>
  <c r="E41" i="16"/>
  <c r="H12" i="1"/>
  <c r="H4" i="1" s="1"/>
  <c r="G32" i="2"/>
  <c r="I30" i="16"/>
  <c r="E47" i="16"/>
  <c r="E42" i="16"/>
  <c r="G40" i="1"/>
  <c r="G42" i="1" s="1"/>
  <c r="K22" i="16"/>
  <c r="I20" i="2"/>
  <c r="G23" i="16" s="1"/>
  <c r="I15" i="2"/>
  <c r="I5" i="1"/>
  <c r="H21" i="2"/>
  <c r="H23" i="2"/>
  <c r="H48" i="6"/>
  <c r="G48" i="6"/>
  <c r="G21" i="6"/>
  <c r="G23" i="6"/>
  <c r="H23" i="6"/>
  <c r="H21" i="6"/>
  <c r="G35" i="2" l="1"/>
  <c r="E25" i="16" s="1"/>
  <c r="F48" i="2"/>
  <c r="G38" i="2"/>
  <c r="G39" i="2" s="1"/>
  <c r="H40" i="1"/>
  <c r="G45" i="16"/>
  <c r="H45" i="16" s="1"/>
  <c r="G40" i="16"/>
  <c r="H26" i="2"/>
  <c r="F24" i="16" s="1"/>
  <c r="F27" i="16"/>
  <c r="K30" i="16"/>
  <c r="H41" i="1"/>
  <c r="F58" i="2"/>
  <c r="F59" i="2" s="1"/>
  <c r="F61" i="2" s="1"/>
  <c r="H28" i="16"/>
  <c r="L22" i="16"/>
  <c r="J5" i="1"/>
  <c r="I21" i="2"/>
  <c r="H50" i="2"/>
  <c r="E26" i="16" l="1"/>
  <c r="E29" i="16" s="1"/>
  <c r="E31" i="16" s="1"/>
  <c r="E36" i="16" s="1"/>
  <c r="E50" i="16"/>
  <c r="G45" i="2"/>
  <c r="I12" i="1"/>
  <c r="L30" i="16"/>
  <c r="I23" i="2"/>
  <c r="H54" i="2"/>
  <c r="F47" i="16"/>
  <c r="F42" i="16"/>
  <c r="F46" i="16"/>
  <c r="F41" i="16"/>
  <c r="H32" i="2"/>
  <c r="I45" i="16"/>
  <c r="H23" i="16"/>
  <c r="H43" i="1"/>
  <c r="H42" i="1"/>
  <c r="I28" i="16"/>
  <c r="I26" i="2" l="1"/>
  <c r="J12" i="1" s="1"/>
  <c r="J4" i="1" s="1"/>
  <c r="J40" i="1" s="1"/>
  <c r="I4" i="1"/>
  <c r="I40" i="1" s="1"/>
  <c r="H35" i="2"/>
  <c r="F25" i="16" s="1"/>
  <c r="G48" i="2"/>
  <c r="H40" i="16"/>
  <c r="J45" i="16"/>
  <c r="I23" i="16"/>
  <c r="I40" i="16" s="1"/>
  <c r="H38" i="2"/>
  <c r="H39" i="2" s="1"/>
  <c r="I50" i="2"/>
  <c r="I54" i="2" s="1"/>
  <c r="G27" i="16"/>
  <c r="I41" i="1"/>
  <c r="G58" i="2"/>
  <c r="G59" i="2" s="1"/>
  <c r="G61" i="2" s="1"/>
  <c r="J28" i="16"/>
  <c r="F26" i="16" l="1"/>
  <c r="F29" i="16" s="1"/>
  <c r="F31" i="16" s="1"/>
  <c r="F36" i="16" s="1"/>
  <c r="F50" i="16"/>
  <c r="G24" i="16"/>
  <c r="I32" i="2"/>
  <c r="I35" i="2" s="1"/>
  <c r="H45" i="2"/>
  <c r="G47" i="16"/>
  <c r="H47" i="16" s="1"/>
  <c r="G42" i="16"/>
  <c r="G46" i="16"/>
  <c r="H46" i="16" s="1"/>
  <c r="I46" i="16" s="1"/>
  <c r="J46" i="16" s="1"/>
  <c r="K46" i="16" s="1"/>
  <c r="L46" i="16" s="1"/>
  <c r="G41" i="16"/>
  <c r="K45" i="16"/>
  <c r="J23" i="16"/>
  <c r="I43" i="1"/>
  <c r="I42" i="1"/>
  <c r="K28" i="16"/>
  <c r="I38" i="2"/>
  <c r="I39" i="2" s="1"/>
  <c r="G25" i="16"/>
  <c r="I45" i="2" l="1"/>
  <c r="I48" i="2" s="1"/>
  <c r="H48" i="2"/>
  <c r="G26" i="16"/>
  <c r="G29" i="16" s="1"/>
  <c r="G31" i="16" s="1"/>
  <c r="G36" i="16" s="1"/>
  <c r="G50" i="16"/>
  <c r="H50" i="16" s="1"/>
  <c r="I50" i="16" s="1"/>
  <c r="J50" i="16" s="1"/>
  <c r="K50" i="16" s="1"/>
  <c r="L50" i="16" s="1"/>
  <c r="J40" i="16"/>
  <c r="L45" i="16"/>
  <c r="L23" i="16" s="1"/>
  <c r="K23" i="16"/>
  <c r="I47" i="16"/>
  <c r="H27" i="16"/>
  <c r="J41" i="1"/>
  <c r="H58" i="2"/>
  <c r="H59" i="2" s="1"/>
  <c r="H61" i="2" s="1"/>
  <c r="L28" i="16"/>
  <c r="J47" i="16" l="1"/>
  <c r="I27" i="16"/>
  <c r="K40" i="16"/>
  <c r="H42" i="16"/>
  <c r="H24" i="16"/>
  <c r="J43" i="1"/>
  <c r="J42" i="1"/>
  <c r="I58" i="2" s="1"/>
  <c r="I59" i="2" s="1"/>
  <c r="I61" i="2" s="1"/>
  <c r="H25" i="16" l="1"/>
  <c r="H26" i="16" s="1"/>
  <c r="H29" i="16" s="1"/>
  <c r="H31" i="16" s="1"/>
  <c r="H36" i="16" s="1"/>
  <c r="H41" i="16"/>
  <c r="I24" i="16"/>
  <c r="I42" i="16"/>
  <c r="J27" i="16"/>
  <c r="K47" i="16"/>
  <c r="J42" i="16" l="1"/>
  <c r="J24" i="16"/>
  <c r="L47" i="16"/>
  <c r="L27" i="16" s="1"/>
  <c r="L24" i="16" s="1"/>
  <c r="K27" i="16"/>
  <c r="I25" i="16"/>
  <c r="I26" i="16" s="1"/>
  <c r="I29" i="16" s="1"/>
  <c r="I31" i="16" s="1"/>
  <c r="I36" i="16" s="1"/>
  <c r="I41" i="16"/>
  <c r="K42" i="16" l="1"/>
  <c r="K24" i="16"/>
  <c r="L41" i="16" s="1"/>
  <c r="L25" i="16"/>
  <c r="L26" i="16" s="1"/>
  <c r="L29" i="16" s="1"/>
  <c r="L31" i="16" s="1"/>
  <c r="L36" i="16" s="1"/>
  <c r="C57" i="16" s="1"/>
  <c r="C58" i="16" s="1"/>
  <c r="J41" i="16"/>
  <c r="J25" i="16"/>
  <c r="J26" i="16" s="1"/>
  <c r="J29" i="16" s="1"/>
  <c r="J31" i="16" s="1"/>
  <c r="J36" i="16" s="1"/>
  <c r="K25" i="16" l="1"/>
  <c r="K26" i="16" s="1"/>
  <c r="K29" i="16" s="1"/>
  <c r="K31" i="16" s="1"/>
  <c r="K36" i="16" s="1"/>
  <c r="C54" i="16" s="1"/>
  <c r="H54" i="16" s="1"/>
  <c r="H58" i="16" s="1"/>
  <c r="L54" i="16" s="1"/>
  <c r="L57" i="16" s="1"/>
  <c r="D66" i="16" s="1"/>
  <c r="K41" i="16"/>
</calcChain>
</file>

<file path=xl/sharedStrings.xml><?xml version="1.0" encoding="utf-8"?>
<sst xmlns="http://schemas.openxmlformats.org/spreadsheetml/2006/main" count="401" uniqueCount="312">
  <si>
    <t>COMPANY NAME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</si>
  <si>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</si>
  <si>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</si>
  <si>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</si>
  <si>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</si>
  <si>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</si>
  <si>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</si>
  <si>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</si>
  <si>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</si>
  <si>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</si>
  <si>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Equity Share Capital</t>
  </si>
  <si>
    <t>Reserves</t>
  </si>
  <si>
    <t>Total</t>
  </si>
  <si>
    <t>Net Block</t>
  </si>
  <si>
    <t>Capital Work in Progress</t>
  </si>
  <si>
    <t>Investments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</si>
  <si>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</si>
  <si>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</si>
  <si>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</si>
  <si>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</si>
  <si>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</si>
  <si>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</si>
  <si>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</si>
  <si>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</si>
  <si>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</si>
  <si>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</si>
  <si>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</si>
  <si>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</si>
  <si>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</si>
  <si>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Inventory</t>
  </si>
  <si>
    <t>LATEST VERSION</t>
  </si>
  <si>
    <t>CURRENT VERSION</t>
  </si>
  <si>
    <t>JSW STEEL LTD</t>
  </si>
  <si>
    <t>META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</si>
  <si>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</si>
  <si>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</si>
  <si>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</si>
  <si>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</si>
  <si>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</si>
  <si>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</si>
  <si>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</si>
  <si>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</si>
  <si>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</si>
  <si>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</si>
  <si>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</si>
  <si>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</si>
  <si>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</si>
  <si>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</si>
  <si>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</si>
  <si>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</si>
  <si>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</si>
  <si>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</si>
  <si>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</si>
  <si>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</si>
  <si>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/>
  </si>
  <si>
    <t xml:space="preserve">Years </t>
  </si>
  <si>
    <t>Income Statement</t>
  </si>
  <si>
    <t>#</t>
  </si>
  <si>
    <t>Sales Growth</t>
  </si>
  <si>
    <t>COGS</t>
  </si>
  <si>
    <t>Gross Margin</t>
  </si>
  <si>
    <t xml:space="preserve">COGS % of Sales </t>
  </si>
  <si>
    <t xml:space="preserve">Gross Profit </t>
  </si>
  <si>
    <t>Selling &amp; General Expenses</t>
  </si>
  <si>
    <t>EBITDA</t>
  </si>
  <si>
    <t>S&amp;G Exp % Sales</t>
  </si>
  <si>
    <t>EBITDA Margin</t>
  </si>
  <si>
    <t xml:space="preserve">Interest </t>
  </si>
  <si>
    <t>Interest % Sales</t>
  </si>
  <si>
    <t xml:space="preserve">Depreciation </t>
  </si>
  <si>
    <t>Depreciation % Sales</t>
  </si>
  <si>
    <t>Earning Before tax (EBT)</t>
  </si>
  <si>
    <t>EBT % Sales</t>
  </si>
  <si>
    <t>Net Profit</t>
  </si>
  <si>
    <t>Effective Tax Rate</t>
  </si>
  <si>
    <t>Net Margin</t>
  </si>
  <si>
    <t>Balance Sheet</t>
  </si>
  <si>
    <t xml:space="preserve">Total liabilities </t>
  </si>
  <si>
    <t>Fixed Asset Net Block</t>
  </si>
  <si>
    <t xml:space="preserve">Total Non Current Assets </t>
  </si>
  <si>
    <t xml:space="preserve">Total Current Assets </t>
  </si>
  <si>
    <t xml:space="preserve">Total Assets </t>
  </si>
  <si>
    <t>Check</t>
  </si>
  <si>
    <t>Cash from Operating Activity -</t>
  </si>
  <si>
    <t>Profit from operations</t>
  </si>
  <si>
    <t>Payables</t>
  </si>
  <si>
    <t>Loans Advances</t>
  </si>
  <si>
    <t>Other WC items</t>
  </si>
  <si>
    <t>Working capital changes</t>
  </si>
  <si>
    <t>Direct taxes</t>
  </si>
  <si>
    <t>Cash from Investing Activity -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</si>
  <si>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</si>
  <si>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</si>
  <si>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</si>
  <si>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</si>
  <si>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</si>
  <si>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</si>
  <si>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Investment in group cos</t>
  </si>
  <si>
    <t>Redemp n Canc of Shares</t>
  </si>
  <si>
    <t>Acquisition of companies</t>
  </si>
  <si>
    <t>Inter corporate deposits</t>
  </si>
  <si>
    <t>Other investing items</t>
  </si>
  <si>
    <t>Cash from Financing Activity -</t>
  </si>
  <si>
    <t>Proceeds from shares</t>
  </si>
  <si>
    <t>Redemption of debentures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</si>
  <si>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</si>
  <si>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</si>
  <si>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</si>
  <si>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</si>
  <si>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</si>
  <si>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</si>
  <si>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 xml:space="preserve">Sales Growth </t>
  </si>
  <si>
    <t>EBITDA Growth</t>
  </si>
  <si>
    <t>Net Profit Growth</t>
  </si>
  <si>
    <t>Dividend Growth</t>
  </si>
  <si>
    <t>Operating Margin</t>
  </si>
  <si>
    <t>EBT Margin</t>
  </si>
  <si>
    <t>Net Profit Margin</t>
  </si>
  <si>
    <t>SalesExpenses%Sales</t>
  </si>
  <si>
    <t>Depreciation%Sales</t>
  </si>
  <si>
    <t>OperatingIncome%Sales</t>
  </si>
  <si>
    <t>Return on Capital Employed</t>
  </si>
  <si>
    <t>Self Sustained Growth Rate</t>
  </si>
  <si>
    <t>Interest Coverage Ratio</t>
  </si>
  <si>
    <t>Debtor Turnover Ratio</t>
  </si>
  <si>
    <t>Creditor Turnover Ratio</t>
  </si>
  <si>
    <t>Inventory Turnover</t>
  </si>
  <si>
    <t>Fixed Asset Turnover</t>
  </si>
  <si>
    <t>Capital Turnover Ratio</t>
  </si>
  <si>
    <t>Debtor Days</t>
  </si>
  <si>
    <t>Payable Days</t>
  </si>
  <si>
    <t>Inventory Days</t>
  </si>
  <si>
    <t>Cash Conversion Cycle</t>
  </si>
  <si>
    <t>CFO/Sales</t>
  </si>
  <si>
    <t>CFO/Total Assets</t>
  </si>
  <si>
    <t>CFO/Total Debt</t>
  </si>
  <si>
    <t>EBT Growth</t>
  </si>
  <si>
    <t>(in days)</t>
  </si>
  <si>
    <t>Mean</t>
  </si>
  <si>
    <t xml:space="preserve">Median </t>
  </si>
  <si>
    <t>Debt/Equity</t>
  </si>
  <si>
    <t>Net debt/EBITDA</t>
  </si>
  <si>
    <t xml:space="preserve">Financial Leverage </t>
  </si>
  <si>
    <t xml:space="preserve">Asset Turnover Ratio </t>
  </si>
  <si>
    <t>Return on Asset (ROA)</t>
  </si>
  <si>
    <t xml:space="preserve">P/E ratio </t>
  </si>
  <si>
    <t xml:space="preserve">Current Ratio </t>
  </si>
  <si>
    <t>Return on Equity</t>
  </si>
  <si>
    <t>Retained Earnings</t>
  </si>
  <si>
    <t>EBIT</t>
  </si>
  <si>
    <t>EBIT Margin</t>
  </si>
  <si>
    <t xml:space="preserve">Particulars </t>
  </si>
  <si>
    <t>Equity Capital</t>
  </si>
  <si>
    <t>Long term Borrowings</t>
  </si>
  <si>
    <t>Short term Borrowings</t>
  </si>
  <si>
    <t>Lease Liabilities</t>
  </si>
  <si>
    <t>Other Borrowings</t>
  </si>
  <si>
    <t>Non controlling int</t>
  </si>
  <si>
    <t>Trade Payables</t>
  </si>
  <si>
    <t>Advance from Customers</t>
  </si>
  <si>
    <t>Other liability items</t>
  </si>
  <si>
    <t>Total Liabilities</t>
  </si>
  <si>
    <t>Land</t>
  </si>
  <si>
    <t>Building</t>
  </si>
  <si>
    <t>Plant Machinery</t>
  </si>
  <si>
    <t>Equipments</t>
  </si>
  <si>
    <t>Furniture n fittings</t>
  </si>
  <si>
    <t>Vehicles</t>
  </si>
  <si>
    <t>Intangible Assets</t>
  </si>
  <si>
    <t>Other fixed assets</t>
  </si>
  <si>
    <t>Gross Block</t>
  </si>
  <si>
    <t>Accumulated Depreciation</t>
  </si>
  <si>
    <t>CWIP</t>
  </si>
  <si>
    <t>Inventories</t>
  </si>
  <si>
    <t>Cash Equivalents</t>
  </si>
  <si>
    <t>Short term loans</t>
  </si>
  <si>
    <t>Other asset items</t>
  </si>
  <si>
    <t>Total Assets</t>
  </si>
  <si>
    <t>Borrowings -</t>
  </si>
  <si>
    <t>Other Liabilities -</t>
  </si>
  <si>
    <t>Fixed Assets -</t>
  </si>
  <si>
    <t>Other Assets -</t>
  </si>
  <si>
    <t xml:space="preserve">Trade receivables </t>
  </si>
  <si>
    <t xml:space="preserve">Average </t>
  </si>
  <si>
    <t>X Variable 1</t>
  </si>
  <si>
    <t>Intercept</t>
  </si>
  <si>
    <t>Upper 95.0%</t>
  </si>
  <si>
    <t>Lower 95.0%</t>
  </si>
  <si>
    <t>Upper 95%</t>
  </si>
  <si>
    <t>Lower 95%</t>
  </si>
  <si>
    <t>P-value</t>
  </si>
  <si>
    <t>t Stat</t>
  </si>
  <si>
    <t>Standard Error</t>
  </si>
  <si>
    <t>Coefficients</t>
  </si>
  <si>
    <t>Residual</t>
  </si>
  <si>
    <t>Regression</t>
  </si>
  <si>
    <t>Significance F</t>
  </si>
  <si>
    <t>F</t>
  </si>
  <si>
    <t>MS</t>
  </si>
  <si>
    <t>SS</t>
  </si>
  <si>
    <t>df</t>
  </si>
  <si>
    <t>ANOVA</t>
  </si>
  <si>
    <t>Observations</t>
  </si>
  <si>
    <t>Adjusted R Square</t>
  </si>
  <si>
    <t>R Square</t>
  </si>
  <si>
    <t>Multiple R</t>
  </si>
  <si>
    <t>Regression Statistics</t>
  </si>
  <si>
    <t>SUMMARY OUTPUT</t>
  </si>
  <si>
    <t xml:space="preserve">Return </t>
  </si>
  <si>
    <t>Closing Price</t>
  </si>
  <si>
    <t>Return</t>
  </si>
  <si>
    <t>Date</t>
  </si>
  <si>
    <t xml:space="preserve">Nifty Weekly Retun </t>
  </si>
  <si>
    <t xml:space="preserve">Britannia Industries Ltd Weekly Returns </t>
  </si>
  <si>
    <t>Regression Beta</t>
  </si>
  <si>
    <t xml:space="preserve">Total Market Return </t>
  </si>
  <si>
    <t xml:space="preserve">Dividend Yield </t>
  </si>
  <si>
    <t xml:space="preserve">Average return </t>
  </si>
  <si>
    <t>Nifty Annual Returns</t>
  </si>
  <si>
    <t>Year</t>
  </si>
  <si>
    <t xml:space="preserve">JSW Steel Ltd </t>
  </si>
  <si>
    <t xml:space="preserve"> </t>
  </si>
  <si>
    <t>Valuation</t>
  </si>
  <si>
    <t>(All figures in Rs. Crores)</t>
  </si>
  <si>
    <r>
      <rPr>
        <sz val="11"/>
        <color rgb="FFFF0000"/>
        <rFont val="Calibri"/>
        <family val="2"/>
      </rPr>
      <t xml:space="preserve">(Gray </t>
    </r>
    <r>
      <rPr>
        <sz val="11"/>
        <color rgb="FF000000"/>
        <rFont val="Calibri"/>
        <family val="2"/>
      </rPr>
      <t>for assumptions</t>
    </r>
    <r>
      <rPr>
        <sz val="11"/>
        <color rgb="FF000000"/>
        <rFont val="Calibri"/>
        <family val="2"/>
      </rPr>
      <t>)</t>
    </r>
  </si>
  <si>
    <t>Growth Assumptions</t>
  </si>
  <si>
    <t>Enterprise Value (EV)</t>
  </si>
  <si>
    <t>Debt Equity Weightage</t>
  </si>
  <si>
    <t>Domestic Economic Growth</t>
  </si>
  <si>
    <t>E/(D+E)</t>
  </si>
  <si>
    <t>Current Market Price</t>
  </si>
  <si>
    <t>D/(D+E)</t>
  </si>
  <si>
    <t>Diluted Shares(In Cr.)</t>
  </si>
  <si>
    <t>CAPM Assumptions</t>
  </si>
  <si>
    <t>Market Capitalisation (E)</t>
  </si>
  <si>
    <t>Interest Rate (%)</t>
  </si>
  <si>
    <t>Ke</t>
  </si>
  <si>
    <t>Debt (D)</t>
  </si>
  <si>
    <t>Tax Rate (@)</t>
  </si>
  <si>
    <t>RFR</t>
  </si>
  <si>
    <t>Less: Cash &amp; Cash Equivalents</t>
  </si>
  <si>
    <t>Beta</t>
  </si>
  <si>
    <t>Net Debt</t>
  </si>
  <si>
    <t>WACC Calculation</t>
  </si>
  <si>
    <t>Rp = Rm - Rf</t>
  </si>
  <si>
    <t>Current Enterprise Value (EV)</t>
  </si>
  <si>
    <t>WACC</t>
  </si>
  <si>
    <t>Calculation of Free Cash Flow</t>
  </si>
  <si>
    <t>Explicit Forecast Period</t>
  </si>
  <si>
    <t>Terminal Year</t>
  </si>
  <si>
    <t>Revenues</t>
  </si>
  <si>
    <t>Tax Expense</t>
  </si>
  <si>
    <t>Net Operating Profit After Tax = EBIT - Tax Expense</t>
  </si>
  <si>
    <t>Depreciation &amp; Amortisation</t>
  </si>
  <si>
    <t>Working Capital Change</t>
  </si>
  <si>
    <t>Operating Cash Flow = NOPAT + Dep + WC Change</t>
  </si>
  <si>
    <t>Capex</t>
  </si>
  <si>
    <t>FCFF</t>
  </si>
  <si>
    <t>Diluted Shares</t>
  </si>
  <si>
    <t>Projection Year</t>
  </si>
  <si>
    <t>Present Value of FCF</t>
  </si>
  <si>
    <t>Y/Y Growth Analysis</t>
  </si>
  <si>
    <t>Linear decline in revenue growth rate</t>
  </si>
  <si>
    <t>Margin Analysis (As % of Revenues)</t>
  </si>
  <si>
    <t>Tax Rate (Tax Expense/EBIT)</t>
  </si>
  <si>
    <t>Terminal Value</t>
  </si>
  <si>
    <t>Calculated Equity Value</t>
  </si>
  <si>
    <t>Intrinsic Value</t>
  </si>
  <si>
    <t>Sum of PV of FCF for explicit forecast + Stage 1</t>
  </si>
  <si>
    <t>Enterprise Value</t>
  </si>
  <si>
    <t>Equity Value</t>
  </si>
  <si>
    <t>-   Debt</t>
  </si>
  <si>
    <t>World Economic Growth</t>
  </si>
  <si>
    <t>+  Cash</t>
  </si>
  <si>
    <t>GGM</t>
  </si>
  <si>
    <t>PV of TV</t>
  </si>
  <si>
    <t>TV = FCFF(TY)/(WACC  - g)</t>
  </si>
  <si>
    <t xml:space="preserve">Regression Beta </t>
  </si>
  <si>
    <t>Assumptions</t>
  </si>
  <si>
    <t>Revenue</t>
  </si>
  <si>
    <t>Depreciation &amp; Ammortization</t>
  </si>
  <si>
    <t>Finance Cost</t>
  </si>
  <si>
    <t>Tax Expense/Credit</t>
  </si>
  <si>
    <t>Minority Interest</t>
  </si>
  <si>
    <t>No: of Diluted share</t>
  </si>
  <si>
    <t>2024 -A</t>
  </si>
  <si>
    <t>2025 -E</t>
  </si>
  <si>
    <t>2026 -E</t>
  </si>
  <si>
    <t>2027-E</t>
  </si>
  <si>
    <t>2028 - E</t>
  </si>
  <si>
    <t>2029 - E</t>
  </si>
  <si>
    <t>2030 - E</t>
  </si>
  <si>
    <t>2031 - E</t>
  </si>
  <si>
    <t>2032 - E</t>
  </si>
  <si>
    <t>2033 - E</t>
  </si>
  <si>
    <t>As % of Revenue</t>
  </si>
  <si>
    <t>Fixed Asset addition</t>
  </si>
  <si>
    <t>Fixed Asset add as % of Rev</t>
  </si>
  <si>
    <t>Recievable Days</t>
  </si>
  <si>
    <t>Preference capital</t>
  </si>
  <si>
    <t xml:space="preserve">Opening cash Balance </t>
  </si>
  <si>
    <t>Closing Cash Balance</t>
  </si>
  <si>
    <t xml:space="preserve">Interest Received </t>
  </si>
  <si>
    <t xml:space="preserve">Interest rate </t>
  </si>
  <si>
    <t xml:space="preserve">Other Income </t>
  </si>
  <si>
    <t>Net Cash Flow from financing activites</t>
  </si>
  <si>
    <t xml:space="preserve">Net cash from investing activities </t>
  </si>
  <si>
    <t xml:space="preserve">First Stage of Valuation </t>
  </si>
  <si>
    <t>Sensitivity Table - Intrinsic Value</t>
  </si>
  <si>
    <t>Terminal Growth Rate (WEG)</t>
  </si>
  <si>
    <t xml:space="preserve">Interest received </t>
  </si>
  <si>
    <t xml:space="preserve">Net cash from operating activities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</si>
</sst>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3" formatCode="_ * #,##0.00_ ;_ * \-#,##0.00_ ;_ * &quot;-&quot;??_ ;_ @_ "/>
    <numFmt numFmtId="164" formatCode="[$-409]mmm\-yy;@"/>
    <numFmt numFmtId="165" formatCode="_(* #,##0.00_);_(* \(#,##0.00\);_(* &quot;-&quot;??_);_(@_)"/>
    <numFmt numFmtId="166" formatCode="&quot;₹&quot;\ #,##0.0;\(&quot;₹&quot;\ #,##0.0\)"/>
    <numFmt numFmtId="167" formatCode="0.00&quot;x&quot;"/>
    <numFmt numFmtId="168" formatCode="#,##0.0"/>
    <numFmt numFmtId="169" formatCode="#,##0.0;\(#,##0.0\);\-"/>
    <numFmt numFmtId="170" formatCode="m/d/yy;@"/>
    <numFmt numFmtId="171" formatCode="_(* #,##0_);_(* \(#,##0\);_(* &quot;-&quot;??_);_(@_)"/>
    <numFmt numFmtId="172" formatCode="0.0%"/>
    <numFmt numFmtId="173" formatCode="_(* #,##0.0_);_(* \(#,##0.0\);_(* &quot;-&quot;??_);_(@_)"/>
    <numFmt numFmtId="174" formatCode="_ * #,##0_ ;_ * \-#,##0_ ;_ * &quot;-&quot;??_ ;_ @_ "/>
    <numFmt numFmtId="175" formatCode="#,##0.0;\-#,##0.0"/>
    <numFmt numFmtId="176" formatCode="&quot;₹&quot;\ #,##0.00"/>
    <numFmt numFmtId="177" formatCode="&quot;₹&quot;\ #,##0.00000000"/>
    <numFmt numFmtId="178" formatCode="&quot;₹&quot;\ #,##0.0;&quot;₹&quot;\ \-#,##0.0"/>
    <numFmt numFmtId="179" formatCode="0.0"/>
    <numFmt numFmtId="188" formatCode="_ * #,##0.0_ ;_ * \-#,##0.0_ ;_ * &quot;-&quot;??_ ;_ @_ "/>
  </numFmts>
  <fonts count="27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0" tint="-0.34998626667073579"/>
      <name val="Calibri"/>
      <family val="2"/>
    </font>
    <font>
      <sz val="11"/>
      <color theme="1"/>
      <name val="Arial Narrow"/>
      <family val="2"/>
    </font>
    <font>
      <i/>
      <sz val="11"/>
      <color theme="1"/>
      <name val="Calibri"/>
      <family val="2"/>
    </font>
    <font>
      <sz val="11"/>
      <color theme="0"/>
      <name val="Calibri"/>
      <family val="2"/>
    </font>
    <font>
      <sz val="11"/>
      <color rgb="FF3333FF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b/>
      <sz val="10"/>
      <name val="Calibri"/>
      <family val="2"/>
    </font>
    <font>
      <b/>
      <u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E6E4E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/>
      <bottom style="medium">
        <color rgb="FFFFC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/>
      <top/>
      <bottom style="medium">
        <color rgb="FF663333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rgb="FFFFC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rgb="FF7F7F7F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/>
    <xf numFmtId="43" fontId="5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4" fillId="2" borderId="0" applyNumberFormat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10" fillId="0" borderId="0"/>
    <xf numFmtId="9" fontId="18" fillId="0" borderId="0">
      <alignment vertical="top"/>
      <protection locked="0"/>
    </xf>
    <xf numFmtId="165" fontId="18" fillId="0" borderId="0">
      <alignment vertical="top"/>
      <protection locked="0"/>
    </xf>
  </cellStyleXfs>
  <cellXfs count="178">
    <xf numFmtId="0" fontId="0" fillId="0" borderId="0" xfId="0"/>
    <xf numFmtId="43" fontId="7" fillId="0" borderId="0" xfId="1" applyFont="1" applyBorder="1"/>
    <xf numFmtId="43" fontId="5" fillId="0" borderId="0" xfId="1" applyFont="1" applyBorder="1"/>
    <xf numFmtId="0" fontId="5" fillId="0" borderId="0" xfId="5"/>
    <xf numFmtId="164" fontId="8" fillId="3" borderId="0" xfId="1" applyNumberFormat="1" applyFont="1" applyFill="1" applyBorder="1"/>
    <xf numFmtId="164" fontId="8" fillId="3" borderId="0" xfId="5" applyNumberFormat="1" applyFont="1" applyFill="1" applyAlignment="1">
      <alignment horizontal="center"/>
    </xf>
    <xf numFmtId="165" fontId="5" fillId="0" borderId="0" xfId="1" applyNumberFormat="1" applyFont="1" applyBorder="1"/>
    <xf numFmtId="0" fontId="2" fillId="4" borderId="0" xfId="0" applyFont="1" applyFill="1"/>
    <xf numFmtId="17" fontId="2" fillId="4" borderId="0" xfId="0" applyNumberFormat="1" applyFont="1" applyFill="1"/>
    <xf numFmtId="166" fontId="0" fillId="0" borderId="0" xfId="0" applyNumberFormat="1"/>
    <xf numFmtId="10" fontId="0" fillId="0" borderId="0" xfId="2" applyNumberFormat="1" applyFont="1"/>
    <xf numFmtId="0" fontId="9" fillId="0" borderId="0" xfId="0" applyFont="1"/>
    <xf numFmtId="10" fontId="9" fillId="0" borderId="0" xfId="2" applyNumberFormat="1" applyFont="1"/>
    <xf numFmtId="0" fontId="2" fillId="0" borderId="0" xfId="0" applyFont="1"/>
    <xf numFmtId="17" fontId="2" fillId="0" borderId="0" xfId="0" applyNumberFormat="1" applyFont="1"/>
    <xf numFmtId="0" fontId="0" fillId="5" borderId="0" xfId="0" applyFill="1"/>
    <xf numFmtId="0" fontId="3" fillId="5" borderId="0" xfId="0" applyFont="1" applyFill="1"/>
    <xf numFmtId="0" fontId="3" fillId="0" borderId="0" xfId="0" applyFont="1"/>
    <xf numFmtId="17" fontId="0" fillId="0" borderId="0" xfId="0" applyNumberFormat="1"/>
    <xf numFmtId="3" fontId="0" fillId="0" borderId="0" xfId="0" applyNumberFormat="1"/>
    <xf numFmtId="166" fontId="3" fillId="0" borderId="0" xfId="0" applyNumberFormat="1" applyFont="1"/>
    <xf numFmtId="3" fontId="3" fillId="0" borderId="0" xfId="0" applyNumberFormat="1" applyFont="1"/>
    <xf numFmtId="0" fontId="0" fillId="0" borderId="1" xfId="0" applyBorder="1"/>
    <xf numFmtId="166" fontId="0" fillId="0" borderId="1" xfId="0" applyNumberFormat="1" applyBorder="1"/>
    <xf numFmtId="0" fontId="3" fillId="0" borderId="1" xfId="0" applyFont="1" applyBorder="1"/>
    <xf numFmtId="0" fontId="0" fillId="0" borderId="2" xfId="0" applyBorder="1"/>
    <xf numFmtId="166" fontId="0" fillId="0" borderId="2" xfId="0" applyNumberFormat="1" applyBorder="1"/>
    <xf numFmtId="10" fontId="0" fillId="0" borderId="0" xfId="0" applyNumberFormat="1"/>
    <xf numFmtId="167" fontId="0" fillId="0" borderId="0" xfId="0" applyNumberFormat="1"/>
    <xf numFmtId="1" fontId="0" fillId="0" borderId="0" xfId="0" applyNumberFormat="1"/>
    <xf numFmtId="10" fontId="0" fillId="0" borderId="0" xfId="2" applyNumberFormat="1" applyFont="1" applyAlignment="1">
      <alignment horizontal="right"/>
    </xf>
    <xf numFmtId="168" fontId="0" fillId="0" borderId="0" xfId="0" applyNumberFormat="1"/>
    <xf numFmtId="0" fontId="11" fillId="0" borderId="0" xfId="0" applyFont="1" applyAlignment="1">
      <alignment horizontal="center"/>
    </xf>
    <xf numFmtId="2" fontId="0" fillId="0" borderId="0" xfId="0" applyNumberFormat="1"/>
    <xf numFmtId="43" fontId="0" fillId="0" borderId="0" xfId="0" applyNumberFormat="1"/>
    <xf numFmtId="169" fontId="0" fillId="0" borderId="4" xfId="0" applyNumberFormat="1" applyBorder="1"/>
    <xf numFmtId="169" fontId="3" fillId="0" borderId="1" xfId="0" applyNumberFormat="1" applyFont="1" applyBorder="1"/>
    <xf numFmtId="169" fontId="3" fillId="0" borderId="0" xfId="0" applyNumberFormat="1" applyFont="1"/>
    <xf numFmtId="169" fontId="0" fillId="0" borderId="0" xfId="0" applyNumberFormat="1"/>
    <xf numFmtId="0" fontId="2" fillId="6" borderId="0" xfId="0" applyFont="1" applyFill="1"/>
    <xf numFmtId="17" fontId="2" fillId="6" borderId="0" xfId="0" applyNumberFormat="1" applyFont="1" applyFill="1"/>
    <xf numFmtId="0" fontId="12" fillId="6" borderId="0" xfId="0" applyFont="1" applyFill="1"/>
    <xf numFmtId="3" fontId="0" fillId="7" borderId="0" xfId="0" applyNumberFormat="1" applyFill="1"/>
    <xf numFmtId="0" fontId="0" fillId="7" borderId="0" xfId="0" applyFill="1"/>
    <xf numFmtId="10" fontId="0" fillId="0" borderId="5" xfId="0" applyNumberFormat="1" applyBorder="1"/>
    <xf numFmtId="0" fontId="0" fillId="0" borderId="5" xfId="0" applyBorder="1"/>
    <xf numFmtId="10" fontId="13" fillId="0" borderId="0" xfId="0" applyNumberFormat="1" applyFont="1"/>
    <xf numFmtId="0" fontId="0" fillId="0" borderId="0" xfId="0" applyAlignment="1">
      <alignment horizontal="left"/>
    </xf>
    <xf numFmtId="14" fontId="0" fillId="0" borderId="0" xfId="0" applyNumberFormat="1"/>
    <xf numFmtId="0" fontId="11" fillId="0" borderId="0" xfId="0" applyFont="1" applyAlignment="1">
      <alignment horizontal="centerContinuous"/>
    </xf>
    <xf numFmtId="0" fontId="3" fillId="0" borderId="0" xfId="0" applyFont="1" applyAlignment="1">
      <alignment horizontal="right"/>
    </xf>
    <xf numFmtId="170" fontId="3" fillId="0" borderId="0" xfId="0" applyNumberFormat="1" applyFont="1"/>
    <xf numFmtId="10" fontId="3" fillId="0" borderId="1" xfId="0" applyNumberFormat="1" applyFont="1" applyBorder="1"/>
    <xf numFmtId="0" fontId="3" fillId="0" borderId="0" xfId="0" applyFont="1" applyAlignment="1">
      <alignment horizontal="left"/>
    </xf>
    <xf numFmtId="0" fontId="15" fillId="0" borderId="0" xfId="0" applyFont="1"/>
    <xf numFmtId="0" fontId="16" fillId="8" borderId="8" xfId="0" applyFont="1" applyFill="1" applyBorder="1" applyAlignment="1">
      <alignment horizontal="left"/>
    </xf>
    <xf numFmtId="171" fontId="17" fillId="0" borderId="8" xfId="6" applyNumberFormat="1" applyFont="1" applyBorder="1" applyAlignment="1" applyProtection="1"/>
    <xf numFmtId="0" fontId="17" fillId="0" borderId="0" xfId="0" applyFont="1"/>
    <xf numFmtId="0" fontId="19" fillId="0" borderId="0" xfId="11" applyFont="1"/>
    <xf numFmtId="9" fontId="19" fillId="9" borderId="0" xfId="2" applyFont="1" applyFill="1" applyAlignment="1" applyProtection="1"/>
    <xf numFmtId="171" fontId="19" fillId="9" borderId="0" xfId="6" applyNumberFormat="1" applyFont="1" applyFill="1" applyAlignment="1" applyProtection="1"/>
    <xf numFmtId="171" fontId="16" fillId="9" borderId="1" xfId="6" applyNumberFormat="1" applyFont="1" applyFill="1" applyBorder="1" applyAlignment="1" applyProtection="1"/>
    <xf numFmtId="173" fontId="19" fillId="9" borderId="0" xfId="6" applyNumberFormat="1" applyFont="1" applyFill="1" applyAlignment="1" applyProtection="1"/>
    <xf numFmtId="9" fontId="19" fillId="9" borderId="0" xfId="11" applyNumberFormat="1" applyFont="1" applyFill="1"/>
    <xf numFmtId="2" fontId="20" fillId="9" borderId="0" xfId="11" applyNumberFormat="1" applyFont="1" applyFill="1"/>
    <xf numFmtId="173" fontId="19" fillId="9" borderId="1" xfId="6" applyNumberFormat="1" applyFont="1" applyFill="1" applyBorder="1" applyAlignment="1" applyProtection="1"/>
    <xf numFmtId="171" fontId="16" fillId="9" borderId="9" xfId="6" applyNumberFormat="1" applyFont="1" applyFill="1" applyBorder="1" applyAlignment="1" applyProtection="1"/>
    <xf numFmtId="10" fontId="19" fillId="9" borderId="0" xfId="2" applyNumberFormat="1" applyFont="1" applyFill="1" applyAlignment="1" applyProtection="1"/>
    <xf numFmtId="171" fontId="16" fillId="0" borderId="8" xfId="6" applyNumberFormat="1" applyFont="1" applyBorder="1" applyAlignment="1" applyProtection="1">
      <alignment horizontal="center"/>
    </xf>
    <xf numFmtId="171" fontId="17" fillId="0" borderId="0" xfId="6" applyNumberFormat="1" applyFont="1" applyAlignment="1" applyProtection="1"/>
    <xf numFmtId="0" fontId="19" fillId="0" borderId="0" xfId="11" applyFont="1" applyAlignment="1">
      <alignment horizontal="left" indent="1"/>
    </xf>
    <xf numFmtId="171" fontId="19" fillId="9" borderId="0" xfId="13" applyNumberFormat="1" applyFont="1" applyFill="1" applyAlignment="1" applyProtection="1"/>
    <xf numFmtId="172" fontId="19" fillId="0" borderId="0" xfId="12" applyNumberFormat="1" applyFont="1" applyAlignment="1" applyProtection="1">
      <alignment horizontal="left" indent="1"/>
    </xf>
    <xf numFmtId="171" fontId="19" fillId="0" borderId="0" xfId="6" applyNumberFormat="1" applyFont="1" applyAlignment="1" applyProtection="1"/>
    <xf numFmtId="171" fontId="17" fillId="9" borderId="0" xfId="6" applyNumberFormat="1" applyFont="1" applyFill="1" applyAlignment="1" applyProtection="1"/>
    <xf numFmtId="0" fontId="21" fillId="0" borderId="0" xfId="11" applyFont="1"/>
    <xf numFmtId="0" fontId="16" fillId="0" borderId="0" xfId="0" applyFont="1"/>
    <xf numFmtId="171" fontId="16" fillId="10" borderId="0" xfId="6" applyNumberFormat="1" applyFont="1" applyFill="1" applyAlignment="1" applyProtection="1"/>
    <xf numFmtId="171" fontId="16" fillId="0" borderId="0" xfId="6" applyNumberFormat="1" applyFont="1" applyAlignment="1" applyProtection="1"/>
    <xf numFmtId="0" fontId="22" fillId="0" borderId="0" xfId="0" applyFont="1"/>
    <xf numFmtId="10" fontId="17" fillId="0" borderId="0" xfId="2" applyNumberFormat="1" applyFont="1" applyAlignment="1" applyProtection="1"/>
    <xf numFmtId="9" fontId="19" fillId="0" borderId="0" xfId="12" applyFont="1" applyAlignment="1" applyProtection="1"/>
    <xf numFmtId="9" fontId="19" fillId="9" borderId="0" xfId="12" applyFont="1" applyFill="1" applyAlignment="1" applyProtection="1"/>
    <xf numFmtId="10" fontId="20" fillId="0" borderId="0" xfId="12" applyNumberFormat="1" applyFont="1" applyAlignment="1" applyProtection="1"/>
    <xf numFmtId="10" fontId="20" fillId="0" borderId="0" xfId="2" applyNumberFormat="1" applyFont="1" applyAlignment="1" applyProtection="1"/>
    <xf numFmtId="9" fontId="19" fillId="0" borderId="0" xfId="2" applyFont="1" applyAlignment="1" applyProtection="1"/>
    <xf numFmtId="0" fontId="20" fillId="0" borderId="0" xfId="0" applyFont="1"/>
    <xf numFmtId="172" fontId="19" fillId="0" borderId="0" xfId="12" applyNumberFormat="1" applyFont="1" applyAlignment="1" applyProtection="1">
      <alignment horizontal="left"/>
    </xf>
    <xf numFmtId="9" fontId="20" fillId="0" borderId="0" xfId="2" applyFont="1" applyAlignment="1" applyProtection="1"/>
    <xf numFmtId="0" fontId="19" fillId="0" borderId="11" xfId="11" applyFont="1" applyBorder="1"/>
    <xf numFmtId="171" fontId="19" fillId="10" borderId="0" xfId="13" applyNumberFormat="1" applyFont="1" applyFill="1" applyAlignment="1" applyProtection="1"/>
    <xf numFmtId="171" fontId="19" fillId="9" borderId="0" xfId="11" applyNumberFormat="1" applyFont="1" applyFill="1"/>
    <xf numFmtId="0" fontId="19" fillId="0" borderId="0" xfId="11" quotePrefix="1" applyFont="1"/>
    <xf numFmtId="171" fontId="19" fillId="9" borderId="1" xfId="11" applyNumberFormat="1" applyFont="1" applyFill="1" applyBorder="1"/>
    <xf numFmtId="43" fontId="21" fillId="9" borderId="0" xfId="6" applyFont="1" applyFill="1" applyAlignment="1" applyProtection="1"/>
    <xf numFmtId="174" fontId="19" fillId="10" borderId="0" xfId="6" applyNumberFormat="1" applyFont="1" applyFill="1" applyAlignment="1" applyProtection="1"/>
    <xf numFmtId="165" fontId="19" fillId="0" borderId="0" xfId="11" applyNumberFormat="1" applyFont="1"/>
    <xf numFmtId="9" fontId="0" fillId="0" borderId="0" xfId="2" applyFont="1" applyBorder="1"/>
    <xf numFmtId="0" fontId="0" fillId="11" borderId="0" xfId="0" applyFill="1"/>
    <xf numFmtId="2" fontId="0" fillId="11" borderId="0" xfId="0" applyNumberFormat="1" applyFill="1"/>
    <xf numFmtId="0" fontId="0" fillId="0" borderId="6" xfId="0" applyBorder="1"/>
    <xf numFmtId="0" fontId="11" fillId="0" borderId="7" xfId="0" applyFont="1" applyBorder="1" applyAlignment="1">
      <alignment horizontal="center"/>
    </xf>
    <xf numFmtId="0" fontId="11" fillId="0" borderId="7" xfId="0" applyFont="1" applyBorder="1" applyAlignment="1">
      <alignment horizontal="centerContinuous"/>
    </xf>
    <xf numFmtId="175" fontId="0" fillId="0" borderId="0" xfId="0" applyNumberFormat="1"/>
    <xf numFmtId="2" fontId="0" fillId="7" borderId="0" xfId="0" applyNumberFormat="1" applyFill="1"/>
    <xf numFmtId="10" fontId="20" fillId="9" borderId="0" xfId="12" applyNumberFormat="1" applyFont="1" applyFill="1" applyAlignment="1" applyProtection="1"/>
    <xf numFmtId="10" fontId="20" fillId="9" borderId="0" xfId="11" applyNumberFormat="1" applyFont="1" applyFill="1"/>
    <xf numFmtId="165" fontId="19" fillId="9" borderId="0" xfId="6" applyNumberFormat="1" applyFont="1" applyFill="1" applyAlignment="1" applyProtection="1"/>
    <xf numFmtId="10" fontId="19" fillId="9" borderId="0" xfId="11" applyNumberFormat="1" applyFont="1" applyFill="1"/>
    <xf numFmtId="0" fontId="23" fillId="0" borderId="0" xfId="0" applyFont="1"/>
    <xf numFmtId="10" fontId="15" fillId="0" borderId="0" xfId="2" applyNumberFormat="1" applyFont="1" applyAlignment="1" applyProtection="1"/>
    <xf numFmtId="0" fontId="0" fillId="0" borderId="0" xfId="0" applyAlignment="1">
      <alignment vertical="center"/>
    </xf>
    <xf numFmtId="174" fontId="15" fillId="0" borderId="0" xfId="1" applyNumberFormat="1" applyFont="1" applyAlignment="1" applyProtection="1"/>
    <xf numFmtId="2" fontId="5" fillId="0" borderId="0" xfId="5" applyNumberFormat="1"/>
    <xf numFmtId="176" fontId="0" fillId="0" borderId="0" xfId="0" applyNumberFormat="1"/>
    <xf numFmtId="174" fontId="15" fillId="0" borderId="0" xfId="0" applyNumberFormat="1" applyFont="1"/>
    <xf numFmtId="0" fontId="15" fillId="0" borderId="0" xfId="2" applyNumberFormat="1" applyFont="1" applyAlignment="1" applyProtection="1"/>
    <xf numFmtId="169" fontId="3" fillId="0" borderId="4" xfId="0" applyNumberFormat="1" applyFont="1" applyBorder="1"/>
    <xf numFmtId="10" fontId="19" fillId="0" borderId="0" xfId="12" applyNumberFormat="1" applyFont="1" applyAlignment="1" applyProtection="1"/>
    <xf numFmtId="10" fontId="19" fillId="9" borderId="0" xfId="12" applyNumberFormat="1" applyFont="1" applyFill="1" applyAlignment="1" applyProtection="1"/>
    <xf numFmtId="177" fontId="0" fillId="0" borderId="0" xfId="0" applyNumberFormat="1"/>
    <xf numFmtId="9" fontId="0" fillId="0" borderId="0" xfId="0" applyNumberFormat="1"/>
    <xf numFmtId="178" fontId="0" fillId="0" borderId="0" xfId="0" applyNumberFormat="1"/>
    <xf numFmtId="178" fontId="0" fillId="13" borderId="0" xfId="0" applyNumberFormat="1" applyFill="1"/>
    <xf numFmtId="0" fontId="2" fillId="4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19" fillId="0" borderId="0" xfId="11" applyFont="1" applyAlignment="1">
      <alignment horizontal="left"/>
    </xf>
    <xf numFmtId="0" fontId="16" fillId="8" borderId="8" xfId="0" applyFont="1" applyFill="1" applyBorder="1" applyAlignment="1">
      <alignment horizontal="center"/>
    </xf>
    <xf numFmtId="0" fontId="16" fillId="8" borderId="0" xfId="0" applyFont="1" applyFill="1" applyAlignment="1">
      <alignment horizontal="center" vertical="center"/>
    </xf>
    <xf numFmtId="0" fontId="16" fillId="8" borderId="8" xfId="0" applyFont="1" applyFill="1" applyBorder="1" applyAlignment="1">
      <alignment horizontal="center" vertical="center"/>
    </xf>
    <xf numFmtId="43" fontId="6" fillId="0" borderId="0" xfId="4" applyNumberFormat="1" applyBorder="1" applyAlignment="1" applyProtection="1">
      <alignment horizontal="center"/>
    </xf>
    <xf numFmtId="43" fontId="8" fillId="2" borderId="0" xfId="3" applyNumberFormat="1" applyFont="1" applyBorder="1" applyAlignment="1">
      <alignment horizontal="center"/>
    </xf>
    <xf numFmtId="179" fontId="0" fillId="0" borderId="0" xfId="0" applyNumberFormat="1"/>
    <xf numFmtId="3" fontId="0" fillId="0" borderId="1" xfId="0" applyNumberFormat="1" applyBorder="1"/>
    <xf numFmtId="0" fontId="0" fillId="0" borderId="3" xfId="0" applyBorder="1"/>
    <xf numFmtId="10" fontId="15" fillId="14" borderId="0" xfId="2" applyNumberFormat="1" applyFont="1" applyFill="1" applyAlignment="1" applyProtection="1"/>
    <xf numFmtId="10" fontId="15" fillId="14" borderId="0" xfId="0" applyNumberFormat="1" applyFont="1" applyFill="1"/>
    <xf numFmtId="43" fontId="15" fillId="14" borderId="0" xfId="0" applyNumberFormat="1" applyFont="1" applyFill="1"/>
    <xf numFmtId="174" fontId="15" fillId="11" borderId="0" xfId="0" applyNumberFormat="1" applyFont="1" applyFill="1"/>
    <xf numFmtId="166" fontId="0" fillId="14" borderId="0" xfId="0" applyNumberFormat="1" applyFill="1"/>
    <xf numFmtId="174" fontId="15" fillId="14" borderId="0" xfId="0" applyNumberFormat="1" applyFont="1" applyFill="1"/>
    <xf numFmtId="0" fontId="25" fillId="0" borderId="0" xfId="11" applyFont="1" applyAlignment="1">
      <alignment horizontal="left" indent="1"/>
    </xf>
    <xf numFmtId="166" fontId="5" fillId="0" borderId="0" xfId="0" applyNumberFormat="1" applyFont="1"/>
    <xf numFmtId="166" fontId="5" fillId="0" borderId="1" xfId="0" applyNumberFormat="1" applyFont="1" applyBorder="1"/>
    <xf numFmtId="172" fontId="25" fillId="0" borderId="0" xfId="12" applyNumberFormat="1" applyFont="1" applyAlignment="1" applyProtection="1">
      <alignment horizontal="left" indent="1"/>
    </xf>
    <xf numFmtId="171" fontId="25" fillId="11" borderId="0" xfId="13" applyNumberFormat="1" applyFont="1" applyFill="1" applyAlignment="1" applyProtection="1"/>
    <xf numFmtId="172" fontId="25" fillId="0" borderId="10" xfId="12" applyNumberFormat="1" applyFont="1" applyBorder="1" applyAlignment="1" applyProtection="1">
      <alignment horizontal="left" indent="1"/>
    </xf>
    <xf numFmtId="166" fontId="5" fillId="11" borderId="0" xfId="0" applyNumberFormat="1" applyFont="1" applyFill="1"/>
    <xf numFmtId="0" fontId="25" fillId="0" borderId="0" xfId="11" applyFont="1"/>
    <xf numFmtId="171" fontId="25" fillId="11" borderId="10" xfId="13" applyNumberFormat="1" applyFont="1" applyFill="1" applyBorder="1" applyAlignment="1" applyProtection="1"/>
    <xf numFmtId="0" fontId="26" fillId="0" borderId="0" xfId="0" applyFont="1"/>
    <xf numFmtId="2" fontId="5" fillId="0" borderId="0" xfId="5" applyNumberFormat="1" applyFont="1"/>
    <xf numFmtId="43" fontId="26" fillId="12" borderId="0" xfId="0" applyNumberFormat="1" applyFont="1" applyFill="1"/>
    <xf numFmtId="176" fontId="5" fillId="14" borderId="0" xfId="0" applyNumberFormat="1" applyFont="1" applyFill="1"/>
    <xf numFmtId="171" fontId="25" fillId="14" borderId="0" xfId="13" applyNumberFormat="1" applyFont="1" applyFill="1" applyAlignment="1" applyProtection="1"/>
    <xf numFmtId="166" fontId="5" fillId="14" borderId="1" xfId="0" applyNumberFormat="1" applyFont="1" applyFill="1" applyBorder="1"/>
    <xf numFmtId="166" fontId="5" fillId="14" borderId="0" xfId="0" applyNumberFormat="1" applyFont="1" applyFill="1"/>
    <xf numFmtId="171" fontId="25" fillId="14" borderId="10" xfId="13" applyNumberFormat="1" applyFont="1" applyFill="1" applyBorder="1" applyAlignment="1" applyProtection="1"/>
    <xf numFmtId="0" fontId="16" fillId="8" borderId="0" xfId="0" applyFont="1" applyFill="1" applyBorder="1" applyAlignment="1">
      <alignment horizontal="center"/>
    </xf>
    <xf numFmtId="171" fontId="25" fillId="14" borderId="0" xfId="13" applyNumberFormat="1" applyFont="1" applyFill="1" applyBorder="1" applyAlignment="1" applyProtection="1"/>
    <xf numFmtId="171" fontId="25" fillId="11" borderId="1" xfId="13" applyNumberFormat="1" applyFont="1" applyFill="1" applyBorder="1" applyAlignment="1" applyProtection="1"/>
    <xf numFmtId="171" fontId="25" fillId="14" borderId="1" xfId="13" applyNumberFormat="1" applyFont="1" applyFill="1" applyBorder="1" applyAlignment="1" applyProtection="1"/>
    <xf numFmtId="0" fontId="25" fillId="0" borderId="3" xfId="11" applyFont="1" applyBorder="1" applyAlignment="1">
      <alignment horizontal="left" indent="1"/>
    </xf>
    <xf numFmtId="171" fontId="5" fillId="14" borderId="10" xfId="13" applyNumberFormat="1" applyFont="1" applyFill="1" applyBorder="1" applyAlignment="1" applyProtection="1"/>
    <xf numFmtId="0" fontId="16" fillId="8" borderId="13" xfId="0" applyFont="1" applyFill="1" applyBorder="1" applyAlignment="1">
      <alignment horizontal="center"/>
    </xf>
    <xf numFmtId="171" fontId="16" fillId="0" borderId="13" xfId="6" applyNumberFormat="1" applyFont="1" applyBorder="1" applyAlignment="1" applyProtection="1">
      <alignment horizontal="center"/>
    </xf>
    <xf numFmtId="0" fontId="17" fillId="0" borderId="12" xfId="0" applyFont="1" applyBorder="1"/>
    <xf numFmtId="0" fontId="17" fillId="0" borderId="0" xfId="0" applyFont="1" applyBorder="1"/>
    <xf numFmtId="171" fontId="25" fillId="14" borderId="12" xfId="13" applyNumberFormat="1" applyFont="1" applyFill="1" applyBorder="1" applyAlignment="1" applyProtection="1"/>
    <xf numFmtId="174" fontId="25" fillId="14" borderId="12" xfId="13" applyNumberFormat="1" applyFont="1" applyFill="1" applyBorder="1" applyAlignment="1" applyProtection="1"/>
    <xf numFmtId="174" fontId="25" fillId="14" borderId="0" xfId="13" applyNumberFormat="1" applyFont="1" applyFill="1" applyBorder="1" applyAlignment="1" applyProtection="1"/>
    <xf numFmtId="171" fontId="25" fillId="14" borderId="14" xfId="13" applyNumberFormat="1" applyFont="1" applyFill="1" applyBorder="1" applyAlignment="1" applyProtection="1"/>
    <xf numFmtId="171" fontId="5" fillId="14" borderId="15" xfId="13" applyNumberFormat="1" applyFont="1" applyFill="1" applyBorder="1" applyAlignment="1" applyProtection="1"/>
    <xf numFmtId="171" fontId="25" fillId="14" borderId="15" xfId="13" applyNumberFormat="1" applyFont="1" applyFill="1" applyBorder="1" applyAlignment="1" applyProtection="1"/>
    <xf numFmtId="171" fontId="25" fillId="14" borderId="16" xfId="13" applyNumberFormat="1" applyFont="1" applyFill="1" applyBorder="1" applyAlignment="1" applyProtection="1"/>
    <xf numFmtId="171" fontId="25" fillId="14" borderId="3" xfId="13" applyNumberFormat="1" applyFont="1" applyFill="1" applyBorder="1" applyAlignment="1" applyProtection="1"/>
    <xf numFmtId="0" fontId="16" fillId="8" borderId="12" xfId="0" applyFont="1" applyFill="1" applyBorder="1" applyAlignment="1">
      <alignment horizontal="left"/>
    </xf>
    <xf numFmtId="188" fontId="16" fillId="9" borderId="0" xfId="6" applyNumberFormat="1" applyFont="1" applyFill="1" applyAlignment="1" applyProtection="1"/>
  </cellXfs>
  <cellStyles count="14">
    <cellStyle name="Accent6 2" xfId="8" xr:uid="{B06B722F-400F-4340-9BAF-D94F70EA39A4}"/>
    <cellStyle name="Accent6_Sheet4" xfId="3" xr:uid="{1CB64A7F-12B9-4493-A1A0-56A7FA25EB86}"/>
    <cellStyle name="Comma" xfId="1" builtinId="3"/>
    <cellStyle name="Comma 2" xfId="6" xr:uid="{5CF42304-AF79-49D6-A7ED-58AF54B0E0A0}"/>
    <cellStyle name="Comma 2 2" xfId="13" xr:uid="{6C3E7414-C87C-4AFD-94D8-0F2F86156AD5}"/>
    <cellStyle name="Hyperlink" xfId="4" builtinId="8"/>
    <cellStyle name="Hyperlink 2" xfId="7" xr:uid="{24DCEE78-D305-4B27-9FA9-FBA2C96ADC5E}"/>
    <cellStyle name="Normal" xfId="0" builtinId="0"/>
    <cellStyle name="Normal 2" xfId="11" xr:uid="{331B0C92-5A54-4A26-8A50-5F77C08E989A}"/>
    <cellStyle name="Normal 3" xfId="9" xr:uid="{211307EF-AA97-4659-AE54-49FE30CF8FC9}"/>
    <cellStyle name="Normal_Sheet4" xfId="5" xr:uid="{02894390-417C-478E-AAAE-D4E9B175ED3F}"/>
    <cellStyle name="Percent" xfId="2" builtinId="5"/>
    <cellStyle name="Percent 2" xfId="12" xr:uid="{E8E612BE-B007-4420-922B-CC6460B9B777}"/>
    <cellStyle name="Percent 3" xfId="10" xr:uid="{C1839030-51B9-49DA-B9B8-34B610B2C6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8549E-C49F-4D70-A5B2-2B77A447E23F}">
  <dimension ref="A2:M85"/>
  <sheetViews>
    <sheetView showGridLines="0" workbookViewId="0">
      <pane ySplit="3" topLeftCell="A75" activePane="bottomLeft" state="frozen"/>
      <selection pane="bottomLeft" activeCell="F86" sqref="F86"/>
    </sheetView>
  </sheetViews>
  <sheetFormatPr defaultRowHeight="14.5" x14ac:dyDescent="0.35"/>
  <cols>
    <col min="1" max="1" width="1.81640625" customWidth="1"/>
    <col min="2" max="2" width="34.54296875" bestFit="1" customWidth="1"/>
    <col min="3" max="5" width="12.36328125" bestFit="1" customWidth="1"/>
    <col min="6" max="6" width="11.7265625" bestFit="1" customWidth="1"/>
    <col min="7" max="7" width="12.453125" customWidth="1"/>
    <col min="8" max="8" width="12.7265625" customWidth="1"/>
    <col min="9" max="9" width="13.36328125" customWidth="1"/>
    <col min="11" max="13" width="11.81640625" bestFit="1" customWidth="1"/>
  </cols>
  <sheetData>
    <row r="2" spans="1:9" x14ac:dyDescent="0.35">
      <c r="B2" s="124" t="str">
        <f>"Historical Financial Statement - "&amp;'Data Sheet'!B1</f>
        <v>Historical Financial Statement - JSW STEEL LTD</v>
      </c>
      <c r="C2" s="124"/>
      <c r="D2" s="124"/>
      <c r="E2" s="124"/>
    </row>
    <row r="3" spans="1:9" x14ac:dyDescent="0.35">
      <c r="B3" s="7" t="s">
        <v>55</v>
      </c>
      <c r="C3" s="8">
        <f>'Data Sheet'!I16</f>
        <v>44651</v>
      </c>
      <c r="D3" s="8">
        <f>'Data Sheet'!J16</f>
        <v>45016</v>
      </c>
      <c r="E3" s="8">
        <f>'Data Sheet'!K16</f>
        <v>45382</v>
      </c>
      <c r="F3" s="8">
        <v>45717</v>
      </c>
      <c r="G3" s="8">
        <v>46082</v>
      </c>
      <c r="H3" s="8">
        <v>46447</v>
      </c>
      <c r="I3" s="8">
        <v>46813</v>
      </c>
    </row>
    <row r="4" spans="1:9" x14ac:dyDescent="0.35">
      <c r="B4" s="13"/>
      <c r="C4" s="14"/>
      <c r="D4" s="14"/>
      <c r="E4" s="14"/>
    </row>
    <row r="5" spans="1:9" x14ac:dyDescent="0.35">
      <c r="A5" t="s">
        <v>57</v>
      </c>
      <c r="B5" s="16" t="s">
        <v>56</v>
      </c>
      <c r="C5" s="16"/>
      <c r="D5" s="16"/>
      <c r="E5" s="16"/>
      <c r="F5" s="16"/>
      <c r="G5" s="16"/>
      <c r="H5" s="16"/>
      <c r="I5" s="16"/>
    </row>
    <row r="6" spans="1:9" x14ac:dyDescent="0.35">
      <c r="B6" t="s">
        <v>1</v>
      </c>
      <c r="C6" s="9">
        <f>IFERROR('Data Sheet'!I17,0)</f>
        <v>146371</v>
      </c>
      <c r="D6" s="9">
        <f>IFERROR('Data Sheet'!J17,0)</f>
        <v>165960</v>
      </c>
      <c r="E6" s="9">
        <f>IFERROR('Data Sheet'!K17,0)</f>
        <v>175006</v>
      </c>
      <c r="F6" s="114">
        <f>E6*(1+$F$68)</f>
        <v>191360.31968169325</v>
      </c>
      <c r="G6" s="114">
        <f>F6*(1+$F$68)</f>
        <v>209242.95137698043</v>
      </c>
      <c r="H6" s="114">
        <f>G6*(1+$F$68)</f>
        <v>228796.71592196825</v>
      </c>
      <c r="I6" s="114">
        <f>H6*(1+$F$68)</f>
        <v>250177.78076722744</v>
      </c>
    </row>
    <row r="7" spans="1:9" x14ac:dyDescent="0.35">
      <c r="B7" s="11" t="s">
        <v>58</v>
      </c>
      <c r="C7" s="12"/>
      <c r="D7" s="12">
        <f t="shared" ref="D7:E7" si="0">(D6/C6)-1</f>
        <v>0.13383115507853338</v>
      </c>
      <c r="E7" s="12">
        <f t="shared" si="0"/>
        <v>5.4507110147023363E-2</v>
      </c>
      <c r="F7" s="12">
        <f t="shared" ref="F7" si="1">(F6/E6)-1</f>
        <v>9.3450051322201855E-2</v>
      </c>
      <c r="G7" s="12">
        <f t="shared" ref="G7" si="2">(G6/F6)-1</f>
        <v>9.3450051322201855E-2</v>
      </c>
      <c r="H7" s="12">
        <f t="shared" ref="H7" si="3">(H6/G6)-1</f>
        <v>9.3450051322201855E-2</v>
      </c>
      <c r="I7" s="12">
        <f t="shared" ref="I7" si="4">(I6/H6)-1</f>
        <v>9.3450051322201855E-2</v>
      </c>
    </row>
    <row r="8" spans="1:9" x14ac:dyDescent="0.35">
      <c r="B8" s="11"/>
      <c r="C8" s="12"/>
      <c r="D8" s="12"/>
      <c r="E8" s="12"/>
    </row>
    <row r="9" spans="1:9" x14ac:dyDescent="0.35">
      <c r="B9" t="s">
        <v>304</v>
      </c>
      <c r="C9" s="10"/>
      <c r="D9" s="10"/>
      <c r="E9" s="9">
        <v>899</v>
      </c>
      <c r="F9" s="9">
        <v>468.03488070539419</v>
      </c>
      <c r="G9" s="9">
        <v>815.2063019350619</v>
      </c>
      <c r="H9" s="9">
        <v>2165.463644492088</v>
      </c>
      <c r="I9" s="9">
        <v>2729.0989618169988</v>
      </c>
    </row>
    <row r="10" spans="1:9" x14ac:dyDescent="0.35">
      <c r="C10" s="10"/>
      <c r="D10" s="10"/>
      <c r="E10" s="9"/>
      <c r="F10" s="9"/>
      <c r="G10" s="9"/>
      <c r="H10" s="9"/>
      <c r="I10" s="9"/>
    </row>
    <row r="11" spans="1:9" x14ac:dyDescent="0.35">
      <c r="B11" t="s">
        <v>59</v>
      </c>
      <c r="C11" s="9">
        <f>IFERROR(SUM('Data Sheet'!I18,'Data Sheet'!I20,'Data Sheet'!I21,'Data Sheet'!I22)-1*'Data Sheet'!I19,0)</f>
        <v>103778</v>
      </c>
      <c r="D11" s="9">
        <f>IFERROR(SUM('Data Sheet'!J18,'Data Sheet'!J20,'Data Sheet'!J21,'Data Sheet'!J22)-1*'Data Sheet'!J19,0)</f>
        <v>140925</v>
      </c>
      <c r="E11" s="9">
        <f>IFERROR(SUM('Data Sheet'!K18,'Data Sheet'!K20,'Data Sheet'!K21,'Data Sheet'!K22)-1*'Data Sheet'!K19,0)</f>
        <v>141101</v>
      </c>
      <c r="F11" s="114">
        <f>F6*$E$12</f>
        <v>154286.89569161399</v>
      </c>
      <c r="G11" s="114">
        <f t="shared" ref="G11:I11" si="5">G6*$E$12</f>
        <v>168705.01401233854</v>
      </c>
      <c r="H11" s="114">
        <f t="shared" si="5"/>
        <v>184470.50623010437</v>
      </c>
      <c r="I11" s="114">
        <f t="shared" si="5"/>
        <v>201709.28450474018</v>
      </c>
    </row>
    <row r="12" spans="1:9" x14ac:dyDescent="0.35">
      <c r="B12" s="11" t="s">
        <v>61</v>
      </c>
      <c r="C12" s="12">
        <f t="shared" ref="C12:I12" si="6">C11/C6</f>
        <v>0.70900656550819496</v>
      </c>
      <c r="D12" s="12">
        <f t="shared" si="6"/>
        <v>0.8491503976861895</v>
      </c>
      <c r="E12" s="12">
        <f t="shared" si="6"/>
        <v>0.80626378524164888</v>
      </c>
      <c r="F12" s="12">
        <f t="shared" si="6"/>
        <v>0.80626378524164877</v>
      </c>
      <c r="G12" s="12">
        <f t="shared" si="6"/>
        <v>0.80626378524164888</v>
      </c>
      <c r="H12" s="12">
        <f t="shared" si="6"/>
        <v>0.80626378524164888</v>
      </c>
      <c r="I12" s="12">
        <f t="shared" si="6"/>
        <v>0.80626378524164888</v>
      </c>
    </row>
    <row r="14" spans="1:9" x14ac:dyDescent="0.35">
      <c r="B14" s="22" t="s">
        <v>62</v>
      </c>
      <c r="C14" s="23">
        <f t="shared" ref="C14:D14" si="7">C6-C11</f>
        <v>42593</v>
      </c>
      <c r="D14" s="23">
        <f t="shared" si="7"/>
        <v>25035</v>
      </c>
      <c r="E14" s="23">
        <f>E6-E11+E9</f>
        <v>34804</v>
      </c>
      <c r="F14" s="23">
        <f t="shared" ref="F14:I14" si="8">F6-F11+F9</f>
        <v>37541.458870784656</v>
      </c>
      <c r="G14" s="23">
        <f t="shared" si="8"/>
        <v>41353.143666576958</v>
      </c>
      <c r="H14" s="23">
        <f t="shared" si="8"/>
        <v>46491.673336355976</v>
      </c>
      <c r="I14" s="23">
        <f t="shared" si="8"/>
        <v>51197.595224304256</v>
      </c>
    </row>
    <row r="15" spans="1:9" x14ac:dyDescent="0.35">
      <c r="B15" s="11" t="s">
        <v>60</v>
      </c>
      <c r="C15" s="12">
        <f t="shared" ref="C15:I15" si="9">C14/C6</f>
        <v>0.29099343449180509</v>
      </c>
      <c r="D15" s="12">
        <f t="shared" si="9"/>
        <v>0.15084960231381056</v>
      </c>
      <c r="E15" s="12">
        <f t="shared" si="9"/>
        <v>0.19887318149092031</v>
      </c>
      <c r="F15" s="12">
        <f t="shared" si="9"/>
        <v>0.196182045124249</v>
      </c>
      <c r="G15" s="12">
        <f t="shared" si="9"/>
        <v>0.19763219451093236</v>
      </c>
      <c r="H15" s="12">
        <f t="shared" si="9"/>
        <v>0.20320078961365901</v>
      </c>
      <c r="I15" s="12">
        <f t="shared" si="9"/>
        <v>0.2046448532211578</v>
      </c>
    </row>
    <row r="16" spans="1:9" x14ac:dyDescent="0.35">
      <c r="B16" s="11"/>
      <c r="C16" s="12"/>
      <c r="D16" s="12"/>
      <c r="E16" s="12"/>
    </row>
    <row r="17" spans="2:13" x14ac:dyDescent="0.35">
      <c r="B17" t="s">
        <v>63</v>
      </c>
      <c r="C17" s="9">
        <f>IFERROR(SUM('Data Sheet'!I23:I24),0)</f>
        <v>3479</v>
      </c>
      <c r="D17" s="9">
        <f>IFERROR(SUM('Data Sheet'!J23:J24),0)</f>
        <v>6565</v>
      </c>
      <c r="E17" s="9">
        <f>IFERROR(SUM('Data Sheet'!K23:K24),0)</f>
        <v>5748</v>
      </c>
      <c r="F17" s="114">
        <f>F6*$E$18</f>
        <v>6285.1508950000161</v>
      </c>
      <c r="G17" s="114">
        <f t="shared" ref="G17:I17" si="10">G6*$E$18</f>
        <v>6872.4985687055505</v>
      </c>
      <c r="H17" s="114">
        <f t="shared" si="10"/>
        <v>7514.7339126628431</v>
      </c>
      <c r="I17" s="114">
        <f t="shared" si="10"/>
        <v>8216.9861824738764</v>
      </c>
    </row>
    <row r="18" spans="2:13" x14ac:dyDescent="0.35">
      <c r="B18" s="11" t="s">
        <v>65</v>
      </c>
      <c r="C18" s="12">
        <f t="shared" ref="C18:I18" si="11">C17/C6</f>
        <v>2.3768369417439247E-2</v>
      </c>
      <c r="D18" s="12">
        <f t="shared" si="11"/>
        <v>3.9557724752952515E-2</v>
      </c>
      <c r="E18" s="12">
        <f t="shared" si="11"/>
        <v>3.2844588185547925E-2</v>
      </c>
      <c r="F18" s="12">
        <f t="shared" si="11"/>
        <v>3.2844588185547925E-2</v>
      </c>
      <c r="G18" s="12">
        <f t="shared" si="11"/>
        <v>3.2844588185547925E-2</v>
      </c>
      <c r="H18" s="12">
        <f t="shared" si="11"/>
        <v>3.2844588185547925E-2</v>
      </c>
      <c r="I18" s="12">
        <f t="shared" si="11"/>
        <v>3.2844588185547925E-2</v>
      </c>
    </row>
    <row r="19" spans="2:13" x14ac:dyDescent="0.35">
      <c r="F19" s="134"/>
      <c r="G19" s="134"/>
      <c r="H19" s="134"/>
      <c r="I19" s="134"/>
    </row>
    <row r="20" spans="2:13" x14ac:dyDescent="0.35">
      <c r="B20" s="22" t="s">
        <v>64</v>
      </c>
      <c r="C20" s="23">
        <f t="shared" ref="C20:E20" si="12">C14-C17</f>
        <v>39114</v>
      </c>
      <c r="D20" s="23">
        <f t="shared" si="12"/>
        <v>18470</v>
      </c>
      <c r="E20" s="23">
        <f t="shared" si="12"/>
        <v>29056</v>
      </c>
      <c r="F20" s="114">
        <f>F14-F17</f>
        <v>31256.307975784639</v>
      </c>
      <c r="G20" s="114">
        <f t="shared" ref="G20:I20" si="13">G14-G17</f>
        <v>34480.645097871406</v>
      </c>
      <c r="H20" s="114">
        <f t="shared" si="13"/>
        <v>38976.939423693133</v>
      </c>
      <c r="I20" s="114">
        <f t="shared" si="13"/>
        <v>42980.609041830379</v>
      </c>
      <c r="K20" s="120"/>
      <c r="L20" s="120"/>
      <c r="M20" s="120"/>
    </row>
    <row r="21" spans="2:13" x14ac:dyDescent="0.35">
      <c r="B21" s="11" t="s">
        <v>66</v>
      </c>
      <c r="C21" s="12">
        <f t="shared" ref="C21:I21" si="14">C20/C6</f>
        <v>0.26722506507436583</v>
      </c>
      <c r="D21" s="12">
        <f t="shared" si="14"/>
        <v>0.11129187756085804</v>
      </c>
      <c r="E21" s="12">
        <f t="shared" si="14"/>
        <v>0.1660285933053724</v>
      </c>
      <c r="F21" s="12">
        <f t="shared" si="14"/>
        <v>0.16333745693870105</v>
      </c>
      <c r="G21" s="12">
        <f t="shared" si="14"/>
        <v>0.16478760632538442</v>
      </c>
      <c r="H21" s="12">
        <f t="shared" si="14"/>
        <v>0.17035620142811109</v>
      </c>
      <c r="I21" s="12">
        <f t="shared" si="14"/>
        <v>0.17180026503560988</v>
      </c>
    </row>
    <row r="22" spans="2:13" x14ac:dyDescent="0.35">
      <c r="B22" s="11"/>
      <c r="C22" s="12"/>
      <c r="D22" s="12"/>
      <c r="E22" s="12"/>
    </row>
    <row r="23" spans="2:13" x14ac:dyDescent="0.35">
      <c r="B23" t="s">
        <v>69</v>
      </c>
      <c r="C23" s="9">
        <f>IFERROR('Data Sheet'!I26,0)</f>
        <v>6001</v>
      </c>
      <c r="D23" s="9">
        <f>IFERROR('Data Sheet'!J26,0)</f>
        <v>7474</v>
      </c>
      <c r="E23" s="9">
        <f>IFERROR('Data Sheet'!K26,0)</f>
        <v>8172</v>
      </c>
      <c r="F23" s="114">
        <f>$F$70*E50</f>
        <v>8798.5992800520817</v>
      </c>
      <c r="G23" s="114">
        <f>$F$70*F50</f>
        <v>8795.3792201492488</v>
      </c>
      <c r="H23" s="114">
        <f>$F$70*G50</f>
        <v>8856.4388590391063</v>
      </c>
      <c r="I23" s="114">
        <f>$F$70*H50</f>
        <v>8982.7325512877851</v>
      </c>
    </row>
    <row r="24" spans="2:13" x14ac:dyDescent="0.35">
      <c r="B24" s="11" t="s">
        <v>70</v>
      </c>
      <c r="C24" s="12">
        <f t="shared" ref="C24:E24" si="15">C23/C6</f>
        <v>4.0998558457617969E-2</v>
      </c>
      <c r="D24" s="12">
        <f t="shared" si="15"/>
        <v>4.5034948180284404E-2</v>
      </c>
      <c r="E24" s="12">
        <f t="shared" si="15"/>
        <v>4.6695541867135981E-2</v>
      </c>
    </row>
    <row r="25" spans="2:13" x14ac:dyDescent="0.35">
      <c r="B25" s="11"/>
      <c r="C25" s="12"/>
      <c r="D25" s="12"/>
      <c r="E25" s="12"/>
      <c r="F25" s="134"/>
      <c r="G25" s="134"/>
      <c r="H25" s="134"/>
      <c r="I25" s="134"/>
    </row>
    <row r="26" spans="2:13" x14ac:dyDescent="0.35">
      <c r="B26" s="23" t="s">
        <v>149</v>
      </c>
      <c r="C26" s="23">
        <f t="shared" ref="C26:E26" si="16">IFERROR(C20-C23,0)</f>
        <v>33113</v>
      </c>
      <c r="D26" s="23">
        <f t="shared" si="16"/>
        <v>10996</v>
      </c>
      <c r="E26" s="23">
        <f t="shared" si="16"/>
        <v>20884</v>
      </c>
      <c r="F26" s="114">
        <f>F20-F23</f>
        <v>22457.708695732559</v>
      </c>
      <c r="G26" s="114">
        <f t="shared" ref="G26:I26" si="17">G20-G23</f>
        <v>25685.265877722159</v>
      </c>
      <c r="H26" s="114">
        <f t="shared" si="17"/>
        <v>30120.500564654027</v>
      </c>
      <c r="I26" s="114">
        <f t="shared" si="17"/>
        <v>33997.876490542592</v>
      </c>
    </row>
    <row r="27" spans="2:13" x14ac:dyDescent="0.35">
      <c r="B27" s="11" t="s">
        <v>150</v>
      </c>
      <c r="C27" s="12">
        <f t="shared" ref="C27:I27" si="18">C26/C6</f>
        <v>0.22622650661674784</v>
      </c>
      <c r="D27" s="12">
        <f t="shared" si="18"/>
        <v>6.6256929380573634E-2</v>
      </c>
      <c r="E27" s="12">
        <f t="shared" si="18"/>
        <v>0.1193330514382364</v>
      </c>
      <c r="F27" s="12">
        <f t="shared" si="18"/>
        <v>0.11735823149275919</v>
      </c>
      <c r="G27" s="12">
        <f t="shared" si="18"/>
        <v>0.12275331478882918</v>
      </c>
      <c r="H27" s="12">
        <f t="shared" si="18"/>
        <v>0.13164743402578691</v>
      </c>
      <c r="I27" s="12">
        <f t="shared" si="18"/>
        <v>0.13589486798659867</v>
      </c>
    </row>
    <row r="28" spans="2:13" x14ac:dyDescent="0.35">
      <c r="B28" s="11"/>
    </row>
    <row r="29" spans="2:13" x14ac:dyDescent="0.35">
      <c r="B29" t="s">
        <v>67</v>
      </c>
      <c r="C29" s="9">
        <f>IFERROR('Data Sheet'!I27,0)</f>
        <v>4968</v>
      </c>
      <c r="D29" s="9">
        <f>IFERROR('Data Sheet'!J27,0)</f>
        <v>6902</v>
      </c>
      <c r="E29" s="9">
        <f>IFERROR('Data Sheet'!K27,0)</f>
        <v>8105</v>
      </c>
      <c r="F29" s="114">
        <f>E29</f>
        <v>8105</v>
      </c>
      <c r="G29" s="114">
        <f t="shared" ref="G29:I29" si="19">F29</f>
        <v>8105</v>
      </c>
      <c r="H29" s="114">
        <f t="shared" si="19"/>
        <v>8105</v>
      </c>
      <c r="I29" s="114">
        <f t="shared" si="19"/>
        <v>8105</v>
      </c>
    </row>
    <row r="30" spans="2:13" x14ac:dyDescent="0.35">
      <c r="B30" s="11" t="s">
        <v>68</v>
      </c>
      <c r="C30" s="12">
        <f t="shared" ref="C30:I30" si="20">C29/C6</f>
        <v>3.3941149544650238E-2</v>
      </c>
      <c r="D30" s="12">
        <f t="shared" si="20"/>
        <v>4.1588334538442996E-2</v>
      </c>
      <c r="E30" s="12">
        <f t="shared" si="20"/>
        <v>4.6312697850359415E-2</v>
      </c>
      <c r="F30" s="12">
        <f t="shared" si="20"/>
        <v>4.2354653323540492E-2</v>
      </c>
      <c r="G30" s="12">
        <f t="shared" si="20"/>
        <v>3.873487707310011E-2</v>
      </c>
      <c r="H30" s="12">
        <f t="shared" si="20"/>
        <v>3.5424459513502073E-2</v>
      </c>
      <c r="I30" s="12">
        <f t="shared" si="20"/>
        <v>3.2396961773120549E-2</v>
      </c>
    </row>
    <row r="31" spans="2:13" x14ac:dyDescent="0.35">
      <c r="F31" s="134"/>
      <c r="G31" s="134"/>
      <c r="H31" s="134"/>
      <c r="I31" s="134"/>
    </row>
    <row r="32" spans="2:13" x14ac:dyDescent="0.35">
      <c r="B32" s="23" t="s">
        <v>71</v>
      </c>
      <c r="C32" s="23">
        <f>IFERROR(SUM('Data Sheet'!I25,'Historical FS'!C26)-'Historical FS'!C29,0)</f>
        <v>29745</v>
      </c>
      <c r="D32" s="23">
        <f>IFERROR(SUM('Data Sheet'!J25,'Historical FS'!D26)-'Historical FS'!D29,0)</f>
        <v>5655</v>
      </c>
      <c r="E32" s="23">
        <f>IFERROR(SUM('Data Sheet'!K25,'Historical FS'!E26)-'Historical FS'!E29,0)</f>
        <v>14279</v>
      </c>
      <c r="F32" s="114">
        <f>F26-F29</f>
        <v>14352.708695732559</v>
      </c>
      <c r="G32" s="114">
        <f t="shared" ref="G32:I32" si="21">G26-G29</f>
        <v>17580.265877722159</v>
      </c>
      <c r="H32" s="114">
        <f t="shared" si="21"/>
        <v>22015.500564654027</v>
      </c>
      <c r="I32" s="114">
        <f t="shared" si="21"/>
        <v>25892.876490542592</v>
      </c>
    </row>
    <row r="33" spans="1:9" x14ac:dyDescent="0.35">
      <c r="B33" s="12" t="s">
        <v>72</v>
      </c>
      <c r="C33" s="12">
        <f t="shared" ref="C33:I33" si="22">C32/C6</f>
        <v>0.20321648413961782</v>
      </c>
      <c r="D33" s="12">
        <f t="shared" si="22"/>
        <v>3.4074475777295735E-2</v>
      </c>
      <c r="E33" s="12">
        <f t="shared" si="22"/>
        <v>8.1591488291829994E-2</v>
      </c>
      <c r="F33" s="12">
        <f t="shared" si="22"/>
        <v>7.5003578169218696E-2</v>
      </c>
      <c r="G33" s="12">
        <f t="shared" si="22"/>
        <v>8.4018437715729075E-2</v>
      </c>
      <c r="H33" s="12">
        <f t="shared" si="22"/>
        <v>9.6222974512284842E-2</v>
      </c>
      <c r="I33" s="12">
        <f t="shared" si="22"/>
        <v>0.10349790621347811</v>
      </c>
    </row>
    <row r="35" spans="1:9" x14ac:dyDescent="0.35">
      <c r="B35" t="s">
        <v>8</v>
      </c>
      <c r="C35" s="9">
        <f>IFERROR('Data Sheet'!I29,0)</f>
        <v>8807</v>
      </c>
      <c r="D35" s="9">
        <f>IFERROR('Data Sheet'!J29,0)</f>
        <v>1516</v>
      </c>
      <c r="E35" s="9">
        <f>IFERROR('Data Sheet'!K29,0)</f>
        <v>4407</v>
      </c>
      <c r="F35" s="114">
        <f>F32*$E$36</f>
        <v>4429.7490876177171</v>
      </c>
      <c r="G35" s="114">
        <f t="shared" ref="G35:I35" si="23">G32*$E$36</f>
        <v>5425.886387220502</v>
      </c>
      <c r="H35" s="114">
        <f t="shared" si="23"/>
        <v>6794.7553041830861</v>
      </c>
      <c r="I35" s="114">
        <f t="shared" si="23"/>
        <v>7991.4494498088943</v>
      </c>
    </row>
    <row r="36" spans="1:9" x14ac:dyDescent="0.35">
      <c r="A36" s="12"/>
      <c r="B36" s="12" t="s">
        <v>74</v>
      </c>
      <c r="C36" s="12">
        <f t="shared" ref="C36:I36" si="24">C35/C32</f>
        <v>0.29608337535720292</v>
      </c>
      <c r="D36" s="12">
        <f t="shared" si="24"/>
        <v>0.26808134394341293</v>
      </c>
      <c r="E36" s="12">
        <f t="shared" si="24"/>
        <v>0.3086350584774844</v>
      </c>
      <c r="F36" s="12">
        <f t="shared" si="24"/>
        <v>0.3086350584774844</v>
      </c>
      <c r="G36" s="12">
        <f t="shared" si="24"/>
        <v>0.3086350584774844</v>
      </c>
      <c r="H36" s="12">
        <f t="shared" si="24"/>
        <v>0.3086350584774844</v>
      </c>
      <c r="I36" s="12">
        <f t="shared" si="24"/>
        <v>0.3086350584774844</v>
      </c>
    </row>
    <row r="37" spans="1:9" x14ac:dyDescent="0.35">
      <c r="A37" s="12"/>
      <c r="B37" s="12"/>
      <c r="C37" s="12"/>
      <c r="D37" s="12"/>
      <c r="E37" s="12"/>
      <c r="F37" s="134"/>
      <c r="G37" s="134"/>
      <c r="H37" s="134"/>
      <c r="I37" s="134"/>
    </row>
    <row r="38" spans="1:9" ht="15" thickBot="1" x14ac:dyDescent="0.4">
      <c r="B38" s="25" t="s">
        <v>73</v>
      </c>
      <c r="C38" s="26">
        <f t="shared" ref="C38:E38" si="25">C32-C35</f>
        <v>20938</v>
      </c>
      <c r="D38" s="26">
        <f t="shared" si="25"/>
        <v>4139</v>
      </c>
      <c r="E38" s="26">
        <f t="shared" si="25"/>
        <v>9872</v>
      </c>
      <c r="F38" s="114">
        <f>F32-F35</f>
        <v>9922.9596081148411</v>
      </c>
      <c r="G38" s="114">
        <f t="shared" ref="G38:I38" si="26">G32-G35</f>
        <v>12154.379490501657</v>
      </c>
      <c r="H38" s="114">
        <f t="shared" si="26"/>
        <v>15220.74526047094</v>
      </c>
      <c r="I38" s="114">
        <f t="shared" si="26"/>
        <v>17901.427040733699</v>
      </c>
    </row>
    <row r="39" spans="1:9" ht="15" thickTop="1" x14ac:dyDescent="0.35">
      <c r="A39" s="12"/>
      <c r="B39" s="12" t="s">
        <v>75</v>
      </c>
      <c r="C39" s="12">
        <f t="shared" ref="C39:I39" si="27">C38/C6</f>
        <v>0.14304746158733628</v>
      </c>
      <c r="D39" s="12">
        <f t="shared" si="27"/>
        <v>2.4939744516751024E-2</v>
      </c>
      <c r="E39" s="12">
        <f t="shared" si="27"/>
        <v>5.6409494531616061E-2</v>
      </c>
      <c r="F39" s="12">
        <f t="shared" si="27"/>
        <v>5.1854844434941309E-2</v>
      </c>
      <c r="G39" s="12">
        <f t="shared" si="27"/>
        <v>5.8087402278148154E-2</v>
      </c>
      <c r="H39" s="12">
        <f t="shared" si="27"/>
        <v>6.6525191146808313E-2</v>
      </c>
      <c r="I39" s="12">
        <f t="shared" si="27"/>
        <v>7.15548238769841E-2</v>
      </c>
    </row>
    <row r="43" spans="1:9" x14ac:dyDescent="0.35">
      <c r="A43" t="s">
        <v>57</v>
      </c>
      <c r="B43" s="16" t="s">
        <v>76</v>
      </c>
      <c r="C43" s="15"/>
      <c r="D43" s="15"/>
      <c r="E43" s="15"/>
      <c r="F43" s="15"/>
      <c r="G43" s="15"/>
      <c r="H43" s="15"/>
      <c r="I43" s="15"/>
    </row>
    <row r="44" spans="1:9" x14ac:dyDescent="0.35">
      <c r="B44" t="s">
        <v>10</v>
      </c>
      <c r="C44" s="9">
        <f>'Data Sheet'!I57</f>
        <v>301</v>
      </c>
      <c r="D44" s="9">
        <f>'Data Sheet'!J57</f>
        <v>301</v>
      </c>
      <c r="E44" s="9">
        <f>'Data Sheet'!K57</f>
        <v>305</v>
      </c>
      <c r="F44" s="9">
        <f>E44</f>
        <v>305</v>
      </c>
      <c r="G44" s="9">
        <f t="shared" ref="G44:I44" si="28">F44</f>
        <v>305</v>
      </c>
      <c r="H44" s="9">
        <f t="shared" si="28"/>
        <v>305</v>
      </c>
      <c r="I44" s="9">
        <f t="shared" si="28"/>
        <v>305</v>
      </c>
    </row>
    <row r="45" spans="1:9" x14ac:dyDescent="0.35">
      <c r="B45" t="s">
        <v>11</v>
      </c>
      <c r="C45" s="9">
        <f>'Data Sheet'!I58</f>
        <v>66996</v>
      </c>
      <c r="D45" s="9">
        <f>'Data Sheet'!J58</f>
        <v>65394</v>
      </c>
      <c r="E45" s="9">
        <f>'Data Sheet'!K58</f>
        <v>77364</v>
      </c>
      <c r="F45" s="114">
        <f>E45+F38</f>
        <v>87286.959608114848</v>
      </c>
      <c r="G45" s="114">
        <f>F45+G38</f>
        <v>99441.339098616503</v>
      </c>
      <c r="H45" s="114">
        <f>G45+H38</f>
        <v>114662.08435908744</v>
      </c>
      <c r="I45" s="114">
        <f>H45+I38</f>
        <v>132563.51139982115</v>
      </c>
    </row>
    <row r="46" spans="1:9" x14ac:dyDescent="0.35">
      <c r="B46" t="s">
        <v>35</v>
      </c>
      <c r="C46" s="9">
        <f>'Data Sheet'!I59</f>
        <v>72237</v>
      </c>
      <c r="D46" s="9">
        <f>'Data Sheet'!J59</f>
        <v>80853</v>
      </c>
      <c r="E46" s="9">
        <f>'Data Sheet'!K59</f>
        <v>87984</v>
      </c>
      <c r="F46" s="9">
        <f>E46</f>
        <v>87984</v>
      </c>
      <c r="G46" s="9">
        <f t="shared" ref="G46:I46" si="29">F46</f>
        <v>87984</v>
      </c>
      <c r="H46" s="9">
        <f t="shared" si="29"/>
        <v>87984</v>
      </c>
      <c r="I46" s="9">
        <f t="shared" si="29"/>
        <v>87984</v>
      </c>
    </row>
    <row r="47" spans="1:9" x14ac:dyDescent="0.35">
      <c r="B47" t="s">
        <v>36</v>
      </c>
      <c r="C47" s="9">
        <f>'Data Sheet'!I60</f>
        <v>56951</v>
      </c>
      <c r="D47" s="9">
        <f>'Data Sheet'!J60</f>
        <v>63991</v>
      </c>
      <c r="E47" s="9">
        <f>'Data Sheet'!K60</f>
        <v>62245</v>
      </c>
      <c r="F47" s="9">
        <f>E47</f>
        <v>62245</v>
      </c>
      <c r="G47" s="9">
        <f t="shared" ref="G47:I47" si="30">F47</f>
        <v>62245</v>
      </c>
      <c r="H47" s="9">
        <f t="shared" si="30"/>
        <v>62245</v>
      </c>
      <c r="I47" s="9">
        <f t="shared" si="30"/>
        <v>62245</v>
      </c>
    </row>
    <row r="48" spans="1:9" x14ac:dyDescent="0.35">
      <c r="B48" s="17" t="s">
        <v>77</v>
      </c>
      <c r="C48" s="20">
        <f>'Data Sheet'!I61</f>
        <v>196485</v>
      </c>
      <c r="D48" s="20">
        <f>'Data Sheet'!J61</f>
        <v>210539</v>
      </c>
      <c r="E48" s="20">
        <f>'Data Sheet'!K61</f>
        <v>227898</v>
      </c>
      <c r="F48" s="20">
        <f>SUM(F44:F47)</f>
        <v>237820.95960811485</v>
      </c>
      <c r="G48" s="20">
        <f>SUM(G44:G47)</f>
        <v>249975.3390986165</v>
      </c>
      <c r="H48" s="20">
        <f>SUM(H44:H47)</f>
        <v>265196.08435908746</v>
      </c>
      <c r="I48" s="20">
        <f>SUM(I44:I47)</f>
        <v>283097.51139982115</v>
      </c>
    </row>
    <row r="49" spans="2:9" x14ac:dyDescent="0.35">
      <c r="C49" s="9"/>
      <c r="D49" s="9"/>
      <c r="E49" s="9"/>
    </row>
    <row r="50" spans="2:9" x14ac:dyDescent="0.35">
      <c r="B50" t="s">
        <v>78</v>
      </c>
      <c r="C50" s="9">
        <f>'Data Sheet'!I62</f>
        <v>99880</v>
      </c>
      <c r="D50" s="9">
        <f>'Data Sheet'!J62</f>
        <v>104452</v>
      </c>
      <c r="E50" s="9">
        <f>'Data Sheet'!K62</f>
        <v>112461</v>
      </c>
      <c r="F50" s="114">
        <f>E50+F80-F23</f>
        <v>112419.84218098744</v>
      </c>
      <c r="G50" s="114">
        <f>F50+G80-G23</f>
        <v>113200.28777586303</v>
      </c>
      <c r="H50" s="114">
        <f>G50+H80-H23</f>
        <v>114814.53505226526</v>
      </c>
      <c r="I50" s="114">
        <f>H50+I80-I23</f>
        <v>117280.97479315446</v>
      </c>
    </row>
    <row r="51" spans="2:9" x14ac:dyDescent="0.35">
      <c r="B51" t="s">
        <v>14</v>
      </c>
      <c r="C51" s="9">
        <f>'Data Sheet'!I63</f>
        <v>16905</v>
      </c>
      <c r="D51" s="9">
        <f>'Data Sheet'!J63</f>
        <v>22166</v>
      </c>
      <c r="E51" s="9">
        <f>'Data Sheet'!K63</f>
        <v>29676</v>
      </c>
      <c r="F51" s="9">
        <v>29676</v>
      </c>
      <c r="G51" s="9">
        <v>29676</v>
      </c>
      <c r="H51" s="9">
        <v>29676</v>
      </c>
      <c r="I51" s="9">
        <v>29676</v>
      </c>
    </row>
    <row r="52" spans="2:9" x14ac:dyDescent="0.35">
      <c r="B52" t="s">
        <v>15</v>
      </c>
      <c r="C52" s="9">
        <f>'Data Sheet'!I64</f>
        <v>4940</v>
      </c>
      <c r="D52" s="9">
        <f>'Data Sheet'!J64</f>
        <v>4806</v>
      </c>
      <c r="E52" s="9">
        <f>'Data Sheet'!K64</f>
        <v>7246</v>
      </c>
      <c r="F52" s="9">
        <f>E52</f>
        <v>7246</v>
      </c>
      <c r="G52" s="9">
        <f t="shared" ref="G52:I52" si="31">F52</f>
        <v>7246</v>
      </c>
      <c r="H52" s="9">
        <f t="shared" si="31"/>
        <v>7246</v>
      </c>
      <c r="I52" s="9">
        <f t="shared" si="31"/>
        <v>7246</v>
      </c>
    </row>
    <row r="53" spans="2:9" x14ac:dyDescent="0.35">
      <c r="B53" t="s">
        <v>37</v>
      </c>
      <c r="C53" s="9">
        <f>IFERROR('Data Sheet'!I65-SUM('Data Sheet'!I67:I69),0)</f>
        <v>16133</v>
      </c>
      <c r="D53" s="9">
        <f>IFERROR('Data Sheet'!J65-SUM('Data Sheet'!J67:J69),0)</f>
        <v>18132</v>
      </c>
      <c r="E53" s="9">
        <f>IFERROR('Data Sheet'!K65-SUM('Data Sheet'!K67:K69),0)</f>
        <v>20804</v>
      </c>
      <c r="F53" s="9">
        <f>E53</f>
        <v>20804</v>
      </c>
      <c r="G53" s="9">
        <f t="shared" ref="G53:I53" si="32">F53</f>
        <v>20804</v>
      </c>
      <c r="H53" s="9">
        <f t="shared" si="32"/>
        <v>20804</v>
      </c>
      <c r="I53" s="9">
        <f t="shared" si="32"/>
        <v>20804</v>
      </c>
    </row>
    <row r="54" spans="2:9" x14ac:dyDescent="0.35">
      <c r="B54" s="17" t="s">
        <v>79</v>
      </c>
      <c r="C54" s="20">
        <f t="shared" ref="C54:I54" si="33">IFERROR(SUM(C50:C53),0)</f>
        <v>137858</v>
      </c>
      <c r="D54" s="20">
        <f t="shared" si="33"/>
        <v>149556</v>
      </c>
      <c r="E54" s="20">
        <f t="shared" si="33"/>
        <v>170187</v>
      </c>
      <c r="F54" s="20">
        <f t="shared" si="33"/>
        <v>170145.84218098744</v>
      </c>
      <c r="G54" s="20">
        <f t="shared" si="33"/>
        <v>170926.28777586302</v>
      </c>
      <c r="H54" s="20">
        <f t="shared" si="33"/>
        <v>172540.53505226527</v>
      </c>
      <c r="I54" s="20">
        <f t="shared" si="33"/>
        <v>175006.97479315446</v>
      </c>
    </row>
    <row r="55" spans="2:9" x14ac:dyDescent="0.35">
      <c r="C55" s="9"/>
      <c r="D55" s="9"/>
      <c r="E55" s="9"/>
    </row>
    <row r="56" spans="2:9" x14ac:dyDescent="0.35">
      <c r="B56" t="s">
        <v>42</v>
      </c>
      <c r="C56" s="9">
        <f>'Data Sheet'!I67</f>
        <v>7457</v>
      </c>
      <c r="D56" s="9">
        <f>'Data Sheet'!J67</f>
        <v>7134</v>
      </c>
      <c r="E56" s="9">
        <f>'Data Sheet'!K67</f>
        <v>7548</v>
      </c>
      <c r="F56" s="114">
        <f>(F82*(F6/365)*2)-E56</f>
        <v>8506.0336535125662</v>
      </c>
      <c r="G56" s="114">
        <f>(G82*(G6/365)*2)-F56</f>
        <v>9048.2502688491059</v>
      </c>
      <c r="H56" s="114">
        <f>(H82*(H6/365)*2)-G56</f>
        <v>10146.482386981768</v>
      </c>
      <c r="I56" s="114">
        <f>(I82*(I6/365)*2)-H56</f>
        <v>10841.999020652444</v>
      </c>
    </row>
    <row r="57" spans="2:9" x14ac:dyDescent="0.35">
      <c r="B57" t="s">
        <v>29</v>
      </c>
      <c r="C57" s="9">
        <f>'Data Sheet'!I68</f>
        <v>33787</v>
      </c>
      <c r="D57" s="9">
        <f>'Data Sheet'!J68</f>
        <v>33135</v>
      </c>
      <c r="E57" s="9">
        <f>'Data Sheet'!K68</f>
        <v>37815</v>
      </c>
      <c r="F57" s="114">
        <f>(F84*(F11/365)*2)-E57</f>
        <v>39765.281141310217</v>
      </c>
      <c r="G57" s="114">
        <f>(G84*(G11/365)*2)-F57</f>
        <v>45064.881254246284</v>
      </c>
      <c r="H57" s="114">
        <f>(H84*(H11/365)*2)-G57</f>
        <v>47692.664170845703</v>
      </c>
      <c r="I57" s="114">
        <f>(I84*(I11/365)*2)-H57</f>
        <v>53733.078634742604</v>
      </c>
    </row>
    <row r="58" spans="2:9" x14ac:dyDescent="0.35">
      <c r="B58" t="s">
        <v>51</v>
      </c>
      <c r="C58" s="9">
        <f>'Data Sheet'!I69</f>
        <v>17383</v>
      </c>
      <c r="D58" s="9">
        <f>'Data Sheet'!J69</f>
        <v>20714</v>
      </c>
      <c r="E58" s="9">
        <f>'Data Sheet'!K69</f>
        <v>12348</v>
      </c>
      <c r="F58" s="19">
        <f>'Cash Flow'!G42</f>
        <v>9417.355968757447</v>
      </c>
      <c r="G58" s="19">
        <f>'Cash Flow'!H42</f>
        <v>22794.41819631304</v>
      </c>
      <c r="H58" s="19">
        <f>'Cash Flow'!I42</f>
        <v>29254.886383287081</v>
      </c>
      <c r="I58" s="19">
        <f>'Cash Flow'!J42</f>
        <v>48315.274714514453</v>
      </c>
    </row>
    <row r="59" spans="2:9" x14ac:dyDescent="0.35">
      <c r="B59" s="17" t="s">
        <v>80</v>
      </c>
      <c r="C59" s="20">
        <f t="shared" ref="C59:I59" si="34">IFERROR(SUM(C56:C58),0)</f>
        <v>58627</v>
      </c>
      <c r="D59" s="20">
        <f t="shared" si="34"/>
        <v>60983</v>
      </c>
      <c r="E59" s="20">
        <f t="shared" si="34"/>
        <v>57711</v>
      </c>
      <c r="F59" s="20">
        <f t="shared" si="34"/>
        <v>57688.67076358023</v>
      </c>
      <c r="G59" s="20">
        <f t="shared" si="34"/>
        <v>76907.549719408431</v>
      </c>
      <c r="H59" s="20">
        <f t="shared" si="34"/>
        <v>87094.03294111455</v>
      </c>
      <c r="I59" s="20">
        <f t="shared" si="34"/>
        <v>112890.35236990949</v>
      </c>
    </row>
    <row r="60" spans="2:9" x14ac:dyDescent="0.35">
      <c r="C60" s="9"/>
      <c r="D60" s="9"/>
      <c r="E60" s="9"/>
    </row>
    <row r="61" spans="2:9" x14ac:dyDescent="0.35">
      <c r="B61" s="17" t="s">
        <v>81</v>
      </c>
      <c r="C61" s="20">
        <f t="shared" ref="C61:I61" si="35">IFERROR(SUM(C59,C54),0)</f>
        <v>196485</v>
      </c>
      <c r="D61" s="20">
        <f t="shared" si="35"/>
        <v>210539</v>
      </c>
      <c r="E61" s="20">
        <f t="shared" si="35"/>
        <v>227898</v>
      </c>
      <c r="F61" s="20">
        <f t="shared" si="35"/>
        <v>227834.51294456766</v>
      </c>
      <c r="G61" s="20">
        <f t="shared" si="35"/>
        <v>247833.83749527147</v>
      </c>
      <c r="H61" s="20">
        <f t="shared" si="35"/>
        <v>259634.56799337984</v>
      </c>
      <c r="I61" s="20">
        <f t="shared" si="35"/>
        <v>287897.32716306392</v>
      </c>
    </row>
    <row r="63" spans="2:9" x14ac:dyDescent="0.35">
      <c r="B63" s="17" t="s">
        <v>82</v>
      </c>
    </row>
    <row r="67" spans="2:9" x14ac:dyDescent="0.35">
      <c r="B67" s="109" t="s">
        <v>278</v>
      </c>
      <c r="C67" s="54"/>
      <c r="D67" s="54"/>
      <c r="E67" s="54"/>
      <c r="F67" s="54"/>
      <c r="G67" s="54"/>
      <c r="H67" s="54"/>
    </row>
    <row r="68" spans="2:9" x14ac:dyDescent="0.35">
      <c r="B68" s="54" t="s">
        <v>279</v>
      </c>
      <c r="C68" s="54"/>
      <c r="D68" s="54"/>
      <c r="E68" s="54"/>
      <c r="F68" s="135">
        <f>((E6/C6)^(1/2))-1</f>
        <v>9.3450051322201855E-2</v>
      </c>
      <c r="G68" s="136">
        <f>F68</f>
        <v>9.3450051322201855E-2</v>
      </c>
      <c r="H68" s="136">
        <f>F68</f>
        <v>9.3450051322201855E-2</v>
      </c>
      <c r="I68" s="136">
        <f>G68</f>
        <v>9.3450051322201855E-2</v>
      </c>
    </row>
    <row r="69" spans="2:9" x14ac:dyDescent="0.35">
      <c r="B69" s="54" t="s">
        <v>2</v>
      </c>
      <c r="C69" s="110">
        <f>SUM(C11,C17)/C6</f>
        <v>0.73277493492563417</v>
      </c>
      <c r="D69" s="110">
        <f>SUM(D11,D17)/D6</f>
        <v>0.88870812243914199</v>
      </c>
      <c r="E69" s="110">
        <f>SUM(E11,E17)/E6</f>
        <v>0.8391083734271968</v>
      </c>
      <c r="F69" s="135">
        <f>SUM(F11,F17)/F6</f>
        <v>0.8391083734271968</v>
      </c>
      <c r="G69" s="135">
        <f>SUM(G11,G17)/G6</f>
        <v>0.8391083734271968</v>
      </c>
      <c r="H69" s="135">
        <f>SUM(H11,H17)/H6</f>
        <v>0.8391083734271968</v>
      </c>
      <c r="I69" s="135">
        <f>SUM(I11,I17)/I6</f>
        <v>0.8391083734271968</v>
      </c>
    </row>
    <row r="70" spans="2:9" x14ac:dyDescent="0.35">
      <c r="B70" s="54" t="s">
        <v>280</v>
      </c>
      <c r="C70" s="116"/>
      <c r="D70" s="110">
        <f>D23/C50</f>
        <v>7.4829795754905892E-2</v>
      </c>
      <c r="E70" s="110">
        <f>E23/D50</f>
        <v>7.8236893501321181E-2</v>
      </c>
      <c r="F70" s="136">
        <f>E70</f>
        <v>7.8236893501321181E-2</v>
      </c>
      <c r="G70" s="136">
        <f>E70</f>
        <v>7.8236893501321181E-2</v>
      </c>
      <c r="H70" s="136">
        <f>E70</f>
        <v>7.8236893501321181E-2</v>
      </c>
      <c r="I70" s="136">
        <f>F70</f>
        <v>7.8236893501321181E-2</v>
      </c>
    </row>
    <row r="71" spans="2:9" x14ac:dyDescent="0.35">
      <c r="B71" s="54" t="s">
        <v>281</v>
      </c>
      <c r="C71" s="110">
        <f>C29/C46</f>
        <v>6.8773620166950461E-2</v>
      </c>
      <c r="D71" s="110">
        <f>D29/D46</f>
        <v>8.5364797842999024E-2</v>
      </c>
      <c r="E71" s="110">
        <f>E29/E46</f>
        <v>9.211902164029824E-2</v>
      </c>
      <c r="F71" s="136">
        <f>E71</f>
        <v>9.211902164029824E-2</v>
      </c>
      <c r="G71" s="136">
        <f>E71</f>
        <v>9.211902164029824E-2</v>
      </c>
      <c r="H71" s="136">
        <f>E71</f>
        <v>9.211902164029824E-2</v>
      </c>
      <c r="I71" s="136">
        <f>F71</f>
        <v>9.211902164029824E-2</v>
      </c>
    </row>
    <row r="72" spans="2:9" x14ac:dyDescent="0.35">
      <c r="B72" s="54" t="s">
        <v>282</v>
      </c>
      <c r="C72" s="110">
        <f>C35/C32</f>
        <v>0.29608337535720292</v>
      </c>
      <c r="D72" s="110">
        <f>D35/D32</f>
        <v>0.26808134394341293</v>
      </c>
      <c r="E72" s="110">
        <f>E35/E32</f>
        <v>0.3086350584774844</v>
      </c>
      <c r="F72" s="136">
        <f>E72</f>
        <v>0.3086350584774844</v>
      </c>
      <c r="G72" s="136">
        <f t="shared" ref="G72:H72" si="36">F72</f>
        <v>0.3086350584774844</v>
      </c>
      <c r="H72" s="136">
        <f t="shared" si="36"/>
        <v>0.3086350584774844</v>
      </c>
      <c r="I72" s="136">
        <f t="shared" ref="I72" si="37">H72</f>
        <v>0.3086350584774844</v>
      </c>
    </row>
    <row r="73" spans="2:9" x14ac:dyDescent="0.35">
      <c r="B73" s="54" t="s">
        <v>283</v>
      </c>
      <c r="C73" s="110">
        <f>'Raw Balance Sheet'!D12/'Historical FS'!C6</f>
        <v>8.4579595684937583E-3</v>
      </c>
      <c r="D73" s="110">
        <f>'Raw Balance Sheet'!E12/'Historical FS'!D6</f>
        <v>8.0983369486623286E-3</v>
      </c>
      <c r="E73" s="110">
        <f>'Raw Balance Sheet'!F12/'Historical FS'!E6</f>
        <v>1.2039587214152658E-2</v>
      </c>
      <c r="F73" s="136">
        <f>E73</f>
        <v>1.2039587214152658E-2</v>
      </c>
      <c r="G73" s="136">
        <f t="shared" ref="G73:H73" si="38">F73</f>
        <v>1.2039587214152658E-2</v>
      </c>
      <c r="H73" s="136">
        <f t="shared" si="38"/>
        <v>1.2039587214152658E-2</v>
      </c>
      <c r="I73" s="136">
        <f t="shared" ref="I73" si="39">H73</f>
        <v>1.2039587214152658E-2</v>
      </c>
    </row>
    <row r="74" spans="2:9" x14ac:dyDescent="0.35">
      <c r="B74" s="54" t="s">
        <v>284</v>
      </c>
      <c r="C74" s="113">
        <v>301.66035829999998</v>
      </c>
      <c r="D74" s="113">
        <v>302.04564190000002</v>
      </c>
      <c r="E74" s="113">
        <v>305.26023190000001</v>
      </c>
      <c r="F74" s="137">
        <f>E74</f>
        <v>305.26023190000001</v>
      </c>
      <c r="G74" s="137">
        <f t="shared" ref="G74:H74" si="40">F74</f>
        <v>305.26023190000001</v>
      </c>
      <c r="H74" s="137">
        <f t="shared" si="40"/>
        <v>305.26023190000001</v>
      </c>
      <c r="I74" s="137">
        <f t="shared" ref="I74" si="41">H74</f>
        <v>305.26023190000001</v>
      </c>
    </row>
    <row r="75" spans="2:9" x14ac:dyDescent="0.35">
      <c r="B75" s="54"/>
      <c r="C75" s="54"/>
      <c r="D75" s="112"/>
      <c r="E75" s="112"/>
      <c r="F75" s="138"/>
      <c r="G75" s="138"/>
      <c r="H75" s="138"/>
    </row>
    <row r="78" spans="2:9" x14ac:dyDescent="0.35">
      <c r="B78" s="109" t="s">
        <v>278</v>
      </c>
      <c r="C78" s="111"/>
      <c r="D78" s="111"/>
      <c r="E78" s="111"/>
      <c r="F78" s="111"/>
      <c r="G78" s="111"/>
      <c r="H78" s="111"/>
    </row>
    <row r="79" spans="2:9" x14ac:dyDescent="0.35">
      <c r="B79" s="111" t="s">
        <v>295</v>
      </c>
      <c r="C79" s="111"/>
      <c r="D79" s="112"/>
      <c r="E79" s="115"/>
      <c r="F79" s="111"/>
      <c r="G79" s="111"/>
      <c r="H79" s="111"/>
    </row>
    <row r="80" spans="2:9" x14ac:dyDescent="0.35">
      <c r="B80" s="111" t="s">
        <v>296</v>
      </c>
      <c r="C80" s="111"/>
      <c r="D80" s="9">
        <f>D50-C50</f>
        <v>4572</v>
      </c>
      <c r="E80" s="9">
        <f>E50-D50</f>
        <v>8009</v>
      </c>
      <c r="F80" s="139">
        <f>F81*F6</f>
        <v>8757.4414610395143</v>
      </c>
      <c r="G80" s="139">
        <f>G81*G6</f>
        <v>9575.8248150248364</v>
      </c>
      <c r="H80" s="139">
        <f>H81*H6</f>
        <v>10470.686135441321</v>
      </c>
      <c r="I80" s="139">
        <f>I81*I6</f>
        <v>11449.172292176982</v>
      </c>
    </row>
    <row r="81" spans="2:9" x14ac:dyDescent="0.35">
      <c r="B81" s="111" t="s">
        <v>297</v>
      </c>
      <c r="C81" s="110"/>
      <c r="D81" s="110">
        <f>D80/D6</f>
        <v>2.7548806941431671E-2</v>
      </c>
      <c r="E81" s="110">
        <f>E80/E6</f>
        <v>4.5764145229306427E-2</v>
      </c>
      <c r="F81" s="136">
        <f>E81</f>
        <v>4.5764145229306427E-2</v>
      </c>
      <c r="G81" s="136">
        <f t="shared" ref="G81:I81" si="42">F81</f>
        <v>4.5764145229306427E-2</v>
      </c>
      <c r="H81" s="136">
        <f t="shared" si="42"/>
        <v>4.5764145229306427E-2</v>
      </c>
      <c r="I81" s="136">
        <f t="shared" si="42"/>
        <v>4.5764145229306427E-2</v>
      </c>
    </row>
    <row r="82" spans="2:9" x14ac:dyDescent="0.35">
      <c r="B82" s="111" t="s">
        <v>298</v>
      </c>
      <c r="C82" s="111"/>
      <c r="D82" s="112">
        <f>(AVERAGE(C56:D56)/(D6/365))</f>
        <v>16.045176548565919</v>
      </c>
      <c r="E82" s="112">
        <f>(AVERAGE(D56:E56)/(E6/365))</f>
        <v>15.310703633018296</v>
      </c>
      <c r="F82" s="140">
        <f>E82</f>
        <v>15.310703633018296</v>
      </c>
      <c r="G82" s="140">
        <f t="shared" ref="G82:I82" si="43">F82</f>
        <v>15.310703633018296</v>
      </c>
      <c r="H82" s="140">
        <f t="shared" si="43"/>
        <v>15.310703633018296</v>
      </c>
      <c r="I82" s="140">
        <f t="shared" si="43"/>
        <v>15.310703633018296</v>
      </c>
    </row>
    <row r="83" spans="2:9" x14ac:dyDescent="0.35">
      <c r="B83" s="111" t="s">
        <v>130</v>
      </c>
      <c r="C83" s="111"/>
      <c r="D83" s="112">
        <f>AVERAGE('Raw Balance Sheet'!D13:E13)/('Historical FS'!D6/365)</f>
        <v>75.977886237647624</v>
      </c>
      <c r="E83" s="112">
        <f>AVERAGE('Raw Balance Sheet'!E13:F13)/('Historical FS'!E6/365)</f>
        <v>74.63264116658857</v>
      </c>
      <c r="F83" s="140">
        <f>E83</f>
        <v>74.63264116658857</v>
      </c>
      <c r="G83" s="140">
        <f t="shared" ref="G83:I83" si="44">F83</f>
        <v>74.63264116658857</v>
      </c>
      <c r="H83" s="140">
        <f t="shared" si="44"/>
        <v>74.63264116658857</v>
      </c>
      <c r="I83" s="140">
        <f t="shared" si="44"/>
        <v>74.63264116658857</v>
      </c>
    </row>
    <row r="84" spans="2:9" x14ac:dyDescent="0.35">
      <c r="B84" s="111" t="s">
        <v>131</v>
      </c>
      <c r="C84" s="111"/>
      <c r="D84" s="112">
        <f>AVERAGE(C57:D57)/(D11/365)</f>
        <v>86.664999113003361</v>
      </c>
      <c r="E84" s="112">
        <f>AVERAGE(D57:E57)/(E11/365)</f>
        <v>91.766713205434399</v>
      </c>
      <c r="F84" s="140">
        <f>E84</f>
        <v>91.766713205434399</v>
      </c>
      <c r="G84" s="140">
        <f t="shared" ref="G84:I84" si="45">F84</f>
        <v>91.766713205434399</v>
      </c>
      <c r="H84" s="140">
        <f t="shared" si="45"/>
        <v>91.766713205434399</v>
      </c>
      <c r="I84" s="140">
        <f t="shared" si="45"/>
        <v>91.766713205434399</v>
      </c>
    </row>
    <row r="85" spans="2:9" x14ac:dyDescent="0.35">
      <c r="B85" s="111"/>
      <c r="C85" s="115"/>
      <c r="D85" s="115"/>
      <c r="E85" s="115"/>
      <c r="F85" s="115"/>
      <c r="G85" s="115"/>
      <c r="H85" s="115"/>
    </row>
  </sheetData>
  <mergeCells count="1">
    <mergeCell ref="B2:E2"/>
  </mergeCells>
  <pageMargins left="0.7" right="0.7" top="0.75" bottom="0.75" header="0.3" footer="0.3"/>
  <ignoredErrors>
    <ignoredError sqref="C17:D17" formulaRange="1"/>
    <ignoredError sqref="E14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EAA15-DB23-4E64-A486-335F5BCFAFFC}">
  <sheetPr>
    <tabColor theme="8" tint="-0.249977111117893"/>
  </sheetPr>
  <dimension ref="B3:J48"/>
  <sheetViews>
    <sheetView showGridLines="0" topLeftCell="A32" workbookViewId="0">
      <selection activeCell="L16" sqref="L16"/>
    </sheetView>
  </sheetViews>
  <sheetFormatPr defaultRowHeight="14.5" x14ac:dyDescent="0.35"/>
  <cols>
    <col min="1" max="1" width="1.6328125" customWidth="1"/>
    <col min="2" max="2" width="51.81640625" bestFit="1" customWidth="1"/>
    <col min="3" max="3" width="6.90625" bestFit="1" customWidth="1"/>
  </cols>
  <sheetData>
    <row r="3" spans="2:10" x14ac:dyDescent="0.35">
      <c r="C3" s="18">
        <v>44256</v>
      </c>
      <c r="D3" s="18">
        <v>44621</v>
      </c>
      <c r="E3" s="18">
        <v>44986</v>
      </c>
      <c r="F3" s="18">
        <v>45352</v>
      </c>
      <c r="G3" s="8">
        <v>45717</v>
      </c>
      <c r="H3" s="8">
        <v>46082</v>
      </c>
      <c r="I3" s="8">
        <v>46447</v>
      </c>
      <c r="J3" s="8">
        <v>46813</v>
      </c>
    </row>
    <row r="4" spans="2:10" x14ac:dyDescent="0.35">
      <c r="B4" s="17" t="s">
        <v>83</v>
      </c>
      <c r="C4" s="21">
        <v>18789</v>
      </c>
      <c r="D4" s="21">
        <v>26270</v>
      </c>
      <c r="E4" s="21">
        <v>23323</v>
      </c>
      <c r="F4" s="21">
        <v>12078</v>
      </c>
      <c r="G4" s="21">
        <f>SUM(G5,G11,G12)</f>
        <v>17781.762549091567</v>
      </c>
      <c r="H4" s="21">
        <f>SUM(H5,H11,H12)</f>
        <v>30242.68074064537</v>
      </c>
      <c r="I4" s="21">
        <f>SUM(I5,I11,I12)</f>
        <v>22870.690677923274</v>
      </c>
      <c r="J4" s="21">
        <f>SUM(J5,J11,J12)</f>
        <v>35885.461661587353</v>
      </c>
    </row>
    <row r="5" spans="2:10" x14ac:dyDescent="0.35">
      <c r="B5" t="s">
        <v>84</v>
      </c>
      <c r="C5" s="19">
        <v>19455</v>
      </c>
      <c r="D5" s="19">
        <v>38913</v>
      </c>
      <c r="E5" s="19">
        <v>20856</v>
      </c>
      <c r="F5" s="19">
        <v>28472</v>
      </c>
      <c r="G5" s="132">
        <f>'Historical FS'!F20</f>
        <v>31256.307975784639</v>
      </c>
      <c r="H5">
        <f>'Historical FS'!G20</f>
        <v>34480.645097871406</v>
      </c>
      <c r="I5">
        <f>'Historical FS'!H20</f>
        <v>38976.939423693133</v>
      </c>
      <c r="J5">
        <f>'Historical FS'!I20</f>
        <v>42980.609041830379</v>
      </c>
    </row>
    <row r="6" spans="2:10" x14ac:dyDescent="0.35">
      <c r="B6" t="s">
        <v>42</v>
      </c>
      <c r="C6" s="19">
        <v>72</v>
      </c>
      <c r="D6" s="19">
        <v>-1884</v>
      </c>
      <c r="E6" s="19">
        <v>317</v>
      </c>
      <c r="F6" s="19">
        <v>-154</v>
      </c>
      <c r="G6">
        <f>-('Historical FS'!F56-'Historical FS'!E56)</f>
        <v>-958.03365351256616</v>
      </c>
      <c r="H6">
        <f>-('Historical FS'!G56-'Historical FS'!F56)</f>
        <v>-542.21661533653969</v>
      </c>
      <c r="I6">
        <f>-('Historical FS'!H56-'Historical FS'!G56)</f>
        <v>-1098.2321181326624</v>
      </c>
      <c r="J6">
        <f>-('Historical FS'!I56-'Historical FS'!H56)</f>
        <v>-695.51663367067522</v>
      </c>
    </row>
    <row r="7" spans="2:10" x14ac:dyDescent="0.35">
      <c r="B7" t="s">
        <v>29</v>
      </c>
      <c r="C7" s="19">
        <v>-335</v>
      </c>
      <c r="D7" s="19">
        <v>-15593</v>
      </c>
      <c r="E7" s="19">
        <v>704</v>
      </c>
      <c r="F7" s="19">
        <v>-3284</v>
      </c>
      <c r="G7">
        <f>-('Historical FS'!F57-'Historical FS'!E57)</f>
        <v>-1950.2811413102172</v>
      </c>
      <c r="H7">
        <f>-('Historical FS'!G57-'Historical FS'!F57)</f>
        <v>-5299.6001129360666</v>
      </c>
      <c r="I7">
        <f>-('Historical FS'!H57-'Historical FS'!G57)</f>
        <v>-2627.782916599419</v>
      </c>
      <c r="J7">
        <f>-('Historical FS'!I57-'Historical FS'!H57)</f>
        <v>-6040.414463896901</v>
      </c>
    </row>
    <row r="8" spans="2:10" x14ac:dyDescent="0.35">
      <c r="B8" t="s">
        <v>85</v>
      </c>
      <c r="C8" s="19">
        <v>1306</v>
      </c>
      <c r="D8" s="19">
        <v>13013</v>
      </c>
      <c r="E8" s="19">
        <v>4965</v>
      </c>
      <c r="F8" s="19">
        <v>-7235</v>
      </c>
      <c r="G8">
        <f>'Raw Balance Sheet'!G13-'Raw Balance Sheet'!F13</f>
        <v>-3634.9943952925605</v>
      </c>
      <c r="H8">
        <f>'Raw Balance Sheet'!H13-'Raw Balance Sheet'!G13</f>
        <v>9531.2259072270826</v>
      </c>
      <c r="I8">
        <f>'Raw Balance Sheet'!I13-'Raw Balance Sheet'!H13</f>
        <v>-3083.9912578946823</v>
      </c>
      <c r="J8">
        <f>'Raw Balance Sheet'!J13-'Raw Balance Sheet'!I13</f>
        <v>10133.720316093459</v>
      </c>
    </row>
    <row r="9" spans="2:10" x14ac:dyDescent="0.35">
      <c r="B9" t="s">
        <v>86</v>
      </c>
      <c r="C9">
        <v>0</v>
      </c>
      <c r="D9">
        <v>0</v>
      </c>
      <c r="E9">
        <v>0</v>
      </c>
      <c r="F9">
        <v>0</v>
      </c>
      <c r="G9">
        <f>F9</f>
        <v>0</v>
      </c>
      <c r="H9">
        <f t="shared" ref="H9:J9" si="0">G9</f>
        <v>0</v>
      </c>
      <c r="I9">
        <f t="shared" si="0"/>
        <v>0</v>
      </c>
      <c r="J9">
        <f t="shared" si="0"/>
        <v>0</v>
      </c>
    </row>
    <row r="10" spans="2:10" x14ac:dyDescent="0.35">
      <c r="B10" t="s">
        <v>87</v>
      </c>
      <c r="C10" s="19">
        <v>221</v>
      </c>
      <c r="D10" s="19">
        <v>-2800</v>
      </c>
      <c r="E10" s="19">
        <v>-2881</v>
      </c>
      <c r="F10" s="19">
        <v>-2942</v>
      </c>
      <c r="G10" s="19"/>
      <c r="H10" s="19"/>
      <c r="I10" s="19"/>
      <c r="J10" s="19"/>
    </row>
    <row r="11" spans="2:10" x14ac:dyDescent="0.35">
      <c r="B11" s="22" t="s">
        <v>88</v>
      </c>
      <c r="C11" s="133">
        <v>1264</v>
      </c>
      <c r="D11" s="133">
        <v>-7264</v>
      </c>
      <c r="E11" s="133">
        <v>3105</v>
      </c>
      <c r="F11" s="133">
        <v>-13615</v>
      </c>
      <c r="G11" s="22">
        <f>SUM(G6:G10)</f>
        <v>-6543.3091901153439</v>
      </c>
      <c r="H11" s="22">
        <f t="shared" ref="H11:J11" si="1">SUM(H6:H10)</f>
        <v>3689.4091789544764</v>
      </c>
      <c r="I11" s="22">
        <f t="shared" si="1"/>
        <v>-6810.0062926267638</v>
      </c>
      <c r="J11" s="22">
        <f t="shared" si="1"/>
        <v>3397.7892185258825</v>
      </c>
    </row>
    <row r="12" spans="2:10" x14ac:dyDescent="0.35">
      <c r="B12" t="s">
        <v>89</v>
      </c>
      <c r="C12" s="19">
        <v>-1930</v>
      </c>
      <c r="D12" s="19">
        <v>-5379</v>
      </c>
      <c r="E12" s="19">
        <v>-638</v>
      </c>
      <c r="F12" s="19">
        <v>-2779</v>
      </c>
      <c r="G12" s="19">
        <f>-'Historical FS'!F26*'Historical FS'!F72</f>
        <v>-6931.2362365777281</v>
      </c>
      <c r="H12" s="19">
        <f>-'Historical FS'!G26*'Historical FS'!G72</f>
        <v>-7927.3735361805129</v>
      </c>
      <c r="I12" s="19">
        <f>-'Historical FS'!H26*'Historical FS'!H72</f>
        <v>-9296.242453143097</v>
      </c>
      <c r="J12" s="19">
        <f>-'Historical FS'!I26*'Historical FS'!I72</f>
        <v>-10492.936598768905</v>
      </c>
    </row>
    <row r="13" spans="2:10" x14ac:dyDescent="0.35">
      <c r="B13" t="s">
        <v>311</v>
      </c>
      <c r="C13" s="19"/>
      <c r="D13" s="19"/>
      <c r="E13" s="19"/>
      <c r="F13" s="19"/>
      <c r="G13" s="19"/>
      <c r="H13" s="19"/>
      <c r="I13" s="19"/>
      <c r="J13" s="19"/>
    </row>
    <row r="14" spans="2:10" x14ac:dyDescent="0.35">
      <c r="B14" s="17" t="s">
        <v>90</v>
      </c>
      <c r="C14" s="21">
        <v>-7702</v>
      </c>
      <c r="D14" s="21">
        <v>-14748</v>
      </c>
      <c r="E14" s="21">
        <v>-10730</v>
      </c>
      <c r="F14" s="21">
        <v>-14467</v>
      </c>
    </row>
    <row r="15" spans="2:10" x14ac:dyDescent="0.35">
      <c r="B15" t="s">
        <v>91</v>
      </c>
      <c r="C15" s="19">
        <v>-9258</v>
      </c>
      <c r="D15" s="19">
        <v>-10091</v>
      </c>
      <c r="E15" s="19">
        <v>-14784</v>
      </c>
      <c r="F15" s="19">
        <v>-15801</v>
      </c>
      <c r="G15">
        <f>-'Historical FS'!F80</f>
        <v>-8757.4414610395143</v>
      </c>
      <c r="H15">
        <f>-'Historical FS'!G80</f>
        <v>-9575.8248150248364</v>
      </c>
      <c r="I15">
        <f>-'Historical FS'!H80</f>
        <v>-10470.686135441321</v>
      </c>
      <c r="J15">
        <f>-'Historical FS'!I80</f>
        <v>-11449.172292176982</v>
      </c>
    </row>
    <row r="16" spans="2:10" x14ac:dyDescent="0.35">
      <c r="B16" t="s">
        <v>92</v>
      </c>
      <c r="C16">
        <v>51</v>
      </c>
      <c r="D16">
        <v>43</v>
      </c>
      <c r="E16">
        <v>35</v>
      </c>
      <c r="F16">
        <v>254</v>
      </c>
    </row>
    <row r="17" spans="2:10" x14ac:dyDescent="0.35">
      <c r="B17" t="s">
        <v>93</v>
      </c>
      <c r="C17" s="19">
        <v>-606</v>
      </c>
      <c r="D17" s="19">
        <v>-4440</v>
      </c>
      <c r="E17">
        <v>0</v>
      </c>
      <c r="F17" s="19">
        <v>-3584</v>
      </c>
    </row>
    <row r="18" spans="2:10" x14ac:dyDescent="0.35">
      <c r="B18" t="s">
        <v>94</v>
      </c>
      <c r="C18">
        <v>612</v>
      </c>
      <c r="D18" s="19">
        <v>4153</v>
      </c>
      <c r="E18" s="19">
        <v>5</v>
      </c>
      <c r="F18" s="19">
        <v>3635</v>
      </c>
    </row>
    <row r="19" spans="2:10" x14ac:dyDescent="0.35">
      <c r="B19" t="s">
        <v>95</v>
      </c>
      <c r="C19">
        <v>619</v>
      </c>
      <c r="D19">
        <v>591</v>
      </c>
      <c r="E19">
        <v>600</v>
      </c>
      <c r="F19" s="19">
        <v>899</v>
      </c>
    </row>
    <row r="20" spans="2:10" x14ac:dyDescent="0.35">
      <c r="B20" t="s">
        <v>96</v>
      </c>
      <c r="C20">
        <v>11</v>
      </c>
      <c r="D20">
        <v>25</v>
      </c>
      <c r="E20">
        <v>21</v>
      </c>
      <c r="F20">
        <v>21</v>
      </c>
    </row>
    <row r="21" spans="2:10" x14ac:dyDescent="0.35">
      <c r="B21" t="s">
        <v>97</v>
      </c>
      <c r="C21" s="19">
        <v>-5087</v>
      </c>
      <c r="D21">
        <v>-364</v>
      </c>
      <c r="E21">
        <v>-244</v>
      </c>
      <c r="F21">
        <v>-396</v>
      </c>
    </row>
    <row r="22" spans="2:10" x14ac:dyDescent="0.35">
      <c r="B22" t="s">
        <v>98</v>
      </c>
      <c r="C22">
        <v>0</v>
      </c>
      <c r="D22">
        <v>0</v>
      </c>
      <c r="E22">
        <v>0</v>
      </c>
      <c r="F22">
        <v>0</v>
      </c>
    </row>
    <row r="23" spans="2:10" x14ac:dyDescent="0.35">
      <c r="B23" t="s">
        <v>99</v>
      </c>
      <c r="C23" s="19">
        <v>-1575</v>
      </c>
      <c r="D23">
        <v>-20</v>
      </c>
      <c r="E23">
        <v>0</v>
      </c>
      <c r="F23">
        <v>-630</v>
      </c>
    </row>
    <row r="24" spans="2:10" x14ac:dyDescent="0.35">
      <c r="B24" t="s">
        <v>100</v>
      </c>
      <c r="C24">
        <v>-293</v>
      </c>
      <c r="D24">
        <v>-149</v>
      </c>
      <c r="E24">
        <v>0</v>
      </c>
      <c r="F24">
        <v>0</v>
      </c>
    </row>
    <row r="25" spans="2:10" x14ac:dyDescent="0.35">
      <c r="B25" t="s">
        <v>310</v>
      </c>
      <c r="F25">
        <f>'Historical FS'!E9</f>
        <v>899</v>
      </c>
      <c r="G25">
        <f>'Historical FS'!F9</f>
        <v>468.03488070539419</v>
      </c>
      <c r="H25">
        <f>'Historical FS'!G9</f>
        <v>815.2063019350619</v>
      </c>
      <c r="I25">
        <f>'Historical FS'!H9</f>
        <v>2165.463644492088</v>
      </c>
      <c r="J25">
        <f>'Historical FS'!I9</f>
        <v>2729.0989618169988</v>
      </c>
    </row>
    <row r="26" spans="2:10" x14ac:dyDescent="0.35">
      <c r="B26" t="s">
        <v>101</v>
      </c>
      <c r="C26" s="19">
        <v>7824</v>
      </c>
      <c r="D26" s="19">
        <v>-4496</v>
      </c>
      <c r="E26" s="19">
        <v>3637</v>
      </c>
      <c r="F26" s="19">
        <v>1135</v>
      </c>
    </row>
    <row r="27" spans="2:10" x14ac:dyDescent="0.35">
      <c r="B27" t="s">
        <v>306</v>
      </c>
      <c r="C27" s="19"/>
      <c r="D27" s="19"/>
      <c r="E27" s="19"/>
      <c r="F27" s="19"/>
      <c r="G27">
        <f>G15+G25</f>
        <v>-8289.40658033412</v>
      </c>
      <c r="H27">
        <f t="shared" ref="H27:J27" si="2">H15+H25</f>
        <v>-8760.6185130897738</v>
      </c>
      <c r="I27">
        <f t="shared" si="2"/>
        <v>-8305.2224909492325</v>
      </c>
      <c r="J27">
        <f t="shared" si="2"/>
        <v>-8720.0733303599827</v>
      </c>
    </row>
    <row r="28" spans="2:10" x14ac:dyDescent="0.35">
      <c r="C28" s="19"/>
      <c r="D28" s="19"/>
      <c r="E28" s="19"/>
      <c r="F28" s="19"/>
    </row>
    <row r="29" spans="2:10" x14ac:dyDescent="0.35">
      <c r="B29" s="17" t="s">
        <v>102</v>
      </c>
      <c r="C29" s="21">
        <v>-3110</v>
      </c>
      <c r="D29" s="21">
        <v>-14657</v>
      </c>
      <c r="E29" s="21">
        <v>-5977</v>
      </c>
      <c r="F29" s="21">
        <v>-5005</v>
      </c>
    </row>
    <row r="30" spans="2:10" x14ac:dyDescent="0.35">
      <c r="B30" t="s">
        <v>103</v>
      </c>
      <c r="C30" s="19">
        <v>39</v>
      </c>
      <c r="D30">
        <v>72</v>
      </c>
      <c r="E30">
        <v>59</v>
      </c>
      <c r="F30">
        <v>6</v>
      </c>
    </row>
    <row r="31" spans="2:10" x14ac:dyDescent="0.35">
      <c r="B31" t="s">
        <v>104</v>
      </c>
      <c r="C31">
        <v>0</v>
      </c>
      <c r="D31">
        <v>0</v>
      </c>
      <c r="E31">
        <v>0</v>
      </c>
      <c r="F31">
        <v>0</v>
      </c>
    </row>
    <row r="32" spans="2:10" x14ac:dyDescent="0.35">
      <c r="B32" t="s">
        <v>105</v>
      </c>
      <c r="C32" s="19">
        <v>15897</v>
      </c>
      <c r="D32" s="19">
        <v>17043</v>
      </c>
      <c r="E32" s="19">
        <v>19742</v>
      </c>
      <c r="F32" s="19">
        <v>20858</v>
      </c>
    </row>
    <row r="33" spans="2:10" x14ac:dyDescent="0.35">
      <c r="B33" t="s">
        <v>106</v>
      </c>
      <c r="C33" s="19">
        <v>-13888</v>
      </c>
      <c r="D33" s="19">
        <v>-24091</v>
      </c>
      <c r="E33" s="19">
        <v>-14158</v>
      </c>
      <c r="F33" s="19">
        <v>-16328</v>
      </c>
    </row>
    <row r="34" spans="2:10" x14ac:dyDescent="0.35">
      <c r="B34" t="s">
        <v>107</v>
      </c>
      <c r="C34" s="19">
        <v>-4340</v>
      </c>
      <c r="D34" s="19">
        <v>-5102</v>
      </c>
      <c r="E34" s="19">
        <v>-6902</v>
      </c>
      <c r="F34" s="19">
        <v>-8087</v>
      </c>
      <c r="G34">
        <f>-'Historical FS'!F29</f>
        <v>-8105</v>
      </c>
      <c r="H34">
        <f>-'Historical FS'!G29</f>
        <v>-8105</v>
      </c>
      <c r="I34">
        <f>-'Historical FS'!H29</f>
        <v>-8105</v>
      </c>
      <c r="J34">
        <f>-'Historical FS'!I29</f>
        <v>-8105</v>
      </c>
    </row>
    <row r="35" spans="2:10" x14ac:dyDescent="0.35">
      <c r="B35" t="s">
        <v>108</v>
      </c>
      <c r="C35">
        <v>-483</v>
      </c>
      <c r="D35" s="19">
        <v>-1571</v>
      </c>
      <c r="E35" s="19">
        <v>-4194</v>
      </c>
      <c r="F35" s="19">
        <v>-822</v>
      </c>
    </row>
    <row r="36" spans="2:10" x14ac:dyDescent="0.35">
      <c r="B36" t="s">
        <v>109</v>
      </c>
      <c r="C36" s="19">
        <v>-335</v>
      </c>
      <c r="D36" s="19">
        <v>-417</v>
      </c>
      <c r="E36" s="19">
        <v>-524</v>
      </c>
      <c r="F36" s="19">
        <v>-632</v>
      </c>
    </row>
    <row r="37" spans="2:10" x14ac:dyDescent="0.35">
      <c r="B37" t="s">
        <v>110</v>
      </c>
      <c r="C37">
        <v>0</v>
      </c>
      <c r="D37" s="19">
        <v>-591</v>
      </c>
      <c r="E37" s="19">
        <v>0</v>
      </c>
      <c r="F37" s="19">
        <v>0</v>
      </c>
    </row>
    <row r="38" spans="2:10" x14ac:dyDescent="0.35">
      <c r="B38" s="17" t="s">
        <v>305</v>
      </c>
      <c r="C38" s="17"/>
      <c r="D38" s="21"/>
      <c r="E38" s="21"/>
      <c r="F38" s="21"/>
      <c r="G38" s="17">
        <f>G34</f>
        <v>-8105</v>
      </c>
      <c r="H38" s="17">
        <f t="shared" ref="H38:J38" si="3">H34</f>
        <v>-8105</v>
      </c>
      <c r="I38" s="17">
        <f t="shared" si="3"/>
        <v>-8105</v>
      </c>
      <c r="J38" s="17">
        <f t="shared" si="3"/>
        <v>-8105</v>
      </c>
    </row>
    <row r="39" spans="2:10" x14ac:dyDescent="0.35">
      <c r="B39" s="17"/>
      <c r="C39" s="17"/>
      <c r="D39" s="21"/>
      <c r="E39" s="21"/>
      <c r="F39" s="21"/>
      <c r="G39" s="17"/>
      <c r="H39" s="17"/>
      <c r="I39" s="17"/>
      <c r="J39" s="17"/>
    </row>
    <row r="40" spans="2:10" x14ac:dyDescent="0.35">
      <c r="B40" t="s">
        <v>20</v>
      </c>
      <c r="C40" s="19">
        <v>7977</v>
      </c>
      <c r="D40" s="19">
        <v>-3135</v>
      </c>
      <c r="E40" s="19">
        <v>6616</v>
      </c>
      <c r="F40" s="19">
        <v>-7394</v>
      </c>
      <c r="G40" s="19">
        <f>G4+G27+G38</f>
        <v>1387.355968757447</v>
      </c>
      <c r="H40" s="19">
        <f>H4+H27+H38</f>
        <v>13377.062227555594</v>
      </c>
      <c r="I40" s="19">
        <f>I4+I27+I38</f>
        <v>6460.4681869740416</v>
      </c>
      <c r="J40" s="19">
        <f>J4+J27+J38</f>
        <v>19060.388331227368</v>
      </c>
    </row>
    <row r="41" spans="2:10" x14ac:dyDescent="0.35">
      <c r="B41" t="s">
        <v>300</v>
      </c>
      <c r="E41" s="19">
        <v>8808</v>
      </c>
      <c r="F41" s="19">
        <v>15424</v>
      </c>
      <c r="G41">
        <v>8030</v>
      </c>
      <c r="H41" s="19">
        <f>G42</f>
        <v>9417.355968757447</v>
      </c>
      <c r="I41" s="19">
        <f>H42</f>
        <v>22794.41819631304</v>
      </c>
      <c r="J41" s="19">
        <f>I42</f>
        <v>29254.886383287081</v>
      </c>
    </row>
    <row r="42" spans="2:10" x14ac:dyDescent="0.35">
      <c r="B42" t="s">
        <v>301</v>
      </c>
      <c r="E42" s="19">
        <v>15424</v>
      </c>
      <c r="F42" s="19">
        <v>8030</v>
      </c>
      <c r="G42" s="19">
        <f>G41+G40</f>
        <v>9417.355968757447</v>
      </c>
      <c r="H42" s="19">
        <f>H41+H40</f>
        <v>22794.41819631304</v>
      </c>
      <c r="I42" s="19">
        <f>I41+I40</f>
        <v>29254.886383287081</v>
      </c>
      <c r="J42" s="19">
        <f>J40+J41</f>
        <v>48315.274714514453</v>
      </c>
    </row>
    <row r="43" spans="2:10" x14ac:dyDescent="0.35">
      <c r="B43" t="s">
        <v>302</v>
      </c>
      <c r="E43" s="19">
        <v>600</v>
      </c>
      <c r="F43" s="19">
        <v>899</v>
      </c>
      <c r="G43">
        <f>G44*G41</f>
        <v>468.03488070539419</v>
      </c>
      <c r="H43">
        <f t="shared" ref="H43:J43" si="4">H44*H41</f>
        <v>548.89801711053849</v>
      </c>
      <c r="I43">
        <f t="shared" si="4"/>
        <v>1328.5906352752479</v>
      </c>
      <c r="J43">
        <f t="shared" si="4"/>
        <v>1705.1441168681981</v>
      </c>
    </row>
    <row r="44" spans="2:10" x14ac:dyDescent="0.35">
      <c r="B44" t="s">
        <v>303</v>
      </c>
      <c r="E44" s="10">
        <f>E43/E41</f>
        <v>6.8119891008174394E-2</v>
      </c>
      <c r="F44" s="10">
        <f>F43/F41</f>
        <v>5.828578838174274E-2</v>
      </c>
      <c r="G44" s="27">
        <f>F44</f>
        <v>5.828578838174274E-2</v>
      </c>
      <c r="H44" s="27">
        <f t="shared" ref="H44:J44" si="5">G44</f>
        <v>5.828578838174274E-2</v>
      </c>
      <c r="I44" s="27">
        <f t="shared" si="5"/>
        <v>5.828578838174274E-2</v>
      </c>
      <c r="J44" s="27">
        <f t="shared" si="5"/>
        <v>5.828578838174274E-2</v>
      </c>
    </row>
    <row r="45" spans="2:10" x14ac:dyDescent="0.35">
      <c r="B45" s="111"/>
    </row>
    <row r="46" spans="2:10" x14ac:dyDescent="0.35">
      <c r="B46" s="111"/>
    </row>
    <row r="47" spans="2:10" x14ac:dyDescent="0.35">
      <c r="B47" s="111"/>
    </row>
    <row r="48" spans="2:10" x14ac:dyDescent="0.35">
      <c r="B48" s="1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0ECBA-9194-41AA-A48D-2DED3C910F37}">
  <dimension ref="B2:H48"/>
  <sheetViews>
    <sheetView topLeftCell="A24" workbookViewId="0">
      <selection activeCell="I13" sqref="I13"/>
    </sheetView>
  </sheetViews>
  <sheetFormatPr defaultRowHeight="14.5" x14ac:dyDescent="0.35"/>
  <cols>
    <col min="1" max="1" width="1.81640625" customWidth="1"/>
    <col min="2" max="2" width="24.26953125" bestFit="1" customWidth="1"/>
    <col min="3" max="3" width="9.54296875" bestFit="1" customWidth="1"/>
    <col min="4" max="4" width="9" bestFit="1" customWidth="1"/>
    <col min="5" max="5" width="8.90625" bestFit="1" customWidth="1"/>
    <col min="6" max="6" width="14.36328125" customWidth="1"/>
  </cols>
  <sheetData>
    <row r="2" spans="2:8" x14ac:dyDescent="0.35">
      <c r="B2" s="124" t="str">
        <f>"Ratio Analysis of - "&amp;'Data Sheet'!B1</f>
        <v>Ratio Analysis of - JSW STEEL LTD</v>
      </c>
      <c r="C2" s="124"/>
      <c r="D2" s="124"/>
      <c r="E2" s="124"/>
    </row>
    <row r="3" spans="2:8" x14ac:dyDescent="0.35">
      <c r="B3" s="7" t="s">
        <v>55</v>
      </c>
      <c r="C3" s="8">
        <f>'Data Sheet'!I16</f>
        <v>44651</v>
      </c>
      <c r="D3" s="8">
        <f>'Data Sheet'!J16</f>
        <v>45016</v>
      </c>
      <c r="E3" s="8">
        <f>'Data Sheet'!K16</f>
        <v>45382</v>
      </c>
      <c r="G3" s="8" t="s">
        <v>138</v>
      </c>
      <c r="H3" s="8" t="s">
        <v>139</v>
      </c>
    </row>
    <row r="4" spans="2:8" x14ac:dyDescent="0.35">
      <c r="B4" t="s">
        <v>111</v>
      </c>
      <c r="C4" s="10">
        <f>IFERROR('Historical FS'!C7,0)</f>
        <v>0</v>
      </c>
      <c r="D4" s="10">
        <f>IFERROR('Historical FS'!D7,0)</f>
        <v>0.13383115507853338</v>
      </c>
      <c r="E4" s="10">
        <f>IFERROR('Historical FS'!E7,0)</f>
        <v>5.4507110147023363E-2</v>
      </c>
      <c r="G4" s="10">
        <f>IFERROR(AVERAGE(C4:E4),0)</f>
        <v>6.2779421741852248E-2</v>
      </c>
      <c r="H4" s="10">
        <f>IFERROR(MEDIAN(C4:E4),0)</f>
        <v>5.4507110147023363E-2</v>
      </c>
    </row>
    <row r="5" spans="2:8" x14ac:dyDescent="0.35">
      <c r="B5" t="s">
        <v>112</v>
      </c>
      <c r="C5" s="10">
        <f>IFERROR(('Historical FS'!C20/'Historical FS'!#REF!)-1,0)</f>
        <v>0</v>
      </c>
      <c r="D5" s="10">
        <f>IFERROR(('Historical FS'!D20/'Historical FS'!C20)-1,0)</f>
        <v>-0.52779056092447718</v>
      </c>
      <c r="E5" s="10">
        <f>IFERROR(('Historical FS'!E20/'Historical FS'!D20)-1,0)</f>
        <v>0.57314564158094217</v>
      </c>
      <c r="G5" s="10">
        <f>IFERROR(AVERAGE(C5:E5),0)</f>
        <v>1.5118360218821661E-2</v>
      </c>
      <c r="H5" s="10">
        <f>IFERROR(MEDIAN(C5:E5),0)</f>
        <v>0</v>
      </c>
    </row>
    <row r="6" spans="2:8" x14ac:dyDescent="0.35">
      <c r="B6" t="s">
        <v>136</v>
      </c>
      <c r="C6" s="10">
        <f>IFERROR(('Historical FS'!C32/'Historical FS'!#REF!)-1,0)</f>
        <v>0</v>
      </c>
      <c r="D6" s="10">
        <f>IFERROR(('Historical FS'!D32/'Historical FS'!C32)-1,0)</f>
        <v>-0.8098840141200202</v>
      </c>
      <c r="E6" s="10">
        <f>IFERROR(('Historical FS'!E32/'Historical FS'!D32)-1,0)</f>
        <v>1.5250221043324492</v>
      </c>
      <c r="G6" s="10">
        <f>IFERROR(AVERAGE(C6:E6),0)</f>
        <v>0.23837936340414301</v>
      </c>
      <c r="H6" s="10">
        <f>IFERROR(MEDIAN(C6:E6),0)</f>
        <v>0</v>
      </c>
    </row>
    <row r="7" spans="2:8" x14ac:dyDescent="0.35">
      <c r="B7" t="s">
        <v>113</v>
      </c>
      <c r="C7" s="10">
        <f>IFERROR(('Historical FS'!C38/'Historical FS'!#REF!)-1,0)</f>
        <v>0</v>
      </c>
      <c r="D7" s="10">
        <f>IFERROR(('Historical FS'!D38/'Historical FS'!C38)-1,0)</f>
        <v>-0.80232113859967524</v>
      </c>
      <c r="E7" s="10">
        <f>IFERROR(('Historical FS'!E38/'Historical FS'!D38)-1,0)</f>
        <v>1.3851171780623339</v>
      </c>
      <c r="G7" s="10">
        <f>IFERROR(AVERAGE(C7:E7),0)</f>
        <v>0.19426534648755289</v>
      </c>
      <c r="H7" s="10">
        <f>IFERROR(MEDIAN(C7:E7),0)</f>
        <v>0</v>
      </c>
    </row>
    <row r="8" spans="2:8" x14ac:dyDescent="0.35">
      <c r="B8" t="s">
        <v>114</v>
      </c>
      <c r="C8" s="10">
        <f>IFERROR('Historical FS'!#REF!/'Historical FS'!#REF!-1,0)</f>
        <v>0</v>
      </c>
      <c r="D8" s="10">
        <f>IFERROR('Historical FS'!#REF!/'Historical FS'!#REF!-1,0)</f>
        <v>0</v>
      </c>
      <c r="E8" s="10">
        <f>IFERROR('Historical FS'!#REF!/'Historical FS'!#REF!-1,0)</f>
        <v>0</v>
      </c>
      <c r="G8" s="10">
        <f>IFERROR(AVERAGE(C8:E8),0)</f>
        <v>0</v>
      </c>
      <c r="H8" s="10">
        <f>IFERROR(MEDIAN(C8:E8),0)</f>
        <v>0</v>
      </c>
    </row>
    <row r="10" spans="2:8" x14ac:dyDescent="0.35">
      <c r="B10" t="s">
        <v>60</v>
      </c>
      <c r="C10" s="10">
        <f>IFERROR('Historical FS'!C15,0)</f>
        <v>0.29099343449180509</v>
      </c>
      <c r="D10" s="10">
        <f>IFERROR('Historical FS'!D15,0)</f>
        <v>0.15084960231381056</v>
      </c>
      <c r="E10" s="10">
        <f>IFERROR('Historical FS'!E15,0)</f>
        <v>0.19887318149092031</v>
      </c>
      <c r="G10" s="10">
        <f>IFERROR(AVERAGE(C10:E10),0)</f>
        <v>0.21357207276551202</v>
      </c>
      <c r="H10" s="10">
        <f>IFERROR(MEDIAN(C10:E10),0)</f>
        <v>0.19887318149092031</v>
      </c>
    </row>
    <row r="11" spans="2:8" x14ac:dyDescent="0.35">
      <c r="B11" t="s">
        <v>66</v>
      </c>
      <c r="C11" s="10">
        <f>IFERROR('Historical FS'!C20/'Historical FS'!C6,0)</f>
        <v>0.26722506507436583</v>
      </c>
      <c r="D11" s="10">
        <f>IFERROR('Historical FS'!D20/'Historical FS'!D6,0)</f>
        <v>0.11129187756085804</v>
      </c>
      <c r="E11" s="10">
        <f>IFERROR('Historical FS'!E20/'Historical FS'!E6,0)</f>
        <v>0.1660285933053724</v>
      </c>
      <c r="G11" s="10">
        <f>IFERROR(AVERAGE(C11:E11),0)</f>
        <v>0.18151517864686539</v>
      </c>
      <c r="H11" s="10">
        <f>IFERROR(MEDIAN(C11:E11),0)</f>
        <v>0.1660285933053724</v>
      </c>
    </row>
    <row r="12" spans="2:8" x14ac:dyDescent="0.35">
      <c r="B12" t="s">
        <v>115</v>
      </c>
      <c r="C12" s="10">
        <f>IFERROR(('Historical FS'!C20-'Historical FS'!C23)/'Historical FS'!C6,0)</f>
        <v>0.22622650661674784</v>
      </c>
      <c r="D12" s="10">
        <f>IFERROR(('Historical FS'!D20-'Historical FS'!D23)/'Historical FS'!D6,0)</f>
        <v>6.6256929380573634E-2</v>
      </c>
      <c r="E12" s="10">
        <f>IFERROR(('Historical FS'!E20-'Historical FS'!E23)/'Historical FS'!E6,0)</f>
        <v>0.1193330514382364</v>
      </c>
      <c r="G12" s="10">
        <f>IFERROR(AVERAGE(C12:E12),0)</f>
        <v>0.13727216247851928</v>
      </c>
      <c r="H12" s="10">
        <f>IFERROR(MEDIAN(C12:E12),0)</f>
        <v>0.1193330514382364</v>
      </c>
    </row>
    <row r="13" spans="2:8" x14ac:dyDescent="0.35">
      <c r="B13" t="s">
        <v>116</v>
      </c>
      <c r="C13" s="10">
        <f>IFERROR('Historical FS'!C32/'Historical FS'!C6,0)</f>
        <v>0.20321648413961782</v>
      </c>
      <c r="D13" s="10">
        <f>IFERROR('Historical FS'!D32/'Historical FS'!D6,0)</f>
        <v>3.4074475777295735E-2</v>
      </c>
      <c r="E13" s="10">
        <f>IFERROR('Historical FS'!E32/'Historical FS'!E6,0)</f>
        <v>8.1591488291829994E-2</v>
      </c>
      <c r="G13" s="10">
        <f>IFERROR(AVERAGE(C13:E13),0)</f>
        <v>0.10629414940291453</v>
      </c>
      <c r="H13" s="10">
        <f>IFERROR(MEDIAN(C13:E13),0)</f>
        <v>8.1591488291829994E-2</v>
      </c>
    </row>
    <row r="14" spans="2:8" x14ac:dyDescent="0.35">
      <c r="B14" t="s">
        <v>117</v>
      </c>
      <c r="C14" s="10">
        <f>IFERROR('Historical FS'!C38/'Historical FS'!C6,0)</f>
        <v>0.14304746158733628</v>
      </c>
      <c r="D14" s="10">
        <f>IFERROR('Historical FS'!D38/'Historical FS'!D6,0)</f>
        <v>2.4939744516751024E-2</v>
      </c>
      <c r="E14" s="10">
        <f>IFERROR('Historical FS'!E38/'Historical FS'!E6,0)</f>
        <v>5.6409494531616061E-2</v>
      </c>
      <c r="G14" s="10">
        <f>IFERROR(AVERAGE(C14:E14),0)</f>
        <v>7.4798900211901123E-2</v>
      </c>
      <c r="H14" s="10">
        <f>IFERROR(MEDIAN(C14:E14),0)</f>
        <v>5.6409494531616061E-2</v>
      </c>
    </row>
    <row r="16" spans="2:8" x14ac:dyDescent="0.35">
      <c r="B16" t="s">
        <v>118</v>
      </c>
      <c r="C16" s="10">
        <f>IFERROR('Historical FS'!C12,0)</f>
        <v>0.70900656550819496</v>
      </c>
      <c r="D16" s="10">
        <f>IFERROR('Historical FS'!D12,0)</f>
        <v>0.8491503976861895</v>
      </c>
      <c r="E16" s="10">
        <f>IFERROR('Historical FS'!E12,0)</f>
        <v>0.80626378524164888</v>
      </c>
      <c r="G16" s="10">
        <f>IFERROR(AVERAGE(C16:E16),0)</f>
        <v>0.78814024947867789</v>
      </c>
      <c r="H16" s="10">
        <f>IFERROR(MEDIAN(C16:E16),0)</f>
        <v>0.80626378524164888</v>
      </c>
    </row>
    <row r="17" spans="2:8" x14ac:dyDescent="0.35">
      <c r="B17" t="s">
        <v>119</v>
      </c>
      <c r="C17" s="10">
        <f>IFERROR('Historical FS'!C24,0)</f>
        <v>4.0998558457617969E-2</v>
      </c>
      <c r="D17" s="10">
        <f>IFERROR('Historical FS'!D24,0)</f>
        <v>4.5034948180284404E-2</v>
      </c>
      <c r="E17" s="10">
        <f>IFERROR('Historical FS'!E24,0)</f>
        <v>4.6695541867135981E-2</v>
      </c>
      <c r="G17" s="10">
        <f>IFERROR(AVERAGE(C17:E17),0)</f>
        <v>4.4243016168346118E-2</v>
      </c>
      <c r="H17" s="10">
        <f>IFERROR(MEDIAN(C17:E17),0)</f>
        <v>4.5034948180284404E-2</v>
      </c>
    </row>
    <row r="18" spans="2:8" x14ac:dyDescent="0.35">
      <c r="B18" t="s">
        <v>120</v>
      </c>
      <c r="C18" s="27">
        <f t="shared" ref="C18:E18" si="0">C12</f>
        <v>0.22622650661674784</v>
      </c>
      <c r="D18" s="27">
        <f t="shared" si="0"/>
        <v>6.6256929380573634E-2</v>
      </c>
      <c r="E18" s="27">
        <f t="shared" si="0"/>
        <v>0.1193330514382364</v>
      </c>
      <c r="G18" s="10">
        <f>IFERROR(AVERAGE(C18:E18),0)</f>
        <v>0.13727216247851928</v>
      </c>
      <c r="H18" s="10">
        <f>IFERROR(MEDIAN(C18:E18),0)</f>
        <v>0.1193330514382364</v>
      </c>
    </row>
    <row r="19" spans="2:8" x14ac:dyDescent="0.35">
      <c r="G19" s="10"/>
    </row>
    <row r="20" spans="2:8" x14ac:dyDescent="0.35">
      <c r="B20" t="s">
        <v>121</v>
      </c>
      <c r="C20" s="10">
        <f>IFERROR(('Historical FS'!C20-'Historical FS'!C23)/SUM('Historical FS'!C44:C46),0)</f>
        <v>0.23731133630512993</v>
      </c>
      <c r="D20" s="10">
        <f>IFERROR(('Historical FS'!D20-'Historical FS'!D23)/SUM('Historical FS'!D44:D46),0)</f>
        <v>7.5033436143789059E-2</v>
      </c>
      <c r="E20" s="10">
        <f>IFERROR(('Historical FS'!E20-'Historical FS'!E23)/SUM('Historical FS'!E44:E46),0)</f>
        <v>0.12607076237677556</v>
      </c>
      <c r="G20" s="10">
        <f>IFERROR(AVERAGE(C20:E20),0)</f>
        <v>0.14613851160856486</v>
      </c>
      <c r="H20" s="10">
        <f>IFERROR(MEDIAN(C20:E20),0)</f>
        <v>0.12607076237677556</v>
      </c>
    </row>
    <row r="21" spans="2:8" x14ac:dyDescent="0.35">
      <c r="B21" t="s">
        <v>148</v>
      </c>
      <c r="C21" s="10">
        <f>IFERROR('Historical FS'!#REF!,0)</f>
        <v>0</v>
      </c>
      <c r="D21" s="10">
        <f>IFERROR('Historical FS'!#REF!,0)</f>
        <v>0</v>
      </c>
      <c r="E21" s="10">
        <f>IFERROR('Historical FS'!#REF!,0)</f>
        <v>0</v>
      </c>
      <c r="G21" s="10">
        <f>IFERROR(AVERAGE(C21:E21),0)</f>
        <v>0</v>
      </c>
      <c r="H21" s="10">
        <f>IFERROR(MEDIAN(C21:E21),0)</f>
        <v>0</v>
      </c>
    </row>
    <row r="22" spans="2:8" x14ac:dyDescent="0.35">
      <c r="B22" t="s">
        <v>147</v>
      </c>
      <c r="C22" s="10">
        <f>IFERROR('Historical FS'!C39*('Historical FS'!C6/'Historical FS'!C61)*(C45),0)</f>
        <v>0.3111282820928124</v>
      </c>
      <c r="D22" s="10">
        <f>IFERROR('Historical FS'!D39*('Historical FS'!D6/'Historical FS'!D61)*(D45),0)</f>
        <v>6.3003272699596616E-2</v>
      </c>
      <c r="E22" s="10">
        <f>IFERROR('Historical FS'!E39*('Historical FS'!E6/'Historical FS'!E61)*(E45),0)</f>
        <v>0.12710347757792684</v>
      </c>
      <c r="G22" s="10">
        <f>IFERROR(AVERAGE(C22:E22),0)</f>
        <v>0.16707834412344527</v>
      </c>
      <c r="H22" s="10">
        <f>IFERROR(MEDIAN(C22:E22),0)</f>
        <v>0.12710347757792684</v>
      </c>
    </row>
    <row r="23" spans="2:8" x14ac:dyDescent="0.35">
      <c r="B23" t="s">
        <v>122</v>
      </c>
      <c r="C23" s="10">
        <f t="shared" ref="C23:E23" si="1">IFERROR(C21*C22,0)</f>
        <v>0</v>
      </c>
      <c r="D23" s="10">
        <f t="shared" si="1"/>
        <v>0</v>
      </c>
      <c r="E23" s="10">
        <f t="shared" si="1"/>
        <v>0</v>
      </c>
      <c r="G23" s="10">
        <f>IFERROR(AVERAGE(C23:E23),0)</f>
        <v>0</v>
      </c>
      <c r="H23" s="10">
        <f>IFERROR(MEDIAN(C23:E23),0)</f>
        <v>0</v>
      </c>
    </row>
    <row r="24" spans="2:8" x14ac:dyDescent="0.35">
      <c r="B24" t="s">
        <v>123</v>
      </c>
      <c r="C24" s="28">
        <f>IFERROR(('Historical FS'!C20-'Historical FS'!C23)/'Historical FS'!C29,0)</f>
        <v>6.6652576489533013</v>
      </c>
      <c r="D24" s="28">
        <f>IFERROR(('Historical FS'!D20-'Historical FS'!D23)/'Historical FS'!D29,0)</f>
        <v>1.5931614024920313</v>
      </c>
      <c r="E24" s="28">
        <f>IFERROR(('Historical FS'!E20-'Historical FS'!E23)/'Historical FS'!E29,0)</f>
        <v>2.5766810610734114</v>
      </c>
      <c r="G24" s="28">
        <f>IFERROR(AVERAGE(C24:E24),0)</f>
        <v>3.6117000375062482</v>
      </c>
      <c r="H24" s="28">
        <f>IFERROR(MEDIAN(C24:E24),0)</f>
        <v>2.5766810610734114</v>
      </c>
    </row>
    <row r="26" spans="2:8" x14ac:dyDescent="0.35">
      <c r="B26" t="s">
        <v>124</v>
      </c>
      <c r="C26" s="28">
        <f>IFERROR('Historical FS'!C6/'Historical FS'!C56,0)</f>
        <v>19.62867104733807</v>
      </c>
      <c r="D26" s="28">
        <f>IFERROR('Historical FS'!D6/'Historical FS'!D56,0)</f>
        <v>23.263246425567704</v>
      </c>
      <c r="E26" s="28">
        <f>IFERROR('Historical FS'!E6/'Historical FS'!E56,0)</f>
        <v>23.185744568097508</v>
      </c>
      <c r="G26" s="28">
        <f>IFERROR(AVERAGE(C26:E26),0)</f>
        <v>22.025887347001092</v>
      </c>
      <c r="H26" s="28">
        <f>IFERROR(MEDIAN(C26:E26),0)</f>
        <v>23.185744568097508</v>
      </c>
    </row>
    <row r="27" spans="2:8" x14ac:dyDescent="0.35">
      <c r="B27" t="s">
        <v>125</v>
      </c>
      <c r="C27" s="28">
        <f>IFERROR('Historical FS'!C11/'Historical FS'!C47,0)</f>
        <v>1.8222331477937175</v>
      </c>
      <c r="D27" s="28">
        <f>IFERROR('Historical FS'!D11/'Historical FS'!D47,0)</f>
        <v>2.2022628182088106</v>
      </c>
      <c r="E27" s="28">
        <f>IFERROR('Historical FS'!E11/'Historical FS'!E47,0)</f>
        <v>2.2668648084183469</v>
      </c>
      <c r="G27" s="28">
        <f>IFERROR(AVERAGE(C27:E27),0)</f>
        <v>2.0971202581402917</v>
      </c>
      <c r="H27" s="28">
        <f>IFERROR(MEDIAN(C27:E27),0)</f>
        <v>2.2022628182088106</v>
      </c>
    </row>
    <row r="28" spans="2:8" x14ac:dyDescent="0.35">
      <c r="B28" t="s">
        <v>126</v>
      </c>
      <c r="C28" s="28">
        <f>IFERROR('Historical FS'!C11/'Historical FS'!C57,0)</f>
        <v>3.0715363897356971</v>
      </c>
      <c r="D28" s="28">
        <f>IFERROR('Historical FS'!D11/'Historical FS'!D57,0)</f>
        <v>4.2530556813037572</v>
      </c>
      <c r="E28" s="28">
        <f>IFERROR('Historical FS'!E11/'Historical FS'!E57,0)</f>
        <v>3.731349993388867</v>
      </c>
      <c r="G28" s="28">
        <f>IFERROR(AVERAGE(C28:E28),0)</f>
        <v>3.6853140214761075</v>
      </c>
      <c r="H28" s="28">
        <f>IFERROR(MEDIAN(C28:E28),0)</f>
        <v>3.731349993388867</v>
      </c>
    </row>
    <row r="29" spans="2:8" x14ac:dyDescent="0.35">
      <c r="B29" t="s">
        <v>127</v>
      </c>
      <c r="C29" s="28">
        <f>IFERROR('Historical FS'!C6/'Historical FS'!C50,0)</f>
        <v>1.4654685622747297</v>
      </c>
      <c r="D29" s="28">
        <f>IFERROR('Historical FS'!D6/'Historical FS'!D50,0)</f>
        <v>1.5888637843219853</v>
      </c>
      <c r="E29" s="28">
        <f>IFERROR('Historical FS'!E6/'Historical FS'!E50,0)</f>
        <v>1.5561483536514882</v>
      </c>
      <c r="G29" s="28">
        <f>IFERROR(AVERAGE(C29:E29),0)</f>
        <v>1.5368269000827344</v>
      </c>
      <c r="H29" s="28">
        <f>IFERROR(MEDIAN(C29:E29),0)</f>
        <v>1.5561483536514882</v>
      </c>
    </row>
    <row r="30" spans="2:8" x14ac:dyDescent="0.35">
      <c r="B30" t="s">
        <v>128</v>
      </c>
    </row>
    <row r="32" spans="2:8" x14ac:dyDescent="0.35">
      <c r="B32" s="17" t="s">
        <v>137</v>
      </c>
    </row>
    <row r="33" spans="2:8" x14ac:dyDescent="0.35">
      <c r="B33" t="s">
        <v>129</v>
      </c>
      <c r="C33" s="29">
        <f t="shared" ref="C33:E33" si="2">IFERROR(365/C26,0)</f>
        <v>18.595247692507396</v>
      </c>
      <c r="D33" s="29">
        <f t="shared" si="2"/>
        <v>15.68998553868402</v>
      </c>
      <c r="E33" s="29">
        <f t="shared" si="2"/>
        <v>15.74243168805641</v>
      </c>
      <c r="G33" s="29">
        <f>IFERROR(AVERAGE(C33:E33),0)</f>
        <v>16.675888306415942</v>
      </c>
      <c r="H33" s="29">
        <f>IFERROR(MEDIAN(C33:E33),0)</f>
        <v>15.74243168805641</v>
      </c>
    </row>
    <row r="34" spans="2:8" x14ac:dyDescent="0.35">
      <c r="B34" t="s">
        <v>130</v>
      </c>
      <c r="C34" s="29">
        <f t="shared" ref="C34:E34" si="3">IFERROR(365/C27,0)</f>
        <v>200.30367707992059</v>
      </c>
      <c r="D34" s="29">
        <f t="shared" si="3"/>
        <v>165.73861983324463</v>
      </c>
      <c r="E34" s="29">
        <f t="shared" si="3"/>
        <v>161.01533653198771</v>
      </c>
      <c r="G34" s="29">
        <f>IFERROR(AVERAGE(C34:E34),0)</f>
        <v>175.68587781505099</v>
      </c>
      <c r="H34" s="29">
        <f>IFERROR(MEDIAN(C34:E34),0)</f>
        <v>165.73861983324463</v>
      </c>
    </row>
    <row r="35" spans="2:8" x14ac:dyDescent="0.35">
      <c r="B35" t="s">
        <v>131</v>
      </c>
      <c r="C35" s="29">
        <f t="shared" ref="C35:E35" si="4">IFERROR(365/C28,0)</f>
        <v>118.83303783075411</v>
      </c>
      <c r="D35" s="29">
        <f t="shared" si="4"/>
        <v>85.820649281532738</v>
      </c>
      <c r="E35" s="29">
        <f t="shared" si="4"/>
        <v>97.819824097632193</v>
      </c>
      <c r="G35" s="29">
        <f>IFERROR(AVERAGE(C35:E35),0)</f>
        <v>100.82450373663967</v>
      </c>
      <c r="H35" s="29">
        <f>IFERROR(MEDIAN(C35:E35),0)</f>
        <v>97.819824097632193</v>
      </c>
    </row>
    <row r="36" spans="2:8" x14ac:dyDescent="0.35">
      <c r="B36" t="s">
        <v>132</v>
      </c>
      <c r="C36" s="29">
        <f t="shared" ref="C36:E36" si="5">C35+C33-C34</f>
        <v>-62.875391556659082</v>
      </c>
      <c r="D36" s="29">
        <f t="shared" si="5"/>
        <v>-64.227985013027876</v>
      </c>
      <c r="E36" s="29">
        <f t="shared" si="5"/>
        <v>-47.453080746299108</v>
      </c>
      <c r="G36" s="29">
        <f>IFERROR(AVERAGE(C36:E36),0)</f>
        <v>-58.185485771995353</v>
      </c>
      <c r="H36" s="29">
        <f>IFERROR(MEDIAN(C36:E36),0)</f>
        <v>-62.875391556659082</v>
      </c>
    </row>
    <row r="38" spans="2:8" x14ac:dyDescent="0.35">
      <c r="B38" t="s">
        <v>133</v>
      </c>
      <c r="C38" s="10">
        <f>IFERROR('Historical FS'!#REF!/'Historical FS'!C6,0)</f>
        <v>0</v>
      </c>
      <c r="D38" s="10">
        <f>IFERROR('Historical FS'!#REF!/'Historical FS'!D6,0)</f>
        <v>0</v>
      </c>
      <c r="E38" s="10">
        <f>IFERROR('Historical FS'!#REF!/'Historical FS'!E6,0)</f>
        <v>0</v>
      </c>
      <c r="G38" s="10">
        <f>IFERROR(AVERAGE(C38:E38),0)</f>
        <v>0</v>
      </c>
      <c r="H38" s="10">
        <f>IFERROR(MEDIAN(C38:E38),0)</f>
        <v>0</v>
      </c>
    </row>
    <row r="39" spans="2:8" x14ac:dyDescent="0.35">
      <c r="B39" t="s">
        <v>134</v>
      </c>
      <c r="C39" s="10">
        <f>IFERROR('Historical FS'!#REF!/'Historical FS'!C61,0)</f>
        <v>0</v>
      </c>
      <c r="D39" s="10">
        <f>IFERROR('Historical FS'!#REF!/'Historical FS'!D61,0)</f>
        <v>0</v>
      </c>
      <c r="E39" s="10">
        <f>IFERROR('Historical FS'!#REF!/'Historical FS'!E61,0)</f>
        <v>0</v>
      </c>
      <c r="G39" s="10">
        <f>IFERROR(AVERAGE(C39:E39),0)</f>
        <v>0</v>
      </c>
      <c r="H39" s="10">
        <f>IFERROR(MEDIAN(C39:E39),0)</f>
        <v>0</v>
      </c>
    </row>
    <row r="40" spans="2:8" x14ac:dyDescent="0.35">
      <c r="B40" t="s">
        <v>135</v>
      </c>
      <c r="C40" s="10">
        <f>IFERROR('Historical FS'!#REF!/'Historical FS'!C46,0)</f>
        <v>0</v>
      </c>
      <c r="D40" s="10">
        <f>IFERROR('Historical FS'!#REF!/'Historical FS'!D46,0)</f>
        <v>0</v>
      </c>
      <c r="E40" s="10">
        <f>IFERROR('Historical FS'!#REF!/'Historical FS'!E46,0)</f>
        <v>0</v>
      </c>
      <c r="G40" s="10">
        <f>IFERROR(AVERAGE(C40:E40),0)</f>
        <v>0</v>
      </c>
      <c r="H40" s="10">
        <f>IFERROR(MEDIAN(C40:E40),0)</f>
        <v>0</v>
      </c>
    </row>
    <row r="41" spans="2:8" x14ac:dyDescent="0.35">
      <c r="G41" s="10"/>
      <c r="H41" s="10"/>
    </row>
    <row r="42" spans="2:8" x14ac:dyDescent="0.35">
      <c r="B42" t="s">
        <v>146</v>
      </c>
      <c r="C42" s="33">
        <f>IFERROR('Historical FS'!C59/'Historical FS'!C47,0)</f>
        <v>1.029428807220242</v>
      </c>
      <c r="D42" s="33">
        <f>IFERROR('Historical FS'!D59/'Historical FS'!D47,0)</f>
        <v>0.95299338969542591</v>
      </c>
      <c r="E42" s="33">
        <f>IFERROR('Historical FS'!E59/'Historical FS'!E47,0)</f>
        <v>0.92715880793638039</v>
      </c>
      <c r="G42" s="33">
        <f>AVERAGE(C42:E42)</f>
        <v>0.9698603349506828</v>
      </c>
      <c r="H42" s="33">
        <f>IFERROR(MEDIAN(C42:E42),0)</f>
        <v>0.95299338969542591</v>
      </c>
    </row>
    <row r="43" spans="2:8" x14ac:dyDescent="0.35">
      <c r="B43" t="s">
        <v>140</v>
      </c>
      <c r="C43" s="33">
        <f>IFERROR('Data Sheet'!I59/SUM('Data Sheet'!I57:I58),0)</f>
        <v>1.0734059467732588</v>
      </c>
      <c r="D43" s="33">
        <f>IFERROR('Data Sheet'!J59/SUM('Data Sheet'!J57:J58),0)</f>
        <v>1.2307329324910572</v>
      </c>
      <c r="E43" s="33">
        <f>IFERROR('Data Sheet'!K59/SUM('Data Sheet'!K57:K58),0)</f>
        <v>1.1328071688833383</v>
      </c>
      <c r="G43" s="33">
        <f>AVERAGE(C43:E43)</f>
        <v>1.1456486827158849</v>
      </c>
      <c r="H43" s="33">
        <f>IFERROR(MEDIAN(C43:E43),0)</f>
        <v>1.1328071688833383</v>
      </c>
    </row>
    <row r="44" spans="2:8" x14ac:dyDescent="0.35">
      <c r="B44" t="s">
        <v>141</v>
      </c>
      <c r="C44" s="33">
        <f>IFERROR(('Data Sheet'!I59-'Data Sheet'!I69)/'Historical FS'!C20,0)</f>
        <v>1.402413458096845</v>
      </c>
      <c r="D44" s="33">
        <f>IFERROR(('Data Sheet'!J59-'Data Sheet'!J69)/'Historical FS'!D20,0)</f>
        <v>3.2560368164591229</v>
      </c>
      <c r="E44" s="33">
        <f>IFERROR(('Data Sheet'!K59-'Data Sheet'!K69)/'Historical FS'!E20,0)</f>
        <v>2.6031112334801763</v>
      </c>
      <c r="G44" s="33">
        <f>AVERAGE(C44:E44)</f>
        <v>2.4205205026787144</v>
      </c>
      <c r="H44" s="33">
        <f>IFERROR(MEDIAN(C44:E44),0)</f>
        <v>2.6031112334801763</v>
      </c>
    </row>
    <row r="45" spans="2:8" x14ac:dyDescent="0.35">
      <c r="B45" t="s">
        <v>142</v>
      </c>
      <c r="C45" s="33">
        <f>IFERROR('Data Sheet'!I66/SUM('Data Sheet'!I57:I58),0)</f>
        <v>2.9196695246444864</v>
      </c>
      <c r="D45" s="33">
        <f>IFERROR('Data Sheet'!J66/SUM('Data Sheet'!J57:J58),0)</f>
        <v>3.2047948854555139</v>
      </c>
      <c r="E45" s="33">
        <f>IFERROR('Data Sheet'!K66/SUM('Data Sheet'!K57:K58),0)</f>
        <v>2.9342208603175011</v>
      </c>
      <c r="G45" s="33">
        <f>AVERAGE(C45:E45)</f>
        <v>3.0195617568058335</v>
      </c>
      <c r="H45" s="33">
        <f>IFERROR(MEDIAN(C45:E45),0)</f>
        <v>2.9342208603175011</v>
      </c>
    </row>
    <row r="46" spans="2:8" x14ac:dyDescent="0.35">
      <c r="B46" t="s">
        <v>143</v>
      </c>
      <c r="C46" s="33">
        <f>IFERROR('Historical FS'!C6/'Historical FS'!C61,0)</f>
        <v>0.74494745145939889</v>
      </c>
      <c r="D46" s="33">
        <f>IFERROR('Historical FS'!D6/'Historical FS'!D61,0)</f>
        <v>0.7882625071839422</v>
      </c>
      <c r="E46" s="33">
        <f>IFERROR('Historical FS'!E6/'Historical FS'!E61,0)</f>
        <v>0.7679137157851319</v>
      </c>
      <c r="G46" s="33">
        <f>AVERAGE(C46:E46)</f>
        <v>0.76704122480949088</v>
      </c>
      <c r="H46" s="33">
        <f>IFERROR(MEDIAN(C46:E46),0)</f>
        <v>0.7679137157851319</v>
      </c>
    </row>
    <row r="47" spans="2:8" x14ac:dyDescent="0.35">
      <c r="B47" t="s">
        <v>144</v>
      </c>
      <c r="C47" s="33">
        <f>IFERROR('Historical FS'!C20/'Historical FS'!C61,0)</f>
        <v>0.19906863119322085</v>
      </c>
      <c r="D47" s="33">
        <f>IFERROR('Historical FS'!D20/'Historical FS'!D61,0)</f>
        <v>8.772721443533027E-2</v>
      </c>
      <c r="E47" s="33">
        <f>IFERROR('Historical FS'!E20/'Historical FS'!E61,0)</f>
        <v>0.12749563401170699</v>
      </c>
      <c r="G47" s="33">
        <f>AVERAGE(C47:E47)</f>
        <v>0.13809715988008603</v>
      </c>
      <c r="H47" s="33">
        <f>IFERROR(MEDIAN(C47:E47),0)</f>
        <v>0.12749563401170699</v>
      </c>
    </row>
    <row r="48" spans="2:8" x14ac:dyDescent="0.35">
      <c r="B48" t="s">
        <v>145</v>
      </c>
      <c r="C48" s="33">
        <f>IFERROR('Data Sheet'!I90/'Historical FS'!#REF!,0)</f>
        <v>0</v>
      </c>
      <c r="D48" s="33">
        <f>IFERROR('Data Sheet'!J90/'Historical FS'!#REF!,0)</f>
        <v>0</v>
      </c>
      <c r="E48" s="33">
        <f>IFERROR('Data Sheet'!K90/'Historical FS'!#REF!,0)</f>
        <v>0</v>
      </c>
      <c r="G48" s="33">
        <f>AVERAGE(C48:E48)</f>
        <v>0</v>
      </c>
      <c r="H48" s="33">
        <f>IFERROR(MEDIAN(C48:E48),0)</f>
        <v>0</v>
      </c>
    </row>
  </sheetData>
  <mergeCells count="1">
    <mergeCell ref="B2:E2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30617B80-ECD3-4E8B-83EA-D41F424FC09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 '!C4:E4</xm:f>
              <xm:sqref>F4</xm:sqref>
            </x14:sparkline>
            <x14:sparkline>
              <xm:f>'Ratio Analysis '!C5:E5</xm:f>
              <xm:sqref>F5</xm:sqref>
            </x14:sparkline>
            <x14:sparkline>
              <xm:f>'Ratio Analysis '!C6:E6</xm:f>
              <xm:sqref>F6</xm:sqref>
            </x14:sparkline>
            <x14:sparkline>
              <xm:f>'Ratio Analysis '!C7:E7</xm:f>
              <xm:sqref>F7</xm:sqref>
            </x14:sparkline>
            <x14:sparkline>
              <xm:f>'Ratio Analysis '!C8:E8</xm:f>
              <xm:sqref>F8</xm:sqref>
            </x14:sparkline>
          </x14:sparklines>
        </x14:sparklineGroup>
        <x14:sparklineGroup displayEmptyCellsAs="gap" xr2:uid="{40812DD6-E048-470E-9657-586AC3099D7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 '!C10:E10</xm:f>
              <xm:sqref>F10</xm:sqref>
            </x14:sparkline>
            <x14:sparkline>
              <xm:f>'Ratio Analysis '!C11:E11</xm:f>
              <xm:sqref>F11</xm:sqref>
            </x14:sparkline>
            <x14:sparkline>
              <xm:f>'Ratio Analysis '!C12:E12</xm:f>
              <xm:sqref>F12</xm:sqref>
            </x14:sparkline>
            <x14:sparkline>
              <xm:f>'Ratio Analysis '!C13:E13</xm:f>
              <xm:sqref>F13</xm:sqref>
            </x14:sparkline>
            <x14:sparkline>
              <xm:f>'Ratio Analysis '!C14:E14</xm:f>
              <xm:sqref>F14</xm:sqref>
            </x14:sparkline>
            <x14:sparkline>
              <xm:f>'Ratio Analysis '!C15:E15</xm:f>
              <xm:sqref>F15</xm:sqref>
            </x14:sparkline>
            <x14:sparkline>
              <xm:f>'Ratio Analysis '!C16:E16</xm:f>
              <xm:sqref>F16</xm:sqref>
            </x14:sparkline>
            <x14:sparkline>
              <xm:f>'Ratio Analysis '!C17:E17</xm:f>
              <xm:sqref>F17</xm:sqref>
            </x14:sparkline>
            <x14:sparkline>
              <xm:f>'Ratio Analysis '!C18:E18</xm:f>
              <xm:sqref>F18</xm:sqref>
            </x14:sparkline>
            <x14:sparkline>
              <xm:f>'Ratio Analysis '!C19:E19</xm:f>
              <xm:sqref>F19</xm:sqref>
            </x14:sparkline>
            <x14:sparkline>
              <xm:f>'Ratio Analysis '!C20:E20</xm:f>
              <xm:sqref>F20</xm:sqref>
            </x14:sparkline>
            <x14:sparkline>
              <xm:f>'Ratio Analysis '!C21:E21</xm:f>
              <xm:sqref>F21</xm:sqref>
            </x14:sparkline>
            <x14:sparkline>
              <xm:f>'Ratio Analysis '!C22:E22</xm:f>
              <xm:sqref>F22</xm:sqref>
            </x14:sparkline>
            <x14:sparkline>
              <xm:f>'Ratio Analysis '!C23:E23</xm:f>
              <xm:sqref>F23</xm:sqref>
            </x14:sparkline>
            <x14:sparkline>
              <xm:f>'Ratio Analysis '!C24:E24</xm:f>
              <xm:sqref>F24</xm:sqref>
            </x14:sparkline>
            <x14:sparkline>
              <xm:f>'Ratio Analysis '!C25:E25</xm:f>
              <xm:sqref>F25</xm:sqref>
            </x14:sparkline>
            <x14:sparkline>
              <xm:f>'Ratio Analysis '!C26:E26</xm:f>
              <xm:sqref>F26</xm:sqref>
            </x14:sparkline>
            <x14:sparkline>
              <xm:f>'Ratio Analysis '!C27:E27</xm:f>
              <xm:sqref>F27</xm:sqref>
            </x14:sparkline>
            <x14:sparkline>
              <xm:f>'Ratio Analysis '!C28:E28</xm:f>
              <xm:sqref>F28</xm:sqref>
            </x14:sparkline>
            <x14:sparkline>
              <xm:f>'Ratio Analysis '!C29:E29</xm:f>
              <xm:sqref>F29</xm:sqref>
            </x14:sparkline>
            <x14:sparkline>
              <xm:f>'Ratio Analysis '!C30:E30</xm:f>
              <xm:sqref>F30</xm:sqref>
            </x14:sparkline>
            <x14:sparkline>
              <xm:f>'Ratio Analysis '!C31:E31</xm:f>
              <xm:sqref>F31</xm:sqref>
            </x14:sparkline>
            <x14:sparkline>
              <xm:f>'Ratio Analysis '!C32:E32</xm:f>
              <xm:sqref>F32</xm:sqref>
            </x14:sparkline>
            <x14:sparkline>
              <xm:f>'Ratio Analysis '!C33:E33</xm:f>
              <xm:sqref>F33</xm:sqref>
            </x14:sparkline>
            <x14:sparkline>
              <xm:f>'Ratio Analysis '!C34:E34</xm:f>
              <xm:sqref>F34</xm:sqref>
            </x14:sparkline>
            <x14:sparkline>
              <xm:f>'Ratio Analysis '!C35:E35</xm:f>
              <xm:sqref>F35</xm:sqref>
            </x14:sparkline>
            <x14:sparkline>
              <xm:f>'Ratio Analysis '!C36:E36</xm:f>
              <xm:sqref>F36</xm:sqref>
            </x14:sparkline>
            <x14:sparkline>
              <xm:f>'Ratio Analysis '!C37:E37</xm:f>
              <xm:sqref>F37</xm:sqref>
            </x14:sparkline>
            <x14:sparkline>
              <xm:f>'Ratio Analysis '!C38:E38</xm:f>
              <xm:sqref>F38</xm:sqref>
            </x14:sparkline>
            <x14:sparkline>
              <xm:f>'Ratio Analysis '!C39:E39</xm:f>
              <xm:sqref>F39</xm:sqref>
            </x14:sparkline>
            <x14:sparkline>
              <xm:f>'Ratio Analysis '!C40:E40</xm:f>
              <xm:sqref>F40</xm:sqref>
            </x14:sparkline>
            <x14:sparkline>
              <xm:f>'Ratio Analysis '!C41:E41</xm:f>
              <xm:sqref>F41</xm:sqref>
            </x14:sparkline>
            <x14:sparkline>
              <xm:f>'Ratio Analysis '!C42:E42</xm:f>
              <xm:sqref>F42</xm:sqref>
            </x14:sparkline>
            <x14:sparkline>
              <xm:f>'Ratio Analysis '!C43:E43</xm:f>
              <xm:sqref>F43</xm:sqref>
            </x14:sparkline>
            <x14:sparkline>
              <xm:f>'Ratio Analysis '!C44:E44</xm:f>
              <xm:sqref>F44</xm:sqref>
            </x14:sparkline>
            <x14:sparkline>
              <xm:f>'Ratio Analysis '!C45:E45</xm:f>
              <xm:sqref>F45</xm:sqref>
            </x14:sparkline>
            <x14:sparkline>
              <xm:f>'Ratio Analysis '!C46:E46</xm:f>
              <xm:sqref>F46</xm:sqref>
            </x14:sparkline>
            <x14:sparkline>
              <xm:f>'Ratio Analysis '!C47:E47</xm:f>
              <xm:sqref>F47</xm:sqref>
            </x14:sparkline>
            <x14:sparkline>
              <xm:f>'Ratio Analysis '!C48:E48</xm:f>
              <xm:sqref>F48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2E08-49CD-4AE2-BC52-B7CC06D6675A}">
  <dimension ref="B2:U115"/>
  <sheetViews>
    <sheetView showGridLines="0" topLeftCell="B4" workbookViewId="0">
      <selection activeCell="K12" sqref="K12"/>
    </sheetView>
  </sheetViews>
  <sheetFormatPr defaultRowHeight="14.5" x14ac:dyDescent="0.35"/>
  <cols>
    <col min="1" max="1" width="2" customWidth="1"/>
    <col min="2" max="2" width="14.1796875" bestFit="1" customWidth="1"/>
    <col min="3" max="3" width="11.26953125" bestFit="1" customWidth="1"/>
    <col min="4" max="4" width="14.54296875" bestFit="1" customWidth="1"/>
    <col min="5" max="5" width="14.08984375" customWidth="1"/>
    <col min="6" max="6" width="10.36328125" customWidth="1"/>
    <col min="7" max="7" width="11.26953125" bestFit="1" customWidth="1"/>
    <col min="9" max="9" width="18" bestFit="1" customWidth="1"/>
    <col min="12" max="12" width="17.26953125" bestFit="1" customWidth="1"/>
    <col min="13" max="13" width="20" bestFit="1" customWidth="1"/>
  </cols>
  <sheetData>
    <row r="2" spans="2:14" x14ac:dyDescent="0.35">
      <c r="B2" s="17" t="s">
        <v>214</v>
      </c>
    </row>
    <row r="5" spans="2:14" x14ac:dyDescent="0.35">
      <c r="B5" s="125" t="s">
        <v>213</v>
      </c>
      <c r="C5" s="125"/>
      <c r="D5" s="125"/>
      <c r="F5" s="125" t="s">
        <v>212</v>
      </c>
      <c r="G5" s="125"/>
      <c r="I5" s="125" t="s">
        <v>277</v>
      </c>
      <c r="J5" s="125"/>
      <c r="M5" s="33"/>
    </row>
    <row r="6" spans="2:14" x14ac:dyDescent="0.35">
      <c r="B6" s="51" t="s">
        <v>211</v>
      </c>
      <c r="C6" s="17" t="s">
        <v>209</v>
      </c>
      <c r="D6" s="50" t="s">
        <v>210</v>
      </c>
      <c r="F6" s="50" t="s">
        <v>209</v>
      </c>
      <c r="G6" s="50" t="s">
        <v>208</v>
      </c>
      <c r="I6" s="47"/>
      <c r="J6" s="33"/>
      <c r="M6" s="33"/>
    </row>
    <row r="7" spans="2:14" x14ac:dyDescent="0.35">
      <c r="B7" s="48">
        <v>44808</v>
      </c>
      <c r="C7" s="103">
        <v>686.95</v>
      </c>
      <c r="F7" s="103">
        <v>17833.349999999999</v>
      </c>
      <c r="I7" s="104">
        <f>N25</f>
        <v>1.1322468293567378</v>
      </c>
      <c r="J7" s="97"/>
    </row>
    <row r="8" spans="2:14" x14ac:dyDescent="0.35">
      <c r="B8" s="48">
        <v>44815</v>
      </c>
      <c r="C8" s="103">
        <v>685.85</v>
      </c>
      <c r="D8" s="10">
        <f>C8/C7-1</f>
        <v>-1.6012810248199338E-3</v>
      </c>
      <c r="F8" s="103">
        <v>17530.849999999999</v>
      </c>
      <c r="G8" s="10">
        <f>F8/F7-1</f>
        <v>-1.6962600969531838E-2</v>
      </c>
      <c r="J8" s="97"/>
      <c r="M8" t="s">
        <v>207</v>
      </c>
    </row>
    <row r="9" spans="2:14" ht="15" thickBot="1" x14ac:dyDescent="0.4">
      <c r="B9" s="48">
        <v>44822</v>
      </c>
      <c r="C9" s="103">
        <v>669</v>
      </c>
      <c r="D9" s="10">
        <f>C9/C8-1</f>
        <v>-2.4568054239265225E-2</v>
      </c>
      <c r="F9" s="103">
        <v>17327.349999999999</v>
      </c>
      <c r="G9" s="10">
        <f t="shared" ref="G9:G72" si="0">F9/F8-1</f>
        <v>-1.1608107992481798E-2</v>
      </c>
      <c r="J9" s="33"/>
    </row>
    <row r="10" spans="2:14" x14ac:dyDescent="0.35">
      <c r="B10" s="48">
        <v>44829</v>
      </c>
      <c r="C10" s="103">
        <v>631.65</v>
      </c>
      <c r="D10" s="10">
        <f t="shared" ref="D10:D73" si="1">C10/C9-1</f>
        <v>-5.5829596412556137E-2</v>
      </c>
      <c r="F10" s="103">
        <v>17094.349999999999</v>
      </c>
      <c r="G10" s="10">
        <f t="shared" si="0"/>
        <v>-1.3446949475828696E-2</v>
      </c>
      <c r="J10" s="97"/>
      <c r="M10" s="102" t="s">
        <v>206</v>
      </c>
      <c r="N10" s="102"/>
    </row>
    <row r="11" spans="2:14" x14ac:dyDescent="0.35">
      <c r="B11" s="48">
        <v>44836</v>
      </c>
      <c r="C11" s="103">
        <v>666.05</v>
      </c>
      <c r="D11" s="10">
        <f>C11/C10-1</f>
        <v>5.4460539855932799E-2</v>
      </c>
      <c r="F11" s="103">
        <v>17314.650000000001</v>
      </c>
      <c r="G11" s="10">
        <f>F11/F10-1</f>
        <v>1.2887299019851861E-2</v>
      </c>
      <c r="M11" t="s">
        <v>205</v>
      </c>
      <c r="N11">
        <v>0.55842756594896081</v>
      </c>
    </row>
    <row r="12" spans="2:14" x14ac:dyDescent="0.35">
      <c r="B12" s="48">
        <v>44843</v>
      </c>
      <c r="C12" s="103">
        <v>640.25</v>
      </c>
      <c r="D12" s="10">
        <f t="shared" si="1"/>
        <v>-3.8735830643345071E-2</v>
      </c>
      <c r="F12" s="103">
        <v>17185.7</v>
      </c>
      <c r="G12" s="10">
        <f t="shared" si="0"/>
        <v>-7.4474505693156168E-3</v>
      </c>
      <c r="I12" s="98"/>
      <c r="J12" s="99"/>
      <c r="M12" t="s">
        <v>204</v>
      </c>
      <c r="N12">
        <v>0.31184134641168093</v>
      </c>
    </row>
    <row r="13" spans="2:14" x14ac:dyDescent="0.35">
      <c r="B13" s="48">
        <v>44850</v>
      </c>
      <c r="C13" s="103">
        <v>622.04999999999995</v>
      </c>
      <c r="D13" s="10">
        <f t="shared" si="1"/>
        <v>-2.8426395939086357E-2</v>
      </c>
      <c r="F13" s="103">
        <v>17576.3</v>
      </c>
      <c r="G13" s="10">
        <f t="shared" si="0"/>
        <v>2.2728198444055048E-2</v>
      </c>
      <c r="L13" s="49"/>
      <c r="M13" t="s">
        <v>203</v>
      </c>
      <c r="N13">
        <v>0.30534928364197977</v>
      </c>
    </row>
    <row r="14" spans="2:14" x14ac:dyDescent="0.35">
      <c r="B14" s="48">
        <v>44857</v>
      </c>
      <c r="C14" s="103">
        <v>670.4</v>
      </c>
      <c r="D14" s="10">
        <f t="shared" si="1"/>
        <v>7.772687083031915E-2</v>
      </c>
      <c r="F14" s="103">
        <v>17786.8</v>
      </c>
      <c r="G14" s="10">
        <f t="shared" si="0"/>
        <v>1.1976354522851729E-2</v>
      </c>
      <c r="M14" t="s">
        <v>192</v>
      </c>
      <c r="N14">
        <v>2.4926956667046272E-2</v>
      </c>
    </row>
    <row r="15" spans="2:14" ht="15" thickBot="1" x14ac:dyDescent="0.4">
      <c r="B15" s="48">
        <v>44864</v>
      </c>
      <c r="C15" s="103">
        <v>701.75</v>
      </c>
      <c r="D15" s="10">
        <f t="shared" si="1"/>
        <v>4.6763126491646823E-2</v>
      </c>
      <c r="F15" s="103">
        <v>18117.150000000001</v>
      </c>
      <c r="G15" s="10">
        <f t="shared" si="0"/>
        <v>1.8572761823374861E-2</v>
      </c>
      <c r="M15" s="100" t="s">
        <v>202</v>
      </c>
      <c r="N15" s="100">
        <v>108</v>
      </c>
    </row>
    <row r="16" spans="2:14" x14ac:dyDescent="0.35">
      <c r="B16" s="48">
        <v>44871</v>
      </c>
      <c r="C16" s="103">
        <v>719</v>
      </c>
      <c r="D16" s="10">
        <f t="shared" si="1"/>
        <v>2.4581403633772814E-2</v>
      </c>
      <c r="F16" s="103">
        <v>18349.7</v>
      </c>
      <c r="G16" s="10">
        <f t="shared" si="0"/>
        <v>1.2835904101914375E-2</v>
      </c>
    </row>
    <row r="17" spans="2:21" ht="15" thickBot="1" x14ac:dyDescent="0.4">
      <c r="B17" s="48">
        <v>44878</v>
      </c>
      <c r="C17" s="103">
        <v>708.2</v>
      </c>
      <c r="D17" s="10">
        <f t="shared" si="1"/>
        <v>-1.5020862308762095E-2</v>
      </c>
      <c r="F17" s="103">
        <v>18307.650000000001</v>
      </c>
      <c r="G17" s="10">
        <f t="shared" si="0"/>
        <v>-2.2915905982113793E-3</v>
      </c>
      <c r="M17" t="s">
        <v>201</v>
      </c>
    </row>
    <row r="18" spans="2:21" x14ac:dyDescent="0.35">
      <c r="B18" s="48">
        <v>44885</v>
      </c>
      <c r="C18" s="103">
        <v>726.2</v>
      </c>
      <c r="D18" s="10">
        <f t="shared" si="1"/>
        <v>2.5416548997458266E-2</v>
      </c>
      <c r="F18" s="103">
        <v>18512.75</v>
      </c>
      <c r="G18" s="10">
        <f t="shared" si="0"/>
        <v>1.1202967065680136E-2</v>
      </c>
      <c r="M18" s="101"/>
      <c r="N18" s="101" t="s">
        <v>200</v>
      </c>
      <c r="O18" s="101" t="s">
        <v>199</v>
      </c>
      <c r="P18" s="101" t="s">
        <v>198</v>
      </c>
      <c r="Q18" s="101" t="s">
        <v>197</v>
      </c>
      <c r="R18" s="101" t="s">
        <v>196</v>
      </c>
    </row>
    <row r="19" spans="2:21" x14ac:dyDescent="0.35">
      <c r="B19" s="48">
        <v>44892</v>
      </c>
      <c r="C19" s="103">
        <v>743.05</v>
      </c>
      <c r="D19" s="10">
        <f t="shared" si="1"/>
        <v>2.3202974387221076E-2</v>
      </c>
      <c r="F19" s="103">
        <v>18696.099999999999</v>
      </c>
      <c r="G19" s="10">
        <f t="shared" si="0"/>
        <v>9.9039850913558158E-3</v>
      </c>
      <c r="M19" t="s">
        <v>195</v>
      </c>
      <c r="N19">
        <v>1</v>
      </c>
      <c r="O19">
        <v>2.9846231558772515E-2</v>
      </c>
      <c r="P19">
        <v>2.9846231558772515E-2</v>
      </c>
      <c r="Q19">
        <v>48.034246968015253</v>
      </c>
      <c r="R19">
        <v>3.3909558750672093E-10</v>
      </c>
    </row>
    <row r="20" spans="2:21" x14ac:dyDescent="0.35">
      <c r="B20" s="48">
        <v>44899</v>
      </c>
      <c r="C20" s="103">
        <v>740.4</v>
      </c>
      <c r="D20" s="10">
        <f t="shared" si="1"/>
        <v>-3.566381804723795E-3</v>
      </c>
      <c r="F20" s="103">
        <v>18496.599999999999</v>
      </c>
      <c r="G20" s="10">
        <f t="shared" si="0"/>
        <v>-1.0670674632677457E-2</v>
      </c>
      <c r="M20" t="s">
        <v>194</v>
      </c>
      <c r="N20">
        <v>106</v>
      </c>
      <c r="O20">
        <v>6.5863435880165078E-2</v>
      </c>
      <c r="P20">
        <v>6.2135316868080267E-4</v>
      </c>
    </row>
    <row r="21" spans="2:21" ht="15" thickBot="1" x14ac:dyDescent="0.4">
      <c r="B21" s="48">
        <v>44906</v>
      </c>
      <c r="C21" s="103">
        <v>743.45</v>
      </c>
      <c r="D21" s="10">
        <f t="shared" si="1"/>
        <v>4.1193949216640213E-3</v>
      </c>
      <c r="F21" s="103">
        <v>18269</v>
      </c>
      <c r="G21" s="10">
        <f t="shared" si="0"/>
        <v>-1.2304964155574472E-2</v>
      </c>
      <c r="L21" s="32"/>
      <c r="M21" s="100" t="s">
        <v>12</v>
      </c>
      <c r="N21" s="100">
        <v>107</v>
      </c>
      <c r="O21" s="100">
        <v>9.5709667438937593E-2</v>
      </c>
      <c r="P21" s="100"/>
      <c r="Q21" s="100"/>
      <c r="R21" s="100"/>
    </row>
    <row r="22" spans="2:21" ht="15" thickBot="1" x14ac:dyDescent="0.4">
      <c r="B22" s="48">
        <v>44913</v>
      </c>
      <c r="C22" s="103">
        <v>727.85</v>
      </c>
      <c r="D22" s="10">
        <f t="shared" si="1"/>
        <v>-2.0983253749411568E-2</v>
      </c>
      <c r="F22" s="103">
        <v>17806.8</v>
      </c>
      <c r="G22" s="10">
        <f t="shared" si="0"/>
        <v>-2.5299687996058973E-2</v>
      </c>
    </row>
    <row r="23" spans="2:21" x14ac:dyDescent="0.35">
      <c r="B23" s="48">
        <v>44920</v>
      </c>
      <c r="C23" s="103">
        <v>768.05</v>
      </c>
      <c r="D23" s="10">
        <f t="shared" si="1"/>
        <v>5.5231160266538293E-2</v>
      </c>
      <c r="F23" s="103">
        <v>18105.3</v>
      </c>
      <c r="G23" s="10">
        <f t="shared" si="0"/>
        <v>1.6763258979715534E-2</v>
      </c>
      <c r="M23" s="101"/>
      <c r="N23" s="101" t="s">
        <v>193</v>
      </c>
      <c r="O23" s="101" t="s">
        <v>192</v>
      </c>
      <c r="P23" s="101" t="s">
        <v>191</v>
      </c>
      <c r="Q23" s="101" t="s">
        <v>190</v>
      </c>
      <c r="R23" s="101" t="s">
        <v>189</v>
      </c>
      <c r="S23" s="101" t="s">
        <v>188</v>
      </c>
      <c r="T23" s="101" t="s">
        <v>187</v>
      </c>
      <c r="U23" s="101" t="s">
        <v>186</v>
      </c>
    </row>
    <row r="24" spans="2:21" x14ac:dyDescent="0.35">
      <c r="B24" s="48">
        <v>44927</v>
      </c>
      <c r="C24" s="103">
        <v>728.35</v>
      </c>
      <c r="D24" s="10">
        <f t="shared" si="1"/>
        <v>-5.1689343141722466E-2</v>
      </c>
      <c r="F24" s="103">
        <v>17859.45</v>
      </c>
      <c r="G24" s="10">
        <f t="shared" si="0"/>
        <v>-1.3578896787128536E-2</v>
      </c>
      <c r="M24" t="s">
        <v>185</v>
      </c>
      <c r="N24">
        <v>5.5824067052184703E-4</v>
      </c>
      <c r="O24">
        <v>2.456520215308055E-3</v>
      </c>
      <c r="P24">
        <v>0.22724855551487572</v>
      </c>
      <c r="Q24">
        <v>0.8206681882437532</v>
      </c>
      <c r="R24">
        <v>-4.3120495818194972E-3</v>
      </c>
      <c r="S24">
        <v>5.4285309228631912E-3</v>
      </c>
      <c r="T24">
        <v>-4.3120495818194972E-3</v>
      </c>
      <c r="U24">
        <v>5.4285309228631912E-3</v>
      </c>
    </row>
    <row r="25" spans="2:21" ht="15" thickBot="1" x14ac:dyDescent="0.4">
      <c r="B25" s="48">
        <v>44934</v>
      </c>
      <c r="C25" s="103">
        <v>768.5</v>
      </c>
      <c r="D25" s="10">
        <f t="shared" si="1"/>
        <v>5.5124596691151106E-2</v>
      </c>
      <c r="F25" s="103">
        <v>17956.599999999999</v>
      </c>
      <c r="G25" s="10">
        <f t="shared" si="0"/>
        <v>5.4396971911228054E-3</v>
      </c>
      <c r="M25" s="100" t="s">
        <v>184</v>
      </c>
      <c r="N25" s="100">
        <v>1.1322468293567378</v>
      </c>
      <c r="O25" s="100">
        <v>0.16336748372751067</v>
      </c>
      <c r="P25" s="100">
        <v>6.9306743516064229</v>
      </c>
      <c r="Q25" s="100">
        <v>3.3909558750673934E-10</v>
      </c>
      <c r="R25" s="100">
        <v>0.80835490345705541</v>
      </c>
      <c r="S25" s="100">
        <v>1.4561387552564202</v>
      </c>
      <c r="T25" s="100">
        <v>0.80835490345705541</v>
      </c>
      <c r="U25" s="100">
        <v>1.4561387552564202</v>
      </c>
    </row>
    <row r="26" spans="2:21" x14ac:dyDescent="0.35">
      <c r="B26" s="48">
        <v>44941</v>
      </c>
      <c r="C26" s="103">
        <v>741.45</v>
      </c>
      <c r="D26" s="10">
        <f t="shared" si="1"/>
        <v>-3.5198438516590658E-2</v>
      </c>
      <c r="F26" s="103">
        <v>18027.650000000001</v>
      </c>
      <c r="G26" s="10">
        <f t="shared" si="0"/>
        <v>3.9567624160476988E-3</v>
      </c>
      <c r="L26" s="32"/>
    </row>
    <row r="27" spans="2:21" x14ac:dyDescent="0.35">
      <c r="B27" s="48">
        <v>44948</v>
      </c>
      <c r="C27" s="103">
        <v>721.35</v>
      </c>
      <c r="D27" s="10">
        <f t="shared" si="1"/>
        <v>-2.7109043091240181E-2</v>
      </c>
      <c r="F27" s="103">
        <v>17604.349999999999</v>
      </c>
      <c r="G27" s="10">
        <f t="shared" si="0"/>
        <v>-2.3480597859399488E-2</v>
      </c>
    </row>
    <row r="28" spans="2:21" x14ac:dyDescent="0.35">
      <c r="B28" s="48">
        <v>44955</v>
      </c>
      <c r="C28" s="103">
        <v>731.85</v>
      </c>
      <c r="D28" s="10">
        <f t="shared" si="1"/>
        <v>1.4556040756914079E-2</v>
      </c>
      <c r="F28" s="103">
        <v>17854.05</v>
      </c>
      <c r="G28" s="10">
        <f t="shared" si="0"/>
        <v>1.4183994296864233E-2</v>
      </c>
    </row>
    <row r="29" spans="2:21" x14ac:dyDescent="0.35">
      <c r="B29" s="48">
        <v>44962</v>
      </c>
      <c r="C29" s="103">
        <v>718.95</v>
      </c>
      <c r="D29" s="10">
        <f t="shared" si="1"/>
        <v>-1.7626562820249991E-2</v>
      </c>
      <c r="F29" s="103">
        <v>17856.5</v>
      </c>
      <c r="G29" s="10">
        <f t="shared" si="0"/>
        <v>1.372237671564136E-4</v>
      </c>
    </row>
    <row r="30" spans="2:21" x14ac:dyDescent="0.35">
      <c r="B30" s="48">
        <v>44969</v>
      </c>
      <c r="C30" s="103">
        <v>728.4</v>
      </c>
      <c r="D30" s="10">
        <f t="shared" si="1"/>
        <v>1.3144168579177773E-2</v>
      </c>
      <c r="F30" s="103">
        <v>17944.2</v>
      </c>
      <c r="G30" s="10">
        <f t="shared" si="0"/>
        <v>4.9113768095652155E-3</v>
      </c>
    </row>
    <row r="31" spans="2:21" x14ac:dyDescent="0.35">
      <c r="B31" s="48">
        <v>44976</v>
      </c>
      <c r="C31" s="103">
        <v>685</v>
      </c>
      <c r="D31" s="10">
        <f t="shared" si="1"/>
        <v>-5.9582646897309188E-2</v>
      </c>
      <c r="F31" s="103">
        <v>17465.8</v>
      </c>
      <c r="G31" s="10">
        <f t="shared" si="0"/>
        <v>-2.6660425095574092E-2</v>
      </c>
    </row>
    <row r="32" spans="2:21" x14ac:dyDescent="0.35">
      <c r="B32" s="48">
        <v>44983</v>
      </c>
      <c r="C32" s="103">
        <v>682.3</v>
      </c>
      <c r="D32" s="10">
        <f t="shared" si="1"/>
        <v>-3.9416058394161624E-3</v>
      </c>
      <c r="F32" s="103">
        <v>17594.349999999999</v>
      </c>
      <c r="G32" s="10">
        <f t="shared" si="0"/>
        <v>7.360098020130712E-3</v>
      </c>
    </row>
    <row r="33" spans="2:7" x14ac:dyDescent="0.35">
      <c r="B33" s="48">
        <v>44990</v>
      </c>
      <c r="C33" s="103">
        <v>679.4</v>
      </c>
      <c r="D33" s="10">
        <f t="shared" si="1"/>
        <v>-4.2503297669646001E-3</v>
      </c>
      <c r="F33" s="103">
        <v>17412.900000000001</v>
      </c>
      <c r="G33" s="10">
        <f t="shared" si="0"/>
        <v>-1.0312969788596749E-2</v>
      </c>
    </row>
    <row r="34" spans="2:7" x14ac:dyDescent="0.35">
      <c r="B34" s="48">
        <v>44997</v>
      </c>
      <c r="C34" s="103">
        <v>676.4</v>
      </c>
      <c r="D34" s="10">
        <f t="shared" si="1"/>
        <v>-4.4156608772446537E-3</v>
      </c>
      <c r="F34" s="103">
        <v>17100.05</v>
      </c>
      <c r="G34" s="10">
        <f t="shared" si="0"/>
        <v>-1.796656501788918E-2</v>
      </c>
    </row>
    <row r="35" spans="2:7" x14ac:dyDescent="0.35">
      <c r="B35" s="48">
        <v>45004</v>
      </c>
      <c r="C35" s="103">
        <v>657.8</v>
      </c>
      <c r="D35" s="10">
        <f t="shared" si="1"/>
        <v>-2.7498521584861102E-2</v>
      </c>
      <c r="F35" s="103">
        <v>16945.05</v>
      </c>
      <c r="G35" s="10">
        <f t="shared" si="0"/>
        <v>-9.0643009815760678E-3</v>
      </c>
    </row>
    <row r="36" spans="2:7" x14ac:dyDescent="0.35">
      <c r="B36" s="48">
        <v>45011</v>
      </c>
      <c r="C36" s="103">
        <v>688.1</v>
      </c>
      <c r="D36" s="10">
        <f t="shared" si="1"/>
        <v>4.6062633019154919E-2</v>
      </c>
      <c r="F36" s="103">
        <v>17359.75</v>
      </c>
      <c r="G36" s="10">
        <f t="shared" si="0"/>
        <v>2.4473223743807226E-2</v>
      </c>
    </row>
    <row r="37" spans="2:7" x14ac:dyDescent="0.35">
      <c r="B37" s="48">
        <v>45018</v>
      </c>
      <c r="C37" s="103">
        <v>682.7</v>
      </c>
      <c r="D37" s="10">
        <f t="shared" si="1"/>
        <v>-7.8476965557331413E-3</v>
      </c>
      <c r="F37" s="103">
        <v>17599.150000000001</v>
      </c>
      <c r="G37" s="10">
        <f t="shared" si="0"/>
        <v>1.3790521176860304E-2</v>
      </c>
    </row>
    <row r="38" spans="2:7" x14ac:dyDescent="0.35">
      <c r="B38" s="48">
        <v>45025</v>
      </c>
      <c r="C38" s="103">
        <v>720.65</v>
      </c>
      <c r="D38" s="10">
        <f t="shared" si="1"/>
        <v>5.5588106049509145E-2</v>
      </c>
      <c r="F38" s="103">
        <v>17828</v>
      </c>
      <c r="G38" s="10">
        <f t="shared" si="0"/>
        <v>1.3003468917532901E-2</v>
      </c>
    </row>
    <row r="39" spans="2:7" x14ac:dyDescent="0.35">
      <c r="B39" s="48">
        <v>45032</v>
      </c>
      <c r="C39" s="103">
        <v>710.65</v>
      </c>
      <c r="D39" s="10">
        <f t="shared" si="1"/>
        <v>-1.3876361617983779E-2</v>
      </c>
      <c r="F39" s="103">
        <v>17624.05</v>
      </c>
      <c r="G39" s="10">
        <f t="shared" si="0"/>
        <v>-1.143986986762402E-2</v>
      </c>
    </row>
    <row r="40" spans="2:7" x14ac:dyDescent="0.35">
      <c r="B40" s="48">
        <v>45039</v>
      </c>
      <c r="C40" s="103">
        <v>725.3</v>
      </c>
      <c r="D40" s="10">
        <f t="shared" si="1"/>
        <v>2.0614929993667763E-2</v>
      </c>
      <c r="F40" s="103">
        <v>18065</v>
      </c>
      <c r="G40" s="10">
        <f t="shared" si="0"/>
        <v>2.5019788300645995E-2</v>
      </c>
    </row>
    <row r="41" spans="2:7" x14ac:dyDescent="0.35">
      <c r="B41" s="48">
        <v>45046</v>
      </c>
      <c r="C41" s="103">
        <v>733.35</v>
      </c>
      <c r="D41" s="10">
        <f t="shared" si="1"/>
        <v>1.1098855645939709E-2</v>
      </c>
      <c r="F41" s="103">
        <v>18069</v>
      </c>
      <c r="G41" s="10">
        <f t="shared" si="0"/>
        <v>2.2142264046509652E-4</v>
      </c>
    </row>
    <row r="42" spans="2:7" x14ac:dyDescent="0.35">
      <c r="B42" s="48">
        <v>45053</v>
      </c>
      <c r="C42" s="103">
        <v>702.65</v>
      </c>
      <c r="D42" s="10">
        <f t="shared" si="1"/>
        <v>-4.1862684938978711E-2</v>
      </c>
      <c r="F42" s="103">
        <v>18314.8</v>
      </c>
      <c r="G42" s="10">
        <f t="shared" si="0"/>
        <v>1.3603409153799317E-2</v>
      </c>
    </row>
    <row r="43" spans="2:7" x14ac:dyDescent="0.35">
      <c r="B43" s="48">
        <v>45060</v>
      </c>
      <c r="C43" s="103">
        <v>693.85</v>
      </c>
      <c r="D43" s="10">
        <f t="shared" si="1"/>
        <v>-1.2524016224293666E-2</v>
      </c>
      <c r="F43" s="103">
        <v>18203.400000000001</v>
      </c>
      <c r="G43" s="10">
        <f t="shared" si="0"/>
        <v>-6.0825125035489647E-3</v>
      </c>
    </row>
    <row r="44" spans="2:7" x14ac:dyDescent="0.35">
      <c r="B44" s="48">
        <v>45067</v>
      </c>
      <c r="C44" s="103">
        <v>701.7</v>
      </c>
      <c r="D44" s="10">
        <f t="shared" si="1"/>
        <v>1.1313684513943878E-2</v>
      </c>
      <c r="F44" s="103">
        <v>18499.349999999999</v>
      </c>
      <c r="G44" s="10">
        <f t="shared" si="0"/>
        <v>1.6257951811200044E-2</v>
      </c>
    </row>
    <row r="45" spans="2:7" x14ac:dyDescent="0.35">
      <c r="B45" s="48">
        <v>45074</v>
      </c>
      <c r="C45" s="103">
        <v>706.6</v>
      </c>
      <c r="D45" s="10">
        <f t="shared" si="1"/>
        <v>6.9830411856919294E-3</v>
      </c>
      <c r="F45" s="103">
        <v>18534.099999999999</v>
      </c>
      <c r="G45" s="10">
        <f t="shared" si="0"/>
        <v>1.8784443777755122E-3</v>
      </c>
    </row>
    <row r="46" spans="2:7" x14ac:dyDescent="0.35">
      <c r="B46" s="48">
        <v>45081</v>
      </c>
      <c r="C46" s="103">
        <v>748.5</v>
      </c>
      <c r="D46" s="10">
        <f t="shared" si="1"/>
        <v>5.9298046985564623E-2</v>
      </c>
      <c r="F46" s="103">
        <v>18563.400000000001</v>
      </c>
      <c r="G46" s="10">
        <f t="shared" si="0"/>
        <v>1.5808698561032841E-3</v>
      </c>
    </row>
    <row r="47" spans="2:7" x14ac:dyDescent="0.35">
      <c r="B47" s="48">
        <v>45088</v>
      </c>
      <c r="C47" s="103">
        <v>776.1</v>
      </c>
      <c r="D47" s="10">
        <f t="shared" si="1"/>
        <v>3.6873747494990061E-2</v>
      </c>
      <c r="F47" s="103">
        <v>18826</v>
      </c>
      <c r="G47" s="10">
        <f t="shared" si="0"/>
        <v>1.4146115474535925E-2</v>
      </c>
    </row>
    <row r="48" spans="2:7" x14ac:dyDescent="0.35">
      <c r="B48" s="48">
        <v>45095</v>
      </c>
      <c r="C48" s="103">
        <v>746.5</v>
      </c>
      <c r="D48" s="10">
        <f t="shared" si="1"/>
        <v>-3.8139415023837109E-2</v>
      </c>
      <c r="F48" s="103">
        <v>18665.5</v>
      </c>
      <c r="G48" s="10">
        <f t="shared" si="0"/>
        <v>-8.5254435355359703E-3</v>
      </c>
    </row>
    <row r="49" spans="2:7" x14ac:dyDescent="0.35">
      <c r="B49" s="48">
        <v>45102</v>
      </c>
      <c r="C49" s="103">
        <v>784.8</v>
      </c>
      <c r="D49" s="10">
        <f t="shared" si="1"/>
        <v>5.1306095110515759E-2</v>
      </c>
      <c r="F49" s="103">
        <v>19189.05</v>
      </c>
      <c r="G49" s="10">
        <f t="shared" si="0"/>
        <v>2.8049074495727355E-2</v>
      </c>
    </row>
    <row r="50" spans="2:7" x14ac:dyDescent="0.35">
      <c r="B50" s="48">
        <v>45109</v>
      </c>
      <c r="C50" s="103">
        <v>788.4</v>
      </c>
      <c r="D50" s="10">
        <f t="shared" si="1"/>
        <v>4.5871559633028358E-3</v>
      </c>
      <c r="F50" s="103">
        <v>19331.8</v>
      </c>
      <c r="G50" s="10">
        <f t="shared" si="0"/>
        <v>7.4391384669902916E-3</v>
      </c>
    </row>
    <row r="51" spans="2:7" x14ac:dyDescent="0.35">
      <c r="B51" s="48">
        <v>45116</v>
      </c>
      <c r="C51" s="103">
        <v>804.85</v>
      </c>
      <c r="D51" s="10">
        <f t="shared" si="1"/>
        <v>2.0865043125317229E-2</v>
      </c>
      <c r="F51" s="103">
        <v>19564.5</v>
      </c>
      <c r="G51" s="10">
        <f t="shared" si="0"/>
        <v>1.2037161567986399E-2</v>
      </c>
    </row>
    <row r="52" spans="2:7" x14ac:dyDescent="0.35">
      <c r="B52" s="48">
        <v>45123</v>
      </c>
      <c r="C52" s="103">
        <v>786.45</v>
      </c>
      <c r="D52" s="10">
        <f t="shared" si="1"/>
        <v>-2.2861402745853243E-2</v>
      </c>
      <c r="F52" s="103">
        <v>19745</v>
      </c>
      <c r="G52" s="10">
        <f t="shared" si="0"/>
        <v>9.225893838329613E-3</v>
      </c>
    </row>
    <row r="53" spans="2:7" x14ac:dyDescent="0.35">
      <c r="B53" s="48">
        <v>45130</v>
      </c>
      <c r="C53" s="103">
        <v>804.15</v>
      </c>
      <c r="D53" s="10">
        <f t="shared" si="1"/>
        <v>2.250619874117854E-2</v>
      </c>
      <c r="F53" s="103">
        <v>19646.05</v>
      </c>
      <c r="G53" s="10">
        <f t="shared" si="0"/>
        <v>-5.0113952899468739E-3</v>
      </c>
    </row>
    <row r="54" spans="2:7" x14ac:dyDescent="0.35">
      <c r="B54" s="48">
        <v>45137</v>
      </c>
      <c r="C54" s="103">
        <v>805.95</v>
      </c>
      <c r="D54" s="10">
        <f t="shared" si="1"/>
        <v>2.2383883603807053E-3</v>
      </c>
      <c r="F54" s="103">
        <v>19517</v>
      </c>
      <c r="G54" s="10">
        <f t="shared" si="0"/>
        <v>-6.568750461288575E-3</v>
      </c>
    </row>
    <row r="55" spans="2:7" x14ac:dyDescent="0.35">
      <c r="B55" s="48">
        <v>45144</v>
      </c>
      <c r="C55" s="103">
        <v>820.65</v>
      </c>
      <c r="D55" s="10">
        <f t="shared" si="1"/>
        <v>1.8239344872510665E-2</v>
      </c>
      <c r="F55" s="103">
        <v>19428.3</v>
      </c>
      <c r="G55" s="10">
        <f t="shared" si="0"/>
        <v>-4.5447558538710409E-3</v>
      </c>
    </row>
    <row r="56" spans="2:7" x14ac:dyDescent="0.35">
      <c r="B56" s="48">
        <v>45151</v>
      </c>
      <c r="C56" s="103">
        <v>787.1</v>
      </c>
      <c r="D56" s="10">
        <f t="shared" si="1"/>
        <v>-4.0882227502589408E-2</v>
      </c>
      <c r="F56" s="103">
        <v>19310.150000000001</v>
      </c>
      <c r="G56" s="10">
        <f t="shared" si="0"/>
        <v>-6.0813349598265454E-3</v>
      </c>
    </row>
    <row r="57" spans="2:7" x14ac:dyDescent="0.35">
      <c r="B57" s="48">
        <v>45158</v>
      </c>
      <c r="C57" s="103">
        <v>773.15</v>
      </c>
      <c r="D57" s="10">
        <f t="shared" si="1"/>
        <v>-1.7723288019311445E-2</v>
      </c>
      <c r="F57" s="103">
        <v>19265.8</v>
      </c>
      <c r="G57" s="10">
        <f t="shared" si="0"/>
        <v>-2.2967196008317758E-3</v>
      </c>
    </row>
    <row r="58" spans="2:7" x14ac:dyDescent="0.35">
      <c r="B58" s="48">
        <v>45165</v>
      </c>
      <c r="C58" s="103">
        <v>806.4</v>
      </c>
      <c r="D58" s="10">
        <f t="shared" si="1"/>
        <v>4.3005885015844347E-2</v>
      </c>
      <c r="F58" s="103">
        <v>19435.3</v>
      </c>
      <c r="G58" s="10">
        <f t="shared" si="0"/>
        <v>8.7979736112697715E-3</v>
      </c>
    </row>
    <row r="59" spans="2:7" x14ac:dyDescent="0.35">
      <c r="B59" s="48">
        <v>45172</v>
      </c>
      <c r="C59" s="103">
        <v>815.75</v>
      </c>
      <c r="D59" s="10">
        <f t="shared" si="1"/>
        <v>1.1594742063492092E-2</v>
      </c>
      <c r="F59" s="103">
        <v>19819.95</v>
      </c>
      <c r="G59" s="10">
        <f t="shared" si="0"/>
        <v>1.9791307569216876E-2</v>
      </c>
    </row>
    <row r="60" spans="2:7" x14ac:dyDescent="0.35">
      <c r="B60" s="48">
        <v>45179</v>
      </c>
      <c r="C60" s="103">
        <v>812.85</v>
      </c>
      <c r="D60" s="10">
        <f t="shared" si="1"/>
        <v>-3.5550107263254693E-3</v>
      </c>
      <c r="F60" s="103">
        <v>20192.349999999999</v>
      </c>
      <c r="G60" s="10">
        <f t="shared" si="0"/>
        <v>1.8789149316723597E-2</v>
      </c>
    </row>
    <row r="61" spans="2:7" x14ac:dyDescent="0.35">
      <c r="B61" s="48">
        <v>45186</v>
      </c>
      <c r="C61" s="103">
        <v>774.05</v>
      </c>
      <c r="D61" s="10">
        <f t="shared" si="1"/>
        <v>-4.773328412376221E-2</v>
      </c>
      <c r="F61" s="103">
        <v>19674.25</v>
      </c>
      <c r="G61" s="10">
        <f t="shared" si="0"/>
        <v>-2.5658231954180599E-2</v>
      </c>
    </row>
    <row r="62" spans="2:7" x14ac:dyDescent="0.35">
      <c r="B62" s="48">
        <v>45193</v>
      </c>
      <c r="C62" s="103">
        <v>779.6</v>
      </c>
      <c r="D62" s="10">
        <f t="shared" si="1"/>
        <v>7.1700794522318034E-3</v>
      </c>
      <c r="F62" s="103">
        <v>19638.3</v>
      </c>
      <c r="G62" s="10">
        <f t="shared" si="0"/>
        <v>-1.8272615220402688E-3</v>
      </c>
    </row>
    <row r="63" spans="2:7" x14ac:dyDescent="0.35">
      <c r="B63" s="48">
        <v>45200</v>
      </c>
      <c r="C63" s="103">
        <v>765.2</v>
      </c>
      <c r="D63" s="10">
        <f t="shared" si="1"/>
        <v>-1.8471010774756214E-2</v>
      </c>
      <c r="F63" s="103">
        <v>19653.5</v>
      </c>
      <c r="G63" s="10">
        <f t="shared" si="0"/>
        <v>7.7399774929598486E-4</v>
      </c>
    </row>
    <row r="64" spans="2:7" x14ac:dyDescent="0.35">
      <c r="B64" s="48">
        <v>45207</v>
      </c>
      <c r="C64" s="103">
        <v>777.25</v>
      </c>
      <c r="D64" s="10">
        <f t="shared" si="1"/>
        <v>1.5747516989022436E-2</v>
      </c>
      <c r="F64" s="103">
        <v>19751.05</v>
      </c>
      <c r="G64" s="10">
        <f t="shared" si="0"/>
        <v>4.9634925076957881E-3</v>
      </c>
    </row>
    <row r="65" spans="2:7" x14ac:dyDescent="0.35">
      <c r="B65" s="48">
        <v>45214</v>
      </c>
      <c r="C65" s="103">
        <v>769.4</v>
      </c>
      <c r="D65" s="10">
        <f t="shared" si="1"/>
        <v>-1.0099710517851412E-2</v>
      </c>
      <c r="F65" s="103">
        <v>19542.650000000001</v>
      </c>
      <c r="G65" s="10">
        <f t="shared" si="0"/>
        <v>-1.0551337776978809E-2</v>
      </c>
    </row>
    <row r="66" spans="2:7" x14ac:dyDescent="0.35">
      <c r="B66" s="48">
        <v>45221</v>
      </c>
      <c r="C66" s="103">
        <v>732</v>
      </c>
      <c r="D66" s="10">
        <f t="shared" si="1"/>
        <v>-4.8609305952690418E-2</v>
      </c>
      <c r="F66" s="103">
        <v>19047.25</v>
      </c>
      <c r="G66" s="10">
        <f t="shared" si="0"/>
        <v>-2.5349683896503383E-2</v>
      </c>
    </row>
    <row r="67" spans="2:7" x14ac:dyDescent="0.35">
      <c r="B67" s="48">
        <v>45228</v>
      </c>
      <c r="C67" s="103">
        <v>746.05</v>
      </c>
      <c r="D67" s="10">
        <f t="shared" si="1"/>
        <v>1.9193989071038198E-2</v>
      </c>
      <c r="F67" s="103">
        <v>19230.599999999999</v>
      </c>
      <c r="G67" s="10">
        <f t="shared" si="0"/>
        <v>9.6260615049414966E-3</v>
      </c>
    </row>
    <row r="68" spans="2:7" x14ac:dyDescent="0.35">
      <c r="B68" s="48">
        <v>45235</v>
      </c>
      <c r="C68" s="103">
        <v>754.75</v>
      </c>
      <c r="D68" s="10">
        <f t="shared" si="1"/>
        <v>1.1661416795121005E-2</v>
      </c>
      <c r="F68" s="103">
        <v>19425.349999999999</v>
      </c>
      <c r="G68" s="10">
        <f t="shared" si="0"/>
        <v>1.0127089118384225E-2</v>
      </c>
    </row>
    <row r="69" spans="2:7" x14ac:dyDescent="0.35">
      <c r="B69" s="48">
        <v>45242</v>
      </c>
      <c r="C69" s="103">
        <v>768.8</v>
      </c>
      <c r="D69" s="10">
        <f t="shared" si="1"/>
        <v>1.8615435574693473E-2</v>
      </c>
      <c r="F69" s="103">
        <v>19731.8</v>
      </c>
      <c r="G69" s="10">
        <f t="shared" si="0"/>
        <v>1.5775777527818002E-2</v>
      </c>
    </row>
    <row r="70" spans="2:7" x14ac:dyDescent="0.35">
      <c r="B70" s="48">
        <v>45249</v>
      </c>
      <c r="C70" s="103">
        <v>782.05</v>
      </c>
      <c r="D70" s="10">
        <f t="shared" si="1"/>
        <v>1.7234651404786749E-2</v>
      </c>
      <c r="F70" s="103">
        <v>19794.7</v>
      </c>
      <c r="G70" s="10">
        <f t="shared" si="0"/>
        <v>3.1877476966115648E-3</v>
      </c>
    </row>
    <row r="71" spans="2:7" x14ac:dyDescent="0.35">
      <c r="B71" s="48">
        <v>45256</v>
      </c>
      <c r="C71" s="103">
        <v>810.8</v>
      </c>
      <c r="D71" s="10">
        <f t="shared" si="1"/>
        <v>3.6762355348123554E-2</v>
      </c>
      <c r="F71" s="103">
        <v>20267.900000000001</v>
      </c>
      <c r="G71" s="10">
        <f t="shared" si="0"/>
        <v>2.3905388816198414E-2</v>
      </c>
    </row>
    <row r="72" spans="2:7" x14ac:dyDescent="0.35">
      <c r="B72" s="48">
        <v>45263</v>
      </c>
      <c r="C72" s="103">
        <v>839.35</v>
      </c>
      <c r="D72" s="10">
        <f t="shared" si="1"/>
        <v>3.5212136161815621E-2</v>
      </c>
      <c r="F72" s="103">
        <v>20969.400000000001</v>
      </c>
      <c r="G72" s="10">
        <f t="shared" si="0"/>
        <v>3.4611380557433069E-2</v>
      </c>
    </row>
    <row r="73" spans="2:7" x14ac:dyDescent="0.35">
      <c r="B73" s="48">
        <v>45270</v>
      </c>
      <c r="C73" s="103">
        <v>867.2</v>
      </c>
      <c r="D73" s="10">
        <f t="shared" si="1"/>
        <v>3.3180437243104821E-2</v>
      </c>
      <c r="F73" s="103">
        <v>21456.65</v>
      </c>
      <c r="G73" s="10">
        <f t="shared" ref="G73:G115" si="2">F73/F72-1</f>
        <v>2.3236239472755438E-2</v>
      </c>
    </row>
    <row r="74" spans="2:7" x14ac:dyDescent="0.35">
      <c r="B74" s="48">
        <v>45277</v>
      </c>
      <c r="C74" s="103">
        <v>855.3</v>
      </c>
      <c r="D74" s="10">
        <f t="shared" ref="D74:D115" si="3">C74/C73-1</f>
        <v>-1.3722324723247303E-2</v>
      </c>
      <c r="F74" s="103">
        <v>21349.4</v>
      </c>
      <c r="G74" s="10">
        <f t="shared" si="2"/>
        <v>-4.9984503638732525E-3</v>
      </c>
    </row>
    <row r="75" spans="2:7" x14ac:dyDescent="0.35">
      <c r="B75" s="48">
        <v>45284</v>
      </c>
      <c r="C75" s="103">
        <v>880.25</v>
      </c>
      <c r="D75" s="10">
        <f t="shared" si="3"/>
        <v>2.9171051093183742E-2</v>
      </c>
      <c r="F75" s="103">
        <v>21731.4</v>
      </c>
      <c r="G75" s="10">
        <f t="shared" si="2"/>
        <v>1.7892774504201459E-2</v>
      </c>
    </row>
    <row r="76" spans="2:7" x14ac:dyDescent="0.35">
      <c r="B76" s="48">
        <v>45291</v>
      </c>
      <c r="C76" s="103">
        <v>829.4</v>
      </c>
      <c r="D76" s="10">
        <f t="shared" si="3"/>
        <v>-5.7767679636466895E-2</v>
      </c>
      <c r="F76" s="103">
        <v>21710.799999999999</v>
      </c>
      <c r="G76" s="10">
        <f t="shared" si="2"/>
        <v>-9.479370864280412E-4</v>
      </c>
    </row>
    <row r="77" spans="2:7" x14ac:dyDescent="0.35">
      <c r="B77" s="48">
        <v>45298</v>
      </c>
      <c r="C77" s="103">
        <v>825.8</v>
      </c>
      <c r="D77" s="10">
        <f t="shared" si="3"/>
        <v>-4.340487099107837E-3</v>
      </c>
      <c r="F77" s="103">
        <v>21894.55</v>
      </c>
      <c r="G77" s="10">
        <f t="shared" si="2"/>
        <v>8.4635296718684749E-3</v>
      </c>
    </row>
    <row r="78" spans="2:7" x14ac:dyDescent="0.35">
      <c r="B78" s="48">
        <v>45305</v>
      </c>
      <c r="C78" s="103">
        <v>816.65</v>
      </c>
      <c r="D78" s="10">
        <f t="shared" si="3"/>
        <v>-1.1080164688786587E-2</v>
      </c>
      <c r="F78" s="103">
        <v>21622.400000000001</v>
      </c>
      <c r="G78" s="10">
        <f t="shared" si="2"/>
        <v>-1.2430033958222397E-2</v>
      </c>
    </row>
    <row r="79" spans="2:7" x14ac:dyDescent="0.35">
      <c r="B79" s="48">
        <v>45312</v>
      </c>
      <c r="C79" s="103">
        <v>815.7</v>
      </c>
      <c r="D79" s="10">
        <f t="shared" si="3"/>
        <v>-1.1632890467151435E-3</v>
      </c>
      <c r="F79" s="103">
        <v>21352.6</v>
      </c>
      <c r="G79" s="10">
        <f t="shared" si="2"/>
        <v>-1.2477800799171379E-2</v>
      </c>
    </row>
    <row r="80" spans="2:7" x14ac:dyDescent="0.35">
      <c r="B80" s="48">
        <v>45319</v>
      </c>
      <c r="C80" s="103">
        <v>823.55</v>
      </c>
      <c r="D80" s="10">
        <f t="shared" si="3"/>
        <v>9.6236361407378013E-3</v>
      </c>
      <c r="F80" s="103">
        <v>21853.8</v>
      </c>
      <c r="G80" s="10">
        <f t="shared" si="2"/>
        <v>2.3472551352060167E-2</v>
      </c>
    </row>
    <row r="81" spans="2:7" x14ac:dyDescent="0.35">
      <c r="B81" s="48">
        <v>45326</v>
      </c>
      <c r="C81" s="103">
        <v>811.75</v>
      </c>
      <c r="D81" s="10">
        <f t="shared" si="3"/>
        <v>-1.4328213223240738E-2</v>
      </c>
      <c r="F81" s="103">
        <v>21782.5</v>
      </c>
      <c r="G81" s="10">
        <f t="shared" si="2"/>
        <v>-3.2625904876955047E-3</v>
      </c>
    </row>
    <row r="82" spans="2:7" x14ac:dyDescent="0.35">
      <c r="B82" s="48">
        <v>45333</v>
      </c>
      <c r="C82" s="103">
        <v>819.95</v>
      </c>
      <c r="D82" s="10">
        <f t="shared" si="3"/>
        <v>1.010163227594707E-2</v>
      </c>
      <c r="F82" s="103">
        <v>22040.7</v>
      </c>
      <c r="G82" s="10">
        <f t="shared" si="2"/>
        <v>1.1853552163433978E-2</v>
      </c>
    </row>
    <row r="83" spans="2:7" x14ac:dyDescent="0.35">
      <c r="B83" s="48">
        <v>45340</v>
      </c>
      <c r="C83" s="103">
        <v>821</v>
      </c>
      <c r="D83" s="10">
        <f t="shared" si="3"/>
        <v>1.2805658881638315E-3</v>
      </c>
      <c r="F83" s="103">
        <v>22212.7</v>
      </c>
      <c r="G83" s="10">
        <f t="shared" si="2"/>
        <v>7.8037448901351336E-3</v>
      </c>
    </row>
    <row r="84" spans="2:7" x14ac:dyDescent="0.35">
      <c r="B84" s="48">
        <v>45347</v>
      </c>
      <c r="C84" s="103">
        <v>836.2</v>
      </c>
      <c r="D84" s="10">
        <f t="shared" si="3"/>
        <v>1.8514007308160885E-2</v>
      </c>
      <c r="F84" s="103">
        <v>22338.75</v>
      </c>
      <c r="G84" s="10">
        <f t="shared" si="2"/>
        <v>5.6746816010659895E-3</v>
      </c>
    </row>
    <row r="85" spans="2:7" x14ac:dyDescent="0.35">
      <c r="B85" s="48">
        <v>45354</v>
      </c>
      <c r="C85" s="103">
        <v>830</v>
      </c>
      <c r="D85" s="10">
        <f t="shared" si="3"/>
        <v>-7.4144941401579345E-3</v>
      </c>
      <c r="F85" s="103">
        <v>22493.55</v>
      </c>
      <c r="G85" s="10">
        <f t="shared" si="2"/>
        <v>6.929662581836471E-3</v>
      </c>
    </row>
    <row r="86" spans="2:7" x14ac:dyDescent="0.35">
      <c r="B86" s="48">
        <v>45361</v>
      </c>
      <c r="C86" s="103">
        <v>780.65</v>
      </c>
      <c r="D86" s="10">
        <f t="shared" si="3"/>
        <v>-5.9457831325301247E-2</v>
      </c>
      <c r="F86" s="103">
        <v>22023.35</v>
      </c>
      <c r="G86" s="10">
        <f t="shared" si="2"/>
        <v>-2.0903770191899484E-2</v>
      </c>
    </row>
    <row r="87" spans="2:7" x14ac:dyDescent="0.35">
      <c r="B87" s="48">
        <v>45368</v>
      </c>
      <c r="C87" s="103">
        <v>824.8</v>
      </c>
      <c r="D87" s="10">
        <f t="shared" si="3"/>
        <v>5.6555434573752672E-2</v>
      </c>
      <c r="F87" s="103">
        <v>22096.75</v>
      </c>
      <c r="G87" s="10">
        <f t="shared" si="2"/>
        <v>3.3328262957270649E-3</v>
      </c>
    </row>
    <row r="88" spans="2:7" x14ac:dyDescent="0.35">
      <c r="B88" s="48">
        <v>45375</v>
      </c>
      <c r="C88" s="103">
        <v>830.2</v>
      </c>
      <c r="D88" s="10">
        <f t="shared" si="3"/>
        <v>6.5470417070805365E-3</v>
      </c>
      <c r="F88" s="103">
        <v>22326.9</v>
      </c>
      <c r="G88" s="10">
        <f t="shared" si="2"/>
        <v>1.0415558849152129E-2</v>
      </c>
    </row>
    <row r="89" spans="2:7" x14ac:dyDescent="0.35">
      <c r="B89" s="48">
        <v>45382</v>
      </c>
      <c r="C89" s="103">
        <v>857.1</v>
      </c>
      <c r="D89" s="10">
        <f t="shared" si="3"/>
        <v>3.2401830884124294E-2</v>
      </c>
      <c r="F89" s="103">
        <v>22513.7</v>
      </c>
      <c r="G89" s="10">
        <f t="shared" si="2"/>
        <v>8.3665891816597782E-3</v>
      </c>
    </row>
    <row r="90" spans="2:7" x14ac:dyDescent="0.35">
      <c r="B90" s="48">
        <v>45389</v>
      </c>
      <c r="C90" s="103">
        <v>866.45</v>
      </c>
      <c r="D90" s="10">
        <f t="shared" si="3"/>
        <v>1.0908878777272202E-2</v>
      </c>
      <c r="F90" s="103">
        <v>22519.4</v>
      </c>
      <c r="G90" s="10">
        <f t="shared" si="2"/>
        <v>2.5317917534661838E-4</v>
      </c>
    </row>
    <row r="91" spans="2:7" x14ac:dyDescent="0.35">
      <c r="B91" s="48">
        <v>45396</v>
      </c>
      <c r="C91" s="103">
        <v>864.8</v>
      </c>
      <c r="D91" s="10">
        <f t="shared" si="3"/>
        <v>-1.9043222344048427E-3</v>
      </c>
      <c r="F91" s="103">
        <v>22147</v>
      </c>
      <c r="G91" s="10">
        <f t="shared" si="2"/>
        <v>-1.6536852669254087E-2</v>
      </c>
    </row>
    <row r="92" spans="2:7" x14ac:dyDescent="0.35">
      <c r="B92" s="48">
        <v>45403</v>
      </c>
      <c r="C92" s="103">
        <v>887.25</v>
      </c>
      <c r="D92" s="10">
        <f t="shared" si="3"/>
        <v>2.5959759481961164E-2</v>
      </c>
      <c r="F92" s="103">
        <v>22419.95</v>
      </c>
      <c r="G92" s="10">
        <f t="shared" si="2"/>
        <v>1.2324468325281002E-2</v>
      </c>
    </row>
    <row r="93" spans="2:7" x14ac:dyDescent="0.35">
      <c r="B93" s="48">
        <v>45410</v>
      </c>
      <c r="C93" s="103">
        <v>874.2</v>
      </c>
      <c r="D93" s="10">
        <f t="shared" si="3"/>
        <v>-1.47083685545224E-2</v>
      </c>
      <c r="F93" s="103">
        <v>22475.85</v>
      </c>
      <c r="G93" s="10">
        <f t="shared" si="2"/>
        <v>2.4933151055197555E-3</v>
      </c>
    </row>
    <row r="94" spans="2:7" x14ac:dyDescent="0.35">
      <c r="B94" s="48">
        <v>45417</v>
      </c>
      <c r="C94" s="103">
        <v>853.6</v>
      </c>
      <c r="D94" s="10">
        <f t="shared" si="3"/>
        <v>-2.3564401738732532E-2</v>
      </c>
      <c r="F94" s="103">
        <v>22055.200000000001</v>
      </c>
      <c r="G94" s="10">
        <f t="shared" si="2"/>
        <v>-1.8715643679771743E-2</v>
      </c>
    </row>
    <row r="95" spans="2:7" x14ac:dyDescent="0.35">
      <c r="B95" s="48">
        <v>45424</v>
      </c>
      <c r="C95" s="103">
        <v>907.45</v>
      </c>
      <c r="D95" s="10">
        <f t="shared" si="3"/>
        <v>6.3085754451733811E-2</v>
      </c>
      <c r="F95" s="103">
        <v>22466.1</v>
      </c>
      <c r="G95" s="10">
        <f t="shared" si="2"/>
        <v>1.8630527041241907E-2</v>
      </c>
    </row>
    <row r="96" spans="2:7" x14ac:dyDescent="0.35">
      <c r="B96" s="48">
        <v>45431</v>
      </c>
      <c r="C96" s="103">
        <v>908.65</v>
      </c>
      <c r="D96" s="10">
        <f t="shared" si="3"/>
        <v>1.3223869083696105E-3</v>
      </c>
      <c r="F96" s="103">
        <v>22957.1</v>
      </c>
      <c r="G96" s="10">
        <f t="shared" si="2"/>
        <v>2.1855150649200406E-2</v>
      </c>
    </row>
    <row r="97" spans="2:7" x14ac:dyDescent="0.35">
      <c r="B97" s="48">
        <v>45438</v>
      </c>
      <c r="C97" s="103">
        <v>880.55</v>
      </c>
      <c r="D97" s="10">
        <f t="shared" si="3"/>
        <v>-3.0924998624332845E-2</v>
      </c>
      <c r="F97" s="103">
        <v>22530.7</v>
      </c>
      <c r="G97" s="10">
        <f t="shared" si="2"/>
        <v>-1.8573774562117951E-2</v>
      </c>
    </row>
    <row r="98" spans="2:7" x14ac:dyDescent="0.35">
      <c r="B98" s="48">
        <v>45445</v>
      </c>
      <c r="C98" s="103">
        <v>912.15</v>
      </c>
      <c r="D98" s="10">
        <f t="shared" si="3"/>
        <v>3.5886661745500037E-2</v>
      </c>
      <c r="F98" s="103">
        <v>23290.15</v>
      </c>
      <c r="G98" s="10">
        <f t="shared" si="2"/>
        <v>3.3707341538434354E-2</v>
      </c>
    </row>
    <row r="99" spans="2:7" x14ac:dyDescent="0.35">
      <c r="B99" s="48">
        <v>45452</v>
      </c>
      <c r="C99" s="103">
        <v>921.15</v>
      </c>
      <c r="D99" s="10">
        <f t="shared" si="3"/>
        <v>9.8667982239764029E-3</v>
      </c>
      <c r="F99" s="103">
        <v>23465.599999999999</v>
      </c>
      <c r="G99" s="10">
        <f t="shared" si="2"/>
        <v>7.5332275661599279E-3</v>
      </c>
    </row>
    <row r="100" spans="2:7" x14ac:dyDescent="0.35">
      <c r="B100" s="48">
        <v>45459</v>
      </c>
      <c r="C100" s="103">
        <v>936.9</v>
      </c>
      <c r="D100" s="10">
        <f t="shared" si="3"/>
        <v>1.7098192476795226E-2</v>
      </c>
      <c r="F100" s="103">
        <v>23501.1</v>
      </c>
      <c r="G100" s="10">
        <f t="shared" si="2"/>
        <v>1.5128528569481325E-3</v>
      </c>
    </row>
    <row r="101" spans="2:7" x14ac:dyDescent="0.35">
      <c r="B101" s="48">
        <v>45466</v>
      </c>
      <c r="C101" s="103">
        <v>931.5</v>
      </c>
      <c r="D101" s="10">
        <f t="shared" si="3"/>
        <v>-5.7636887608069065E-3</v>
      </c>
      <c r="F101" s="103">
        <v>24010.6</v>
      </c>
      <c r="G101" s="10">
        <f t="shared" si="2"/>
        <v>2.1679836262983532E-2</v>
      </c>
    </row>
    <row r="102" spans="2:7" x14ac:dyDescent="0.35">
      <c r="B102" s="48">
        <v>45473</v>
      </c>
      <c r="C102" s="103">
        <v>954.05</v>
      </c>
      <c r="D102" s="10">
        <f t="shared" si="3"/>
        <v>2.4208266237251586E-2</v>
      </c>
      <c r="F102" s="103">
        <v>24323.85</v>
      </c>
      <c r="G102" s="10">
        <f t="shared" si="2"/>
        <v>1.3046321208133094E-2</v>
      </c>
    </row>
    <row r="103" spans="2:7" x14ac:dyDescent="0.35">
      <c r="B103" s="48">
        <v>45480</v>
      </c>
      <c r="C103" s="103">
        <v>934.4</v>
      </c>
      <c r="D103" s="10">
        <f t="shared" si="3"/>
        <v>-2.0596404800586998E-2</v>
      </c>
      <c r="F103" s="103">
        <v>24502.15</v>
      </c>
      <c r="G103" s="10">
        <f t="shared" si="2"/>
        <v>7.3302540510651326E-3</v>
      </c>
    </row>
    <row r="104" spans="2:7" x14ac:dyDescent="0.35">
      <c r="B104" s="48">
        <v>45487</v>
      </c>
      <c r="C104" s="103">
        <v>889.45</v>
      </c>
      <c r="D104" s="10">
        <f t="shared" si="3"/>
        <v>-4.8105736301369828E-2</v>
      </c>
      <c r="F104" s="103">
        <v>24530.9</v>
      </c>
      <c r="G104" s="10">
        <f t="shared" si="2"/>
        <v>1.1733664188653403E-3</v>
      </c>
    </row>
    <row r="105" spans="2:7" x14ac:dyDescent="0.35">
      <c r="B105" s="48">
        <v>45494</v>
      </c>
      <c r="C105" s="103">
        <v>900.55</v>
      </c>
      <c r="D105" s="10">
        <f t="shared" si="3"/>
        <v>1.2479622238461774E-2</v>
      </c>
      <c r="F105" s="103">
        <v>24834.85</v>
      </c>
      <c r="G105" s="10">
        <f t="shared" si="2"/>
        <v>1.2390495252925682E-2</v>
      </c>
    </row>
    <row r="106" spans="2:7" x14ac:dyDescent="0.35">
      <c r="B106" s="48">
        <v>45501</v>
      </c>
      <c r="C106" s="103">
        <v>899.55</v>
      </c>
      <c r="D106" s="10">
        <f t="shared" si="3"/>
        <v>-1.1104325134639881E-3</v>
      </c>
      <c r="F106" s="103">
        <v>24717.7</v>
      </c>
      <c r="G106" s="10">
        <f t="shared" si="2"/>
        <v>-4.7171615693268887E-3</v>
      </c>
    </row>
    <row r="107" spans="2:7" x14ac:dyDescent="0.35">
      <c r="B107" s="48">
        <v>45508</v>
      </c>
      <c r="C107" s="103">
        <v>905.1</v>
      </c>
      <c r="D107" s="10">
        <f t="shared" si="3"/>
        <v>6.169751542437929E-3</v>
      </c>
      <c r="F107" s="103">
        <v>24367.5</v>
      </c>
      <c r="G107" s="10">
        <f t="shared" si="2"/>
        <v>-1.4167984885325113E-2</v>
      </c>
    </row>
    <row r="108" spans="2:7" x14ac:dyDescent="0.35">
      <c r="B108" s="48">
        <v>45515</v>
      </c>
      <c r="C108" s="103">
        <v>908.45</v>
      </c>
      <c r="D108" s="10">
        <f t="shared" si="3"/>
        <v>3.7012484808309765E-3</v>
      </c>
      <c r="F108" s="103">
        <v>24541.15</v>
      </c>
      <c r="G108" s="10">
        <f t="shared" si="2"/>
        <v>7.1262952703396998E-3</v>
      </c>
    </row>
    <row r="109" spans="2:7" x14ac:dyDescent="0.35">
      <c r="B109" s="48">
        <v>45522</v>
      </c>
      <c r="C109" s="103">
        <v>941.05</v>
      </c>
      <c r="D109" s="10">
        <f t="shared" si="3"/>
        <v>3.5885299135890669E-2</v>
      </c>
      <c r="F109" s="103">
        <v>24823.15</v>
      </c>
      <c r="G109" s="10">
        <f t="shared" si="2"/>
        <v>1.1490904052988471E-2</v>
      </c>
    </row>
    <row r="110" spans="2:7" x14ac:dyDescent="0.35">
      <c r="B110" s="48">
        <v>45529</v>
      </c>
      <c r="C110" s="103">
        <v>941.1</v>
      </c>
      <c r="D110" s="10">
        <f t="shared" si="3"/>
        <v>5.3132139631317798E-5</v>
      </c>
      <c r="F110" s="103">
        <v>25235.9</v>
      </c>
      <c r="G110" s="10">
        <f t="shared" si="2"/>
        <v>1.6627623810837822E-2</v>
      </c>
    </row>
    <row r="111" spans="2:7" x14ac:dyDescent="0.35">
      <c r="B111" s="48">
        <v>45536</v>
      </c>
      <c r="C111" s="103">
        <v>932.8</v>
      </c>
      <c r="D111" s="10">
        <f t="shared" si="3"/>
        <v>-8.819466581659885E-3</v>
      </c>
      <c r="F111" s="103">
        <v>24852.15</v>
      </c>
      <c r="G111" s="10">
        <f t="shared" si="2"/>
        <v>-1.5206511358818231E-2</v>
      </c>
    </row>
    <row r="112" spans="2:7" x14ac:dyDescent="0.35">
      <c r="B112" s="48">
        <v>45543</v>
      </c>
      <c r="C112" s="103">
        <v>954.55</v>
      </c>
      <c r="D112" s="10">
        <f t="shared" si="3"/>
        <v>2.331689536878212E-2</v>
      </c>
      <c r="F112" s="103">
        <v>25356.5</v>
      </c>
      <c r="G112" s="10">
        <f t="shared" si="2"/>
        <v>2.0294018827344829E-2</v>
      </c>
    </row>
    <row r="113" spans="2:7" x14ac:dyDescent="0.35">
      <c r="B113" s="48">
        <v>45550</v>
      </c>
      <c r="C113" s="103">
        <v>981.55</v>
      </c>
      <c r="D113" s="10">
        <f t="shared" si="3"/>
        <v>2.8285579592478127E-2</v>
      </c>
      <c r="F113" s="103">
        <v>25790.95</v>
      </c>
      <c r="G113" s="10">
        <f t="shared" si="2"/>
        <v>1.7133673811448702E-2</v>
      </c>
    </row>
    <row r="114" spans="2:7" x14ac:dyDescent="0.35">
      <c r="B114" s="48">
        <v>45557</v>
      </c>
      <c r="C114" s="103">
        <v>1001.55</v>
      </c>
      <c r="D114" s="10">
        <f t="shared" si="3"/>
        <v>2.0375936019561003E-2</v>
      </c>
      <c r="F114" s="103">
        <v>26178.95</v>
      </c>
      <c r="G114" s="10">
        <f t="shared" si="2"/>
        <v>1.5044036764834123E-2</v>
      </c>
    </row>
    <row r="115" spans="2:7" x14ac:dyDescent="0.35">
      <c r="B115" s="48">
        <v>45564</v>
      </c>
      <c r="C115" s="103">
        <v>1033.75</v>
      </c>
      <c r="D115" s="10">
        <f t="shared" si="3"/>
        <v>3.2150167240776906E-2</v>
      </c>
      <c r="F115" s="103">
        <v>25014.6</v>
      </c>
      <c r="G115" s="10">
        <f t="shared" si="2"/>
        <v>-4.4476573735768743E-2</v>
      </c>
    </row>
  </sheetData>
  <mergeCells count="3">
    <mergeCell ref="F5:G5"/>
    <mergeCell ref="B5:D5"/>
    <mergeCell ref="I5:J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92B64-ED9E-4183-8F72-F31EDD32FD7B}">
  <dimension ref="B4:F29"/>
  <sheetViews>
    <sheetView showGridLines="0" workbookViewId="0">
      <selection activeCell="B4" sqref="B4"/>
    </sheetView>
  </sheetViews>
  <sheetFormatPr defaultRowHeight="14.5" x14ac:dyDescent="0.35"/>
  <cols>
    <col min="1" max="1" width="1.81640625" customWidth="1"/>
    <col min="3" max="3" width="18.1796875" bestFit="1" customWidth="1"/>
    <col min="5" max="5" width="18.1796875" bestFit="1" customWidth="1"/>
  </cols>
  <sheetData>
    <row r="4" spans="2:6" x14ac:dyDescent="0.35">
      <c r="B4" s="53" t="s">
        <v>219</v>
      </c>
      <c r="C4" s="50" t="s">
        <v>218</v>
      </c>
    </row>
    <row r="5" spans="2:6" x14ac:dyDescent="0.35">
      <c r="B5" s="47">
        <v>2000</v>
      </c>
      <c r="C5" s="30">
        <v>-0.14649999999999999</v>
      </c>
    </row>
    <row r="6" spans="2:6" x14ac:dyDescent="0.35">
      <c r="B6" s="47">
        <v>2001</v>
      </c>
      <c r="C6" s="30">
        <v>-0.1618</v>
      </c>
      <c r="E6" t="s">
        <v>217</v>
      </c>
      <c r="F6" s="27">
        <v>0.15609999999999999</v>
      </c>
    </row>
    <row r="7" spans="2:6" x14ac:dyDescent="0.35">
      <c r="B7" s="47">
        <v>2002</v>
      </c>
      <c r="C7" s="30">
        <v>3.2500000000000001E-2</v>
      </c>
      <c r="E7" t="s">
        <v>216</v>
      </c>
      <c r="F7" s="46">
        <v>1.2500000000000001E-2</v>
      </c>
    </row>
    <row r="8" spans="2:6" x14ac:dyDescent="0.35">
      <c r="B8" s="47">
        <v>2003</v>
      </c>
      <c r="C8" s="30">
        <v>0.71900000000000008</v>
      </c>
      <c r="E8" s="24" t="s">
        <v>215</v>
      </c>
      <c r="F8" s="52">
        <f>SUM(F6:F7)</f>
        <v>0.1686</v>
      </c>
    </row>
    <row r="9" spans="2:6" x14ac:dyDescent="0.35">
      <c r="B9" s="47">
        <v>2004</v>
      </c>
      <c r="C9" s="30">
        <v>0.10679999999999999</v>
      </c>
    </row>
    <row r="10" spans="2:6" x14ac:dyDescent="0.35">
      <c r="B10" s="47">
        <v>2005</v>
      </c>
      <c r="C10" s="30">
        <v>0.36340000000000006</v>
      </c>
    </row>
    <row r="11" spans="2:6" x14ac:dyDescent="0.35">
      <c r="B11" s="47">
        <v>2006</v>
      </c>
      <c r="C11" s="30">
        <v>0.39829999999999999</v>
      </c>
    </row>
    <row r="12" spans="2:6" x14ac:dyDescent="0.35">
      <c r="B12" s="47">
        <v>2007</v>
      </c>
      <c r="C12" s="30">
        <v>0.54770000000000008</v>
      </c>
    </row>
    <row r="13" spans="2:6" x14ac:dyDescent="0.35">
      <c r="B13" s="47">
        <v>2008</v>
      </c>
      <c r="C13" s="30">
        <v>-0.51790000000000003</v>
      </c>
    </row>
    <row r="14" spans="2:6" x14ac:dyDescent="0.35">
      <c r="B14" s="47">
        <v>2009</v>
      </c>
      <c r="C14" s="30">
        <v>0.75760000000000005</v>
      </c>
    </row>
    <row r="15" spans="2:6" x14ac:dyDescent="0.35">
      <c r="B15" s="47">
        <v>2010</v>
      </c>
      <c r="C15" s="30">
        <v>0.17949999999999999</v>
      </c>
    </row>
    <row r="16" spans="2:6" x14ac:dyDescent="0.35">
      <c r="B16" s="47">
        <v>2011</v>
      </c>
      <c r="C16" s="30">
        <v>-0.2462</v>
      </c>
    </row>
    <row r="17" spans="2:3" x14ac:dyDescent="0.35">
      <c r="B17" s="47">
        <v>2012</v>
      </c>
      <c r="C17" s="30">
        <v>0.27699999999999997</v>
      </c>
    </row>
    <row r="18" spans="2:3" x14ac:dyDescent="0.35">
      <c r="B18" s="47">
        <v>2013</v>
      </c>
      <c r="C18" s="30">
        <v>6.7599999999999993E-2</v>
      </c>
    </row>
    <row r="19" spans="2:3" x14ac:dyDescent="0.35">
      <c r="B19" s="47">
        <v>2014</v>
      </c>
      <c r="C19" s="30">
        <v>0.31390000000000001</v>
      </c>
    </row>
    <row r="20" spans="2:3" x14ac:dyDescent="0.35">
      <c r="B20" s="47">
        <v>2015</v>
      </c>
      <c r="C20" s="30">
        <v>-4.0599999999999997E-2</v>
      </c>
    </row>
    <row r="21" spans="2:3" x14ac:dyDescent="0.35">
      <c r="B21" s="47">
        <v>2016</v>
      </c>
      <c r="C21" s="30">
        <v>3.0099999999999998E-2</v>
      </c>
    </row>
    <row r="22" spans="2:3" x14ac:dyDescent="0.35">
      <c r="B22" s="47">
        <v>2017</v>
      </c>
      <c r="C22" s="30">
        <v>0.28649999999999998</v>
      </c>
    </row>
    <row r="23" spans="2:3" x14ac:dyDescent="0.35">
      <c r="B23" s="47">
        <v>2018</v>
      </c>
      <c r="C23" s="30">
        <v>3.15E-2</v>
      </c>
    </row>
    <row r="24" spans="2:3" x14ac:dyDescent="0.35">
      <c r="B24" s="47">
        <v>2019</v>
      </c>
      <c r="C24" s="30">
        <v>0.1202</v>
      </c>
    </row>
    <row r="25" spans="2:3" x14ac:dyDescent="0.35">
      <c r="B25" s="47">
        <v>2020</v>
      </c>
      <c r="C25" s="30">
        <v>0.14899999999999999</v>
      </c>
    </row>
    <row r="26" spans="2:3" x14ac:dyDescent="0.35">
      <c r="B26" s="47">
        <v>2021</v>
      </c>
      <c r="C26" s="30">
        <v>0.2412</v>
      </c>
    </row>
    <row r="27" spans="2:3" x14ac:dyDescent="0.35">
      <c r="B27" s="47">
        <v>2022</v>
      </c>
      <c r="C27" s="30">
        <v>4.3200000000000002E-2</v>
      </c>
    </row>
    <row r="28" spans="2:3" x14ac:dyDescent="0.35">
      <c r="B28" s="47">
        <v>2023</v>
      </c>
      <c r="C28" s="30">
        <v>0.19420000000000001</v>
      </c>
    </row>
    <row r="29" spans="2:3" x14ac:dyDescent="0.35">
      <c r="B29" s="45" t="s">
        <v>183</v>
      </c>
      <c r="C29" s="44">
        <f>AVERAGE(C5:C28)</f>
        <v>0.15609166666666666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EE79E-DE40-4651-9EF4-EDAECCEFC133}">
  <sheetPr>
    <tabColor rgb="FFFF0000"/>
  </sheetPr>
  <dimension ref="A2:L74"/>
  <sheetViews>
    <sheetView showGridLines="0" tabSelected="1" topLeftCell="A57" workbookViewId="0">
      <selection activeCell="O16" sqref="O16"/>
    </sheetView>
  </sheetViews>
  <sheetFormatPr defaultRowHeight="14.5" x14ac:dyDescent="0.35"/>
  <cols>
    <col min="1" max="1" width="2.08984375" customWidth="1"/>
    <col min="2" max="2" width="43.54296875" bestFit="1" customWidth="1"/>
    <col min="3" max="3" width="20.453125" bestFit="1" customWidth="1"/>
    <col min="4" max="4" width="12.90625" bestFit="1" customWidth="1"/>
    <col min="5" max="5" width="19.1796875" bestFit="1" customWidth="1"/>
    <col min="6" max="7" width="12.90625" bestFit="1" customWidth="1"/>
    <col min="8" max="12" width="9.90625" bestFit="1" customWidth="1"/>
  </cols>
  <sheetData>
    <row r="2" spans="1:12" s="41" customFormat="1" x14ac:dyDescent="0.35">
      <c r="A2" s="41" t="s">
        <v>221</v>
      </c>
      <c r="B2" s="41" t="s">
        <v>220</v>
      </c>
    </row>
    <row r="3" spans="1:12" x14ac:dyDescent="0.35">
      <c r="B3" s="54" t="s">
        <v>222</v>
      </c>
    </row>
    <row r="4" spans="1:12" x14ac:dyDescent="0.35">
      <c r="B4" s="54" t="s">
        <v>223</v>
      </c>
    </row>
    <row r="5" spans="1:12" x14ac:dyDescent="0.35">
      <c r="B5" s="54" t="s">
        <v>224</v>
      </c>
    </row>
    <row r="6" spans="1:12" x14ac:dyDescent="0.35">
      <c r="D6" s="19"/>
    </row>
    <row r="8" spans="1:12" ht="15" thickBot="1" x14ac:dyDescent="0.4">
      <c r="B8" s="55" t="s">
        <v>225</v>
      </c>
      <c r="C8" s="56"/>
      <c r="D8" s="57"/>
      <c r="E8" s="55" t="s">
        <v>226</v>
      </c>
      <c r="F8" s="55"/>
      <c r="G8" s="56"/>
      <c r="H8" s="56"/>
      <c r="I8" s="57"/>
      <c r="J8" s="55" t="s">
        <v>227</v>
      </c>
      <c r="K8" s="55"/>
      <c r="L8" s="56"/>
    </row>
    <row r="9" spans="1:12" x14ac:dyDescent="0.35">
      <c r="B9" s="58" t="s">
        <v>228</v>
      </c>
      <c r="C9" s="106">
        <v>0.06</v>
      </c>
      <c r="D9" s="57"/>
      <c r="E9" s="58"/>
      <c r="F9" s="58"/>
      <c r="G9" s="58"/>
      <c r="H9" s="58"/>
      <c r="I9" s="57"/>
      <c r="J9" s="58" t="s">
        <v>229</v>
      </c>
      <c r="K9" s="58"/>
      <c r="L9" s="59">
        <f>H12/(H12+H13)</f>
        <v>0.78201444762040351</v>
      </c>
    </row>
    <row r="10" spans="1:12" x14ac:dyDescent="0.35">
      <c r="B10" s="57"/>
      <c r="C10" s="57"/>
      <c r="D10" s="57"/>
      <c r="E10" s="126" t="s">
        <v>230</v>
      </c>
      <c r="F10" s="126"/>
      <c r="G10" s="58"/>
      <c r="H10" s="177">
        <v>1034</v>
      </c>
      <c r="I10" s="57"/>
      <c r="J10" s="58" t="s">
        <v>231</v>
      </c>
      <c r="K10" s="58"/>
      <c r="L10" s="59">
        <f>H13/(H12+H13)</f>
        <v>0.21798555237959655</v>
      </c>
    </row>
    <row r="11" spans="1:12" x14ac:dyDescent="0.35">
      <c r="B11" s="57"/>
      <c r="C11" s="57"/>
      <c r="D11" s="57"/>
      <c r="E11" s="126" t="s">
        <v>232</v>
      </c>
      <c r="F11" s="126"/>
      <c r="G11" s="58"/>
      <c r="H11" s="107">
        <f>H33</f>
        <v>305.26023190000001</v>
      </c>
      <c r="I11" s="57"/>
      <c r="J11" s="58"/>
      <c r="K11" s="58"/>
      <c r="L11" s="58"/>
    </row>
    <row r="12" spans="1:12" ht="15" thickBot="1" x14ac:dyDescent="0.4">
      <c r="B12" s="55" t="s">
        <v>233</v>
      </c>
      <c r="C12" s="56"/>
      <c r="D12" s="57"/>
      <c r="E12" s="126" t="s">
        <v>234</v>
      </c>
      <c r="F12" s="126"/>
      <c r="G12" s="58"/>
      <c r="H12" s="61">
        <f>H10*H11</f>
        <v>315639.07978460001</v>
      </c>
      <c r="I12" s="57"/>
      <c r="J12" s="58" t="s">
        <v>235</v>
      </c>
      <c r="K12" s="58"/>
      <c r="L12" s="67">
        <f>'Historical FS'!E29/'Historical FS'!E46</f>
        <v>9.211902164029824E-2</v>
      </c>
    </row>
    <row r="13" spans="1:12" x14ac:dyDescent="0.35">
      <c r="B13" s="58" t="s">
        <v>236</v>
      </c>
      <c r="C13" s="119">
        <f>C14+C16*C15</f>
        <v>0.18170566078925271</v>
      </c>
      <c r="D13" s="57"/>
      <c r="E13" s="126" t="s">
        <v>237</v>
      </c>
      <c r="F13" s="126"/>
      <c r="G13" s="58"/>
      <c r="H13" s="62">
        <f>'Data Sheet'!K59</f>
        <v>87984</v>
      </c>
      <c r="I13" s="57"/>
      <c r="J13" s="58" t="s">
        <v>238</v>
      </c>
      <c r="K13" s="58"/>
      <c r="L13" s="108">
        <f>'Historical FS'!E36</f>
        <v>0.3086350584774844</v>
      </c>
    </row>
    <row r="14" spans="1:12" x14ac:dyDescent="0.35">
      <c r="B14" s="58" t="s">
        <v>239</v>
      </c>
      <c r="C14" s="105">
        <v>6.9500000000000006E-2</v>
      </c>
      <c r="D14" s="57"/>
      <c r="E14" s="126" t="s">
        <v>240</v>
      </c>
      <c r="F14" s="126"/>
      <c r="G14" s="126"/>
      <c r="H14" s="62">
        <f>'Data Sheet'!K69</f>
        <v>12348</v>
      </c>
      <c r="I14" s="57"/>
      <c r="J14" s="57"/>
      <c r="K14" s="57"/>
      <c r="L14" s="57"/>
    </row>
    <row r="15" spans="1:12" ht="15" thickBot="1" x14ac:dyDescent="0.4">
      <c r="B15" s="58" t="s">
        <v>241</v>
      </c>
      <c r="C15" s="64">
        <f>Beta!I7</f>
        <v>1.1322468293567378</v>
      </c>
      <c r="D15" s="57"/>
      <c r="E15" s="126" t="s">
        <v>242</v>
      </c>
      <c r="F15" s="126"/>
      <c r="G15" s="58"/>
      <c r="H15" s="65">
        <f>H13-H14</f>
        <v>75636</v>
      </c>
      <c r="I15" s="57"/>
      <c r="J15" s="55" t="s">
        <v>243</v>
      </c>
      <c r="K15" s="55"/>
      <c r="L15" s="56"/>
    </row>
    <row r="16" spans="1:12" x14ac:dyDescent="0.35">
      <c r="B16" s="58" t="s">
        <v>244</v>
      </c>
      <c r="C16" s="106">
        <f>Rm!F8-DCF!C14</f>
        <v>9.9099999999999994E-2</v>
      </c>
      <c r="D16" s="57"/>
      <c r="E16" s="126" t="s">
        <v>245</v>
      </c>
      <c r="F16" s="126"/>
      <c r="G16" s="126"/>
      <c r="H16" s="66">
        <f>H12+H13-H14</f>
        <v>391275.07978460001</v>
      </c>
      <c r="I16" s="57"/>
      <c r="J16" s="58" t="s">
        <v>246</v>
      </c>
      <c r="K16" s="58"/>
      <c r="L16" s="67">
        <f>C13*L9+L12*(1-L13)*L10</f>
        <v>0.15597948573161469</v>
      </c>
    </row>
    <row r="17" spans="2:12" x14ac:dyDescent="0.35"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</row>
    <row r="18" spans="2:12" ht="15" thickBot="1" x14ac:dyDescent="0.4">
      <c r="B18" s="55" t="s">
        <v>247</v>
      </c>
      <c r="C18" s="68"/>
      <c r="D18" s="69"/>
      <c r="E18" s="69"/>
      <c r="F18" s="69"/>
      <c r="G18" s="69"/>
      <c r="H18" s="69"/>
      <c r="I18" s="69"/>
      <c r="J18" s="69"/>
      <c r="K18" s="69"/>
      <c r="L18" s="69"/>
    </row>
    <row r="19" spans="2:12" ht="15" thickBot="1" x14ac:dyDescent="0.4">
      <c r="B19" s="57"/>
      <c r="C19" s="57"/>
      <c r="D19" s="127" t="s">
        <v>248</v>
      </c>
      <c r="E19" s="127"/>
      <c r="F19" s="127"/>
      <c r="G19" s="127"/>
      <c r="H19" s="164" t="s">
        <v>307</v>
      </c>
      <c r="I19" s="127"/>
      <c r="J19" s="127"/>
      <c r="K19" s="127"/>
      <c r="L19" s="176" t="s">
        <v>249</v>
      </c>
    </row>
    <row r="20" spans="2:12" ht="15" thickBot="1" x14ac:dyDescent="0.4">
      <c r="B20" s="57"/>
      <c r="C20" s="68" t="s">
        <v>285</v>
      </c>
      <c r="D20" s="68" t="s">
        <v>286</v>
      </c>
      <c r="E20" s="68" t="s">
        <v>287</v>
      </c>
      <c r="F20" s="68" t="s">
        <v>288</v>
      </c>
      <c r="G20" s="68" t="s">
        <v>289</v>
      </c>
      <c r="H20" s="165" t="s">
        <v>290</v>
      </c>
      <c r="I20" s="68" t="s">
        <v>291</v>
      </c>
      <c r="J20" s="68" t="s">
        <v>292</v>
      </c>
      <c r="K20" s="68" t="s">
        <v>293</v>
      </c>
      <c r="L20" s="165" t="s">
        <v>294</v>
      </c>
    </row>
    <row r="21" spans="2:12" x14ac:dyDescent="0.35">
      <c r="B21" s="57"/>
      <c r="C21" s="57"/>
      <c r="D21" s="57"/>
      <c r="E21" s="57"/>
      <c r="F21" s="57"/>
      <c r="G21" s="57"/>
      <c r="H21" s="166"/>
      <c r="I21" s="167"/>
      <c r="J21" s="167"/>
      <c r="K21" s="167"/>
      <c r="L21" s="166"/>
    </row>
    <row r="22" spans="2:12" x14ac:dyDescent="0.35">
      <c r="B22" s="162" t="s">
        <v>250</v>
      </c>
      <c r="C22" s="142">
        <v>175006</v>
      </c>
      <c r="D22" s="153">
        <v>191360.31968169325</v>
      </c>
      <c r="E22" s="153">
        <v>209242.95137698043</v>
      </c>
      <c r="F22" s="153">
        <v>228796.71592196825</v>
      </c>
      <c r="G22" s="153">
        <v>250177.78076722744</v>
      </c>
      <c r="H22" s="174">
        <f>G22*(1+H39)</f>
        <v>271883.21529833175</v>
      </c>
      <c r="I22" s="175">
        <f t="shared" ref="I22:L22" si="0">H22*(1+I39)</f>
        <v>293652.9127194563</v>
      </c>
      <c r="J22" s="175">
        <f t="shared" si="0"/>
        <v>315201.16948317568</v>
      </c>
      <c r="K22" s="175">
        <f t="shared" si="0"/>
        <v>336221.93871137226</v>
      </c>
      <c r="L22" s="174">
        <f t="shared" si="0"/>
        <v>356395.25503405463</v>
      </c>
    </row>
    <row r="23" spans="2:12" x14ac:dyDescent="0.35">
      <c r="B23" s="141" t="s">
        <v>64</v>
      </c>
      <c r="C23" s="143">
        <f>'Historical FS'!E20</f>
        <v>29056</v>
      </c>
      <c r="D23" s="155">
        <f>'Historical FS'!F20</f>
        <v>31256.307975784639</v>
      </c>
      <c r="E23" s="155">
        <f>'Historical FS'!G20</f>
        <v>34480.645097871406</v>
      </c>
      <c r="F23" s="155">
        <f>'Historical FS'!H20</f>
        <v>38976.939423693133</v>
      </c>
      <c r="G23" s="155">
        <f>'Historical FS'!I20</f>
        <v>42980.609041830379</v>
      </c>
      <c r="H23" s="169">
        <f>H22*H45</f>
        <v>46709.608446987178</v>
      </c>
      <c r="I23" s="170">
        <f t="shared" ref="I23:L23" si="1">I22*I45</f>
        <v>50449.648233681408</v>
      </c>
      <c r="J23" s="170">
        <f t="shared" si="1"/>
        <v>54151.644456743772</v>
      </c>
      <c r="K23" s="170">
        <f t="shared" si="1"/>
        <v>57763.018181400337</v>
      </c>
      <c r="L23" s="169">
        <f t="shared" si="1"/>
        <v>61228.799272284363</v>
      </c>
    </row>
    <row r="24" spans="2:12" x14ac:dyDescent="0.35">
      <c r="B24" s="144" t="s">
        <v>149</v>
      </c>
      <c r="C24" s="145">
        <f>'Historical FS'!E26</f>
        <v>20884</v>
      </c>
      <c r="D24" s="154">
        <f>'Historical FS'!F26</f>
        <v>22457.708695732559</v>
      </c>
      <c r="E24" s="154">
        <f>'Historical FS'!G26</f>
        <v>25685.265877722159</v>
      </c>
      <c r="F24" s="154">
        <f>'Historical FS'!H26</f>
        <v>30120.500564654027</v>
      </c>
      <c r="G24" s="154">
        <f>'Historical FS'!I26</f>
        <v>33997.876490542592</v>
      </c>
      <c r="H24" s="168">
        <f>H23-H27</f>
        <v>36947.533650738776</v>
      </c>
      <c r="I24" s="159">
        <f t="shared" ref="I24:L24" si="2">I23-I27</f>
        <v>39905.923807890693</v>
      </c>
      <c r="J24" s="159">
        <f t="shared" si="2"/>
        <v>42834.221316137671</v>
      </c>
      <c r="K24" s="159">
        <f t="shared" si="2"/>
        <v>45690.8359753802</v>
      </c>
      <c r="L24" s="168">
        <f t="shared" si="2"/>
        <v>48432.286133903013</v>
      </c>
    </row>
    <row r="25" spans="2:12" x14ac:dyDescent="0.35">
      <c r="B25" s="146" t="s">
        <v>251</v>
      </c>
      <c r="C25" s="147">
        <f>'Historical FS'!E35</f>
        <v>4407</v>
      </c>
      <c r="D25" s="156">
        <f>'Historical FS'!F35</f>
        <v>4429.7490876177171</v>
      </c>
      <c r="E25" s="156">
        <f>'Historical FS'!G35</f>
        <v>5425.886387220502</v>
      </c>
      <c r="F25" s="156">
        <f>'Historical FS'!H35</f>
        <v>6794.7553041830861</v>
      </c>
      <c r="G25" s="156">
        <f>'Historical FS'!I35</f>
        <v>7991.4494498088943</v>
      </c>
      <c r="H25" s="168">
        <f>H24*H50</f>
        <v>8684.7879321853397</v>
      </c>
      <c r="I25" s="159">
        <f t="shared" ref="I25:L25" si="3">I24*I50</f>
        <v>9380.1791693488831</v>
      </c>
      <c r="J25" s="159">
        <f t="shared" si="3"/>
        <v>10068.496909360285</v>
      </c>
      <c r="K25" s="159">
        <f t="shared" si="3"/>
        <v>10739.965071593007</v>
      </c>
      <c r="L25" s="168">
        <f t="shared" si="3"/>
        <v>11384.362975888589</v>
      </c>
    </row>
    <row r="26" spans="2:12" x14ac:dyDescent="0.35">
      <c r="B26" s="148" t="s">
        <v>252</v>
      </c>
      <c r="C26" s="160">
        <f>C24-C25</f>
        <v>16477</v>
      </c>
      <c r="D26" s="161">
        <f t="shared" ref="D26:G26" si="4">D24-D25</f>
        <v>18027.959608114841</v>
      </c>
      <c r="E26" s="161">
        <f t="shared" si="4"/>
        <v>20259.379490501655</v>
      </c>
      <c r="F26" s="161">
        <f t="shared" si="4"/>
        <v>23325.74526047094</v>
      </c>
      <c r="G26" s="161">
        <f t="shared" si="4"/>
        <v>26006.427040733699</v>
      </c>
      <c r="H26" s="171">
        <f t="shared" ref="H26" si="5">H24-H25</f>
        <v>28262.745718553437</v>
      </c>
      <c r="I26" s="161">
        <f t="shared" ref="I26" si="6">I24-I25</f>
        <v>30525.744638541808</v>
      </c>
      <c r="J26" s="161">
        <f t="shared" ref="J26" si="7">J24-J25</f>
        <v>32765.724406777386</v>
      </c>
      <c r="K26" s="161">
        <f t="shared" ref="K26" si="8">K24-K25</f>
        <v>34950.870903787189</v>
      </c>
      <c r="L26" s="171">
        <f t="shared" ref="L26" si="9">L24-L25</f>
        <v>37047.923158014426</v>
      </c>
    </row>
    <row r="27" spans="2:12" x14ac:dyDescent="0.35">
      <c r="B27" s="141" t="s">
        <v>253</v>
      </c>
      <c r="C27" s="145">
        <f>'Historical FS'!E23</f>
        <v>8172</v>
      </c>
      <c r="D27" s="154">
        <f>'Historical FS'!F23</f>
        <v>8798.5992800520817</v>
      </c>
      <c r="E27" s="154">
        <f>'Historical FS'!G23</f>
        <v>8795.3792201492488</v>
      </c>
      <c r="F27" s="154">
        <f>'Historical FS'!H23</f>
        <v>8856.4388590391063</v>
      </c>
      <c r="G27" s="154">
        <f>'Historical FS'!I23</f>
        <v>8982.7325512877851</v>
      </c>
      <c r="H27" s="168">
        <f>H22*H47</f>
        <v>9762.0747962484038</v>
      </c>
      <c r="I27" s="159">
        <f t="shared" ref="I27:L27" si="10">I22*I47</f>
        <v>10543.724425790717</v>
      </c>
      <c r="J27" s="159">
        <f t="shared" si="10"/>
        <v>11317.423140606103</v>
      </c>
      <c r="K27" s="159">
        <f t="shared" si="10"/>
        <v>12072.182206020138</v>
      </c>
      <c r="L27" s="168">
        <f t="shared" si="10"/>
        <v>12796.513138381348</v>
      </c>
    </row>
    <row r="28" spans="2:12" x14ac:dyDescent="0.35">
      <c r="B28" s="146" t="s">
        <v>254</v>
      </c>
      <c r="C28" s="149">
        <f>'Cash Flow'!F11</f>
        <v>-13615</v>
      </c>
      <c r="D28" s="157">
        <f>'Cash Flow'!G11</f>
        <v>-6543.3091901153439</v>
      </c>
      <c r="E28" s="157">
        <f>'Cash Flow'!H11</f>
        <v>3689.4091789544764</v>
      </c>
      <c r="F28" s="157">
        <f>'Cash Flow'!I11</f>
        <v>-6810.0062926267638</v>
      </c>
      <c r="G28" s="157">
        <f>'Cash Flow'!J11</f>
        <v>3397.7892185258825</v>
      </c>
      <c r="H28" s="172">
        <f>AVERAGE(F28:G28)</f>
        <v>-1706.1085370504406</v>
      </c>
      <c r="I28" s="163">
        <f t="shared" ref="I28:L28" si="11">AVERAGE(G28:H28)</f>
        <v>845.84034073772091</v>
      </c>
      <c r="J28" s="163">
        <f t="shared" si="11"/>
        <v>-430.13409815635987</v>
      </c>
      <c r="K28" s="163">
        <f t="shared" si="11"/>
        <v>207.85312129068052</v>
      </c>
      <c r="L28" s="172">
        <f t="shared" si="11"/>
        <v>-111.14048843283967</v>
      </c>
    </row>
    <row r="29" spans="2:12" x14ac:dyDescent="0.35">
      <c r="B29" s="148" t="s">
        <v>255</v>
      </c>
      <c r="C29" s="145">
        <f>SUM(C26,C27,C28)</f>
        <v>11034</v>
      </c>
      <c r="D29" s="154">
        <f t="shared" ref="D29:G29" si="12">SUM(D26,D27,D28)</f>
        <v>20283.249698051579</v>
      </c>
      <c r="E29" s="154">
        <f t="shared" si="12"/>
        <v>32744.167889605378</v>
      </c>
      <c r="F29" s="154">
        <f t="shared" si="12"/>
        <v>25372.177826883282</v>
      </c>
      <c r="G29" s="154">
        <f t="shared" si="12"/>
        <v>38386.948810547365</v>
      </c>
      <c r="H29" s="168">
        <f t="shared" ref="H29" si="13">SUM(H26,H27,H28)</f>
        <v>36318.711977751402</v>
      </c>
      <c r="I29" s="159">
        <f t="shared" ref="I29" si="14">SUM(I26,I27,I28)</f>
        <v>41915.309405070242</v>
      </c>
      <c r="J29" s="159">
        <f t="shared" ref="J29" si="15">SUM(J26,J27,J28)</f>
        <v>43653.013449227125</v>
      </c>
      <c r="K29" s="159">
        <f t="shared" ref="K29" si="16">SUM(K26,K27,K28)</f>
        <v>47230.906231098008</v>
      </c>
      <c r="L29" s="168">
        <f t="shared" ref="L29" si="17">SUM(L26,L27,L28)</f>
        <v>49733.295807962939</v>
      </c>
    </row>
    <row r="30" spans="2:12" x14ac:dyDescent="0.35">
      <c r="B30" s="146" t="s">
        <v>256</v>
      </c>
      <c r="C30" s="149">
        <f>-'Historical FS'!E80</f>
        <v>-8009</v>
      </c>
      <c r="D30" s="157">
        <f>-'Historical FS'!F80</f>
        <v>-8757.4414610395143</v>
      </c>
      <c r="E30" s="157">
        <f>-'Historical FS'!G80</f>
        <v>-9575.8248150248364</v>
      </c>
      <c r="F30" s="157">
        <f>-'Historical FS'!H80</f>
        <v>-10470.686135441321</v>
      </c>
      <c r="G30" s="157">
        <f>-'Historical FS'!I80</f>
        <v>-11449.172292176982</v>
      </c>
      <c r="H30" s="173">
        <f>-H22*H$48</f>
        <v>-12442.502950323642</v>
      </c>
      <c r="I30" s="157">
        <f t="shared" ref="I30:L30" si="18">-I22*I$48</f>
        <v>-13438.774544702042</v>
      </c>
      <c r="J30" s="157">
        <f t="shared" si="18"/>
        <v>-14424.91209667528</v>
      </c>
      <c r="K30" s="157">
        <f t="shared" si="18"/>
        <v>-15386.909632466204</v>
      </c>
      <c r="L30" s="173">
        <f t="shared" si="18"/>
        <v>-16310.124210414178</v>
      </c>
    </row>
    <row r="31" spans="2:12" x14ac:dyDescent="0.35">
      <c r="B31" s="148" t="s">
        <v>257</v>
      </c>
      <c r="C31" s="145">
        <f>C29+C30</f>
        <v>3025</v>
      </c>
      <c r="D31" s="154">
        <f t="shared" ref="D31:G31" si="19">D29+D30</f>
        <v>11525.808237012065</v>
      </c>
      <c r="E31" s="154">
        <f t="shared" si="19"/>
        <v>23168.343074580542</v>
      </c>
      <c r="F31" s="154">
        <f t="shared" si="19"/>
        <v>14901.491691441961</v>
      </c>
      <c r="G31" s="154">
        <f t="shared" si="19"/>
        <v>26937.776518370381</v>
      </c>
      <c r="H31" s="168">
        <f t="shared" ref="H31" si="20">H29+H30</f>
        <v>23876.209027427758</v>
      </c>
      <c r="I31" s="159">
        <f t="shared" ref="I31" si="21">I29+I30</f>
        <v>28476.5348603682</v>
      </c>
      <c r="J31" s="159">
        <f t="shared" ref="J31" si="22">J29+J30</f>
        <v>29228.101352551843</v>
      </c>
      <c r="K31" s="159">
        <f t="shared" ref="K31" si="23">K29+K30</f>
        <v>31843.996598631806</v>
      </c>
      <c r="L31" s="168">
        <f t="shared" ref="L31" si="24">L29+L30</f>
        <v>33423.17159754876</v>
      </c>
    </row>
    <row r="32" spans="2:12" x14ac:dyDescent="0.35">
      <c r="B32" s="150"/>
      <c r="C32" s="148"/>
      <c r="D32" s="148"/>
      <c r="E32" s="148"/>
      <c r="F32" s="148"/>
      <c r="G32" s="148"/>
      <c r="H32" s="148"/>
      <c r="I32" s="148"/>
      <c r="J32" s="148"/>
      <c r="K32" s="148"/>
      <c r="L32" s="148"/>
    </row>
    <row r="33" spans="2:12" x14ac:dyDescent="0.35">
      <c r="B33" s="148" t="s">
        <v>258</v>
      </c>
      <c r="C33" s="151">
        <v>305.26023190000001</v>
      </c>
      <c r="D33" s="152">
        <f>C33</f>
        <v>305.26023190000001</v>
      </c>
      <c r="E33" s="152">
        <f t="shared" ref="E33:G33" si="25">D33</f>
        <v>305.26023190000001</v>
      </c>
      <c r="F33" s="152">
        <f t="shared" si="25"/>
        <v>305.26023190000001</v>
      </c>
      <c r="G33" s="152">
        <f t="shared" si="25"/>
        <v>305.26023190000001</v>
      </c>
      <c r="H33" s="152">
        <f>G33</f>
        <v>305.26023190000001</v>
      </c>
      <c r="I33" s="152">
        <f t="shared" ref="I33:L33" si="26">H33</f>
        <v>305.26023190000001</v>
      </c>
      <c r="J33" s="152">
        <f t="shared" si="26"/>
        <v>305.26023190000001</v>
      </c>
      <c r="K33" s="152">
        <f t="shared" si="26"/>
        <v>305.26023190000001</v>
      </c>
      <c r="L33" s="152">
        <f t="shared" si="26"/>
        <v>305.26023190000001</v>
      </c>
    </row>
    <row r="34" spans="2:12" x14ac:dyDescent="0.35"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</row>
    <row r="35" spans="2:12" x14ac:dyDescent="0.35">
      <c r="B35" s="58" t="s">
        <v>259</v>
      </c>
      <c r="C35" s="57"/>
      <c r="D35" s="74">
        <v>1</v>
      </c>
      <c r="E35" s="74">
        <v>2</v>
      </c>
      <c r="F35" s="74">
        <v>3</v>
      </c>
      <c r="G35" s="74">
        <v>4</v>
      </c>
      <c r="H35" s="74">
        <v>5</v>
      </c>
      <c r="I35" s="74">
        <v>6</v>
      </c>
      <c r="J35" s="74">
        <v>7</v>
      </c>
      <c r="K35" s="74">
        <v>8</v>
      </c>
      <c r="L35" s="74">
        <v>9</v>
      </c>
    </row>
    <row r="36" spans="2:12" x14ac:dyDescent="0.35">
      <c r="B36" s="75" t="s">
        <v>260</v>
      </c>
      <c r="C36" s="76"/>
      <c r="D36" s="77">
        <f>D31/(1+L16)^D35</f>
        <v>9970.5992876832297</v>
      </c>
      <c r="E36" s="77">
        <f t="shared" ref="E36:G36" si="27">E31/(1+M16)^E35</f>
        <v>23168.343074580542</v>
      </c>
      <c r="F36" s="77">
        <f t="shared" si="27"/>
        <v>14901.491691441961</v>
      </c>
      <c r="G36" s="77">
        <f t="shared" si="27"/>
        <v>26937.776518370381</v>
      </c>
      <c r="H36" s="77">
        <f t="shared" ref="H36" si="28">H31/(1+P16)^H35</f>
        <v>23876.209027427758</v>
      </c>
      <c r="I36" s="77">
        <f t="shared" ref="I36" si="29">I31/(1+Q16)^I35</f>
        <v>28476.5348603682</v>
      </c>
      <c r="J36" s="77">
        <f t="shared" ref="J36" si="30">J31/(1+R16)^J35</f>
        <v>29228.101352551843</v>
      </c>
      <c r="K36" s="77">
        <f t="shared" ref="K36" si="31">K31/(1+S16)^K35</f>
        <v>31843.996598631806</v>
      </c>
      <c r="L36" s="77">
        <f t="shared" ref="L36" si="32">L31/(1+T16)^L35</f>
        <v>33423.17159754876</v>
      </c>
    </row>
    <row r="37" spans="2:12" x14ac:dyDescent="0.35">
      <c r="B37" s="75"/>
      <c r="C37" s="76"/>
      <c r="D37" s="78"/>
      <c r="E37" s="78"/>
      <c r="F37" s="78"/>
      <c r="G37" s="78"/>
      <c r="H37" s="78"/>
      <c r="I37" s="78"/>
      <c r="J37" s="78"/>
      <c r="K37" s="78"/>
      <c r="L37" s="78"/>
    </row>
    <row r="38" spans="2:12" x14ac:dyDescent="0.35">
      <c r="B38" s="79" t="s">
        <v>261</v>
      </c>
      <c r="C38" s="57"/>
      <c r="D38" s="57"/>
      <c r="E38" s="57"/>
      <c r="F38" s="80"/>
      <c r="G38" s="80">
        <f>(G39-L39)/5</f>
        <v>6.6900102644403712E-3</v>
      </c>
      <c r="H38" s="57"/>
      <c r="I38" s="57" t="s">
        <v>262</v>
      </c>
      <c r="J38" s="57"/>
      <c r="K38" s="57"/>
      <c r="L38" s="57"/>
    </row>
    <row r="39" spans="2:12" x14ac:dyDescent="0.35">
      <c r="B39" s="70" t="s">
        <v>250</v>
      </c>
      <c r="C39" s="118"/>
      <c r="D39" s="118">
        <f>'Historical FS'!G68</f>
        <v>9.3450051322201855E-2</v>
      </c>
      <c r="E39" s="118">
        <f>'Historical FS'!H68</f>
        <v>9.3450051322201855E-2</v>
      </c>
      <c r="F39" s="118">
        <f>'Historical FS'!I68</f>
        <v>9.3450051322201855E-2</v>
      </c>
      <c r="G39" s="118">
        <f>F39</f>
        <v>9.3450051322201855E-2</v>
      </c>
      <c r="H39" s="83">
        <f>G39-$G$38</f>
        <v>8.6760041057761486E-2</v>
      </c>
      <c r="I39" s="83">
        <f t="shared" ref="I39:K39" si="33">H39-$G$38</f>
        <v>8.0070030793321118E-2</v>
      </c>
      <c r="J39" s="83">
        <f t="shared" si="33"/>
        <v>7.3380020528880749E-2</v>
      </c>
      <c r="K39" s="83">
        <f t="shared" si="33"/>
        <v>6.669001026444038E-2</v>
      </c>
      <c r="L39" s="84">
        <v>0.06</v>
      </c>
    </row>
    <row r="40" spans="2:12" x14ac:dyDescent="0.35">
      <c r="B40" s="70" t="s">
        <v>64</v>
      </c>
      <c r="C40" s="81"/>
      <c r="D40" s="119">
        <f>D23/C23-1</f>
        <v>7.5726458417698206E-2</v>
      </c>
      <c r="E40" s="119">
        <f t="shared" ref="E40:G40" si="34">E23/D23-1</f>
        <v>0.10315796493254337</v>
      </c>
      <c r="F40" s="119">
        <f t="shared" si="34"/>
        <v>0.13040052797908053</v>
      </c>
      <c r="G40" s="119">
        <f t="shared" si="34"/>
        <v>0.10271893271598209</v>
      </c>
      <c r="H40" s="119">
        <f>H23/G23-1</f>
        <v>8.6760041057761583E-2</v>
      </c>
      <c r="I40" s="119">
        <f t="shared" ref="I40:K40" si="35">I23/H23-1</f>
        <v>8.007003079332109E-2</v>
      </c>
      <c r="J40" s="119">
        <f t="shared" si="35"/>
        <v>7.338002052888104E-2</v>
      </c>
      <c r="K40" s="119">
        <f t="shared" si="35"/>
        <v>6.6690010264440325E-2</v>
      </c>
      <c r="L40" s="82">
        <v>5.9999999999999831E-2</v>
      </c>
    </row>
    <row r="41" spans="2:12" x14ac:dyDescent="0.35">
      <c r="B41" s="70" t="s">
        <v>149</v>
      </c>
      <c r="C41" s="85"/>
      <c r="D41" s="82">
        <f>D24/C24-1</f>
        <v>7.5354754631898002E-2</v>
      </c>
      <c r="E41" s="82">
        <f t="shared" ref="E41:L41" si="36">E24/D24-1</f>
        <v>0.14371711850563385</v>
      </c>
      <c r="F41" s="82">
        <f t="shared" si="36"/>
        <v>0.17267622254900306</v>
      </c>
      <c r="G41" s="82">
        <f t="shared" si="36"/>
        <v>0.12872880108900353</v>
      </c>
      <c r="H41" s="82">
        <f t="shared" si="36"/>
        <v>8.6760041057761583E-2</v>
      </c>
      <c r="I41" s="82">
        <f t="shared" si="36"/>
        <v>8.0070030793320868E-2</v>
      </c>
      <c r="J41" s="82">
        <f t="shared" si="36"/>
        <v>7.338002052888104E-2</v>
      </c>
      <c r="K41" s="82">
        <f t="shared" si="36"/>
        <v>6.6690010264440325E-2</v>
      </c>
      <c r="L41" s="82">
        <f t="shared" si="36"/>
        <v>6.0000000000000053E-2</v>
      </c>
    </row>
    <row r="42" spans="2:12" x14ac:dyDescent="0.35">
      <c r="B42" s="70" t="s">
        <v>253</v>
      </c>
      <c r="C42" s="85"/>
      <c r="D42" s="119">
        <f>D27/C27-1</f>
        <v>7.6676368092521097E-2</v>
      </c>
      <c r="E42" s="119">
        <f t="shared" ref="E42:K42" si="37">E27/D27-1</f>
        <v>-3.6597415115080523E-4</v>
      </c>
      <c r="F42" s="119">
        <f t="shared" si="37"/>
        <v>6.9422406199355358E-3</v>
      </c>
      <c r="G42" s="119">
        <f t="shared" si="37"/>
        <v>1.426009869867495E-2</v>
      </c>
      <c r="H42" s="119">
        <f>H27/G27-1</f>
        <v>8.6760041057761583E-2</v>
      </c>
      <c r="I42" s="119">
        <f t="shared" si="37"/>
        <v>8.007003079332109E-2</v>
      </c>
      <c r="J42" s="119">
        <f t="shared" si="37"/>
        <v>7.3380020528880818E-2</v>
      </c>
      <c r="K42" s="119">
        <f t="shared" si="37"/>
        <v>6.6690010264440325E-2</v>
      </c>
      <c r="L42" s="82">
        <v>6.0000000000000053E-2</v>
      </c>
    </row>
    <row r="43" spans="2:12" x14ac:dyDescent="0.35"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</row>
    <row r="44" spans="2:12" x14ac:dyDescent="0.35">
      <c r="B44" s="79" t="s">
        <v>263</v>
      </c>
      <c r="C44" s="57"/>
      <c r="D44" s="57"/>
      <c r="E44" s="57"/>
      <c r="F44" s="57"/>
      <c r="G44" s="57"/>
      <c r="H44" s="57"/>
      <c r="I44" s="57"/>
      <c r="J44" s="57"/>
      <c r="K44" s="57"/>
      <c r="L44" s="57"/>
    </row>
    <row r="45" spans="2:12" x14ac:dyDescent="0.35">
      <c r="B45" s="72" t="s">
        <v>66</v>
      </c>
      <c r="C45" s="81"/>
      <c r="D45" s="119">
        <f t="shared" ref="D45:F45" si="38">D23/D22</f>
        <v>0.16333745693870105</v>
      </c>
      <c r="E45" s="119">
        <f t="shared" si="38"/>
        <v>0.16478760632538442</v>
      </c>
      <c r="F45" s="119">
        <f t="shared" si="38"/>
        <v>0.17035620142811109</v>
      </c>
      <c r="G45" s="119">
        <f>G23/G22</f>
        <v>0.17180026503560988</v>
      </c>
      <c r="H45" s="119">
        <f>G45</f>
        <v>0.17180026503560988</v>
      </c>
      <c r="I45" s="119">
        <f t="shared" ref="I45:L45" si="39">H45</f>
        <v>0.17180026503560988</v>
      </c>
      <c r="J45" s="119">
        <f t="shared" si="39"/>
        <v>0.17180026503560988</v>
      </c>
      <c r="K45" s="119">
        <f t="shared" si="39"/>
        <v>0.17180026503560988</v>
      </c>
      <c r="L45" s="119">
        <f t="shared" si="39"/>
        <v>0.17180026503560988</v>
      </c>
    </row>
    <row r="46" spans="2:12" x14ac:dyDescent="0.35">
      <c r="B46" s="70" t="s">
        <v>150</v>
      </c>
      <c r="C46" s="118"/>
      <c r="D46" s="119">
        <f>D24/D22</f>
        <v>0.11735823149275919</v>
      </c>
      <c r="E46" s="119">
        <f t="shared" ref="E46:G46" si="40">E24/E22</f>
        <v>0.12275331478882918</v>
      </c>
      <c r="F46" s="119">
        <f t="shared" si="40"/>
        <v>0.13164743402578691</v>
      </c>
      <c r="G46" s="119">
        <f t="shared" si="40"/>
        <v>0.13589486798659867</v>
      </c>
      <c r="H46" s="119">
        <f>G46</f>
        <v>0.13589486798659867</v>
      </c>
      <c r="I46" s="119">
        <f t="shared" ref="I46:L46" si="41">H46</f>
        <v>0.13589486798659867</v>
      </c>
      <c r="J46" s="119">
        <f t="shared" si="41"/>
        <v>0.13589486798659867</v>
      </c>
      <c r="K46" s="119">
        <f t="shared" si="41"/>
        <v>0.13589486798659867</v>
      </c>
      <c r="L46" s="119">
        <f t="shared" si="41"/>
        <v>0.13589486798659867</v>
      </c>
    </row>
    <row r="47" spans="2:12" x14ac:dyDescent="0.35">
      <c r="B47" s="70" t="s">
        <v>253</v>
      </c>
      <c r="C47" s="118"/>
      <c r="D47" s="119">
        <f t="shared" ref="D47:F47" si="42">D27/D22</f>
        <v>4.5979225445941872E-2</v>
      </c>
      <c r="E47" s="119">
        <f t="shared" si="42"/>
        <v>4.2034291536555246E-2</v>
      </c>
      <c r="F47" s="119">
        <f t="shared" si="42"/>
        <v>3.8708767402324165E-2</v>
      </c>
      <c r="G47" s="119">
        <f>G27/G22</f>
        <v>3.5905397049011224E-2</v>
      </c>
      <c r="H47" s="119">
        <f>G47</f>
        <v>3.5905397049011224E-2</v>
      </c>
      <c r="I47" s="119">
        <f t="shared" ref="I47:L47" si="43">H47</f>
        <v>3.5905397049011224E-2</v>
      </c>
      <c r="J47" s="119">
        <f t="shared" si="43"/>
        <v>3.5905397049011224E-2</v>
      </c>
      <c r="K47" s="119">
        <f t="shared" si="43"/>
        <v>3.5905397049011224E-2</v>
      </c>
      <c r="L47" s="119">
        <f t="shared" si="43"/>
        <v>3.5905397049011224E-2</v>
      </c>
    </row>
    <row r="48" spans="2:12" x14ac:dyDescent="0.35">
      <c r="B48" s="72" t="s">
        <v>256</v>
      </c>
      <c r="C48" s="81"/>
      <c r="D48" s="119">
        <f>-D30/D22</f>
        <v>4.5764145229306427E-2</v>
      </c>
      <c r="E48" s="119">
        <f t="shared" ref="E48:G48" si="44">-E30/E22</f>
        <v>4.5764145229306427E-2</v>
      </c>
      <c r="F48" s="119">
        <f t="shared" si="44"/>
        <v>4.5764145229306427E-2</v>
      </c>
      <c r="G48" s="119">
        <f t="shared" si="44"/>
        <v>4.5764145229306427E-2</v>
      </c>
      <c r="H48" s="119">
        <f>G48</f>
        <v>4.5764145229306427E-2</v>
      </c>
      <c r="I48" s="119">
        <f t="shared" ref="I48:L48" si="45">H48</f>
        <v>4.5764145229306427E-2</v>
      </c>
      <c r="J48" s="119">
        <f t="shared" si="45"/>
        <v>4.5764145229306427E-2</v>
      </c>
      <c r="K48" s="119">
        <f t="shared" si="45"/>
        <v>4.5764145229306427E-2</v>
      </c>
      <c r="L48" s="119">
        <f t="shared" si="45"/>
        <v>4.5764145229306427E-2</v>
      </c>
    </row>
    <row r="49" spans="2:12" x14ac:dyDescent="0.35">
      <c r="B49" s="57"/>
      <c r="C49" s="57"/>
      <c r="D49" s="57"/>
      <c r="E49" s="57"/>
      <c r="F49" s="57"/>
      <c r="G49" s="86"/>
      <c r="H49" s="86"/>
      <c r="I49" s="86"/>
      <c r="J49" s="86"/>
      <c r="K49" s="86"/>
      <c r="L49" s="86"/>
    </row>
    <row r="50" spans="2:12" x14ac:dyDescent="0.35">
      <c r="B50" s="87" t="s">
        <v>264</v>
      </c>
      <c r="C50" s="85"/>
      <c r="D50" s="59">
        <f>D25/D24</f>
        <v>0.19724848815317758</v>
      </c>
      <c r="E50" s="59">
        <f t="shared" ref="E50:G50" si="46">E25/E24</f>
        <v>0.21124509331735541</v>
      </c>
      <c r="F50" s="59">
        <f t="shared" si="46"/>
        <v>0.22558573651849045</v>
      </c>
      <c r="G50" s="59">
        <f t="shared" si="46"/>
        <v>0.23505731165391835</v>
      </c>
      <c r="H50" s="88">
        <f>G50</f>
        <v>0.23505731165391835</v>
      </c>
      <c r="I50" s="88">
        <f t="shared" ref="I50:L50" si="47">H50</f>
        <v>0.23505731165391835</v>
      </c>
      <c r="J50" s="88">
        <f t="shared" si="47"/>
        <v>0.23505731165391835</v>
      </c>
      <c r="K50" s="88">
        <f t="shared" si="47"/>
        <v>0.23505731165391835</v>
      </c>
      <c r="L50" s="88">
        <f t="shared" si="47"/>
        <v>0.23505731165391835</v>
      </c>
    </row>
    <row r="51" spans="2:12" ht="15" thickBot="1" x14ac:dyDescent="0.4"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</row>
    <row r="52" spans="2:12" x14ac:dyDescent="0.35"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</row>
    <row r="53" spans="2:12" ht="15" thickBot="1" x14ac:dyDescent="0.4">
      <c r="B53" s="55" t="s">
        <v>265</v>
      </c>
      <c r="C53" s="56"/>
      <c r="D53" s="58"/>
      <c r="E53" s="55" t="s">
        <v>266</v>
      </c>
      <c r="F53" s="55"/>
      <c r="G53" s="56"/>
      <c r="H53" s="56"/>
      <c r="I53" s="58"/>
      <c r="J53" s="55" t="s">
        <v>267</v>
      </c>
      <c r="K53" s="55"/>
      <c r="L53" s="56"/>
    </row>
    <row r="54" spans="2:12" x14ac:dyDescent="0.35">
      <c r="B54" s="58" t="s">
        <v>268</v>
      </c>
      <c r="C54" s="90">
        <f>SUM(D36:K36)</f>
        <v>188403.05241105572</v>
      </c>
      <c r="D54" s="73"/>
      <c r="E54" s="58" t="s">
        <v>269</v>
      </c>
      <c r="F54" s="58"/>
      <c r="G54" s="58"/>
      <c r="H54" s="71">
        <f>C54+C58</f>
        <v>297614.51504816988</v>
      </c>
      <c r="I54" s="58"/>
      <c r="J54" s="58" t="s">
        <v>270</v>
      </c>
      <c r="K54" s="58"/>
      <c r="L54" s="91">
        <f>H58</f>
        <v>221978.51504816988</v>
      </c>
    </row>
    <row r="55" spans="2:12" x14ac:dyDescent="0.35">
      <c r="B55" s="58" t="s">
        <v>246</v>
      </c>
      <c r="C55" s="67">
        <f>L16</f>
        <v>0.15597948573161469</v>
      </c>
      <c r="D55" s="58"/>
      <c r="E55" s="92" t="s">
        <v>271</v>
      </c>
      <c r="F55" s="58"/>
      <c r="G55" s="58"/>
      <c r="H55" s="71">
        <f>H13</f>
        <v>87984</v>
      </c>
      <c r="I55" s="58"/>
      <c r="J55" s="58" t="s">
        <v>258</v>
      </c>
      <c r="K55" s="58"/>
      <c r="L55" s="91">
        <f>L33</f>
        <v>305.26023190000001</v>
      </c>
    </row>
    <row r="56" spans="2:12" x14ac:dyDescent="0.35">
      <c r="B56" s="58" t="s">
        <v>272</v>
      </c>
      <c r="C56" s="63">
        <v>0.06</v>
      </c>
      <c r="D56" s="58"/>
      <c r="E56" s="92" t="s">
        <v>273</v>
      </c>
      <c r="F56" s="58"/>
      <c r="G56" s="58"/>
      <c r="H56" s="71">
        <f>H14</f>
        <v>12348</v>
      </c>
      <c r="I56" s="58"/>
      <c r="J56" s="58"/>
      <c r="K56" s="58"/>
      <c r="L56" s="58"/>
    </row>
    <row r="57" spans="2:12" x14ac:dyDescent="0.35">
      <c r="B57" s="58" t="s">
        <v>265</v>
      </c>
      <c r="C57" s="60">
        <f>L36/(C55-C56)</f>
        <v>348232.45136996498</v>
      </c>
      <c r="D57" s="58" t="s">
        <v>274</v>
      </c>
      <c r="E57" s="58" t="s">
        <v>242</v>
      </c>
      <c r="F57" s="58"/>
      <c r="G57" s="58"/>
      <c r="H57" s="93">
        <f>H55-H56</f>
        <v>75636</v>
      </c>
      <c r="I57" s="58"/>
      <c r="J57" s="58" t="s">
        <v>267</v>
      </c>
      <c r="K57" s="58"/>
      <c r="L57" s="94">
        <f>L54/L55</f>
        <v>727.1779676852492</v>
      </c>
    </row>
    <row r="58" spans="2:12" x14ac:dyDescent="0.35">
      <c r="B58" s="58" t="s">
        <v>275</v>
      </c>
      <c r="C58" s="95">
        <f>C57/(1+C55)^K35</f>
        <v>109211.46263711415</v>
      </c>
      <c r="D58" s="58"/>
      <c r="E58" s="58" t="s">
        <v>270</v>
      </c>
      <c r="F58" s="58"/>
      <c r="G58" s="58"/>
      <c r="H58" s="71">
        <f>H54-H57</f>
        <v>221978.51504816988</v>
      </c>
      <c r="I58" s="58"/>
      <c r="J58" s="58"/>
      <c r="K58" s="58"/>
      <c r="L58" s="96"/>
    </row>
    <row r="59" spans="2:12" ht="15" thickBot="1" x14ac:dyDescent="0.4"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</row>
    <row r="60" spans="2:12" x14ac:dyDescent="0.35"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</row>
    <row r="61" spans="2:12" x14ac:dyDescent="0.35">
      <c r="B61" s="57"/>
      <c r="C61" s="57" t="s">
        <v>276</v>
      </c>
      <c r="D61" s="57"/>
      <c r="E61" s="57"/>
      <c r="F61" s="57"/>
      <c r="G61" s="57"/>
      <c r="H61" s="57"/>
      <c r="I61" s="57"/>
      <c r="J61" s="57"/>
      <c r="K61" s="57"/>
      <c r="L61" s="57"/>
    </row>
    <row r="63" spans="2:12" x14ac:dyDescent="0.35">
      <c r="B63" s="79" t="s">
        <v>308</v>
      </c>
    </row>
    <row r="65" spans="3:11" x14ac:dyDescent="0.35">
      <c r="E65" s="158" t="s">
        <v>309</v>
      </c>
      <c r="F65" s="158"/>
      <c r="G65" s="158"/>
      <c r="H65" s="158"/>
      <c r="I65" s="158"/>
      <c r="J65" s="158"/>
      <c r="K65" s="158"/>
    </row>
    <row r="66" spans="3:11" x14ac:dyDescent="0.35">
      <c r="D66" s="34">
        <f>L57</f>
        <v>727.1779676852492</v>
      </c>
      <c r="E66" s="121">
        <v>0.04</v>
      </c>
      <c r="F66" s="27">
        <v>4.4999999999999998E-2</v>
      </c>
      <c r="G66" s="121">
        <v>0.05</v>
      </c>
      <c r="H66" s="27">
        <v>5.5E-2</v>
      </c>
      <c r="I66" s="121">
        <v>0.06</v>
      </c>
      <c r="J66" s="27">
        <v>6.5000000000000002E-2</v>
      </c>
      <c r="K66" s="121">
        <v>7.0000000000000007E-2</v>
      </c>
    </row>
    <row r="67" spans="3:11" x14ac:dyDescent="0.35">
      <c r="C67" s="128" t="s">
        <v>246</v>
      </c>
      <c r="D67" s="121">
        <v>0.12</v>
      </c>
      <c r="E67" s="122">
        <f t="dataTable" ref="E67:K73" dt2D="1" dtr="1" r1="C56" r2="C55"/>
        <v>922.18131751224439</v>
      </c>
      <c r="F67" s="122">
        <v>959.03254864626592</v>
      </c>
      <c r="G67" s="122">
        <v>1001.1482413708621</v>
      </c>
      <c r="H67" s="122">
        <v>1049.7432714377042</v>
      </c>
      <c r="I67" s="122">
        <v>1106.437473182353</v>
      </c>
      <c r="J67" s="122">
        <v>1173.4397116078471</v>
      </c>
      <c r="K67" s="122">
        <v>1253.8423977184398</v>
      </c>
    </row>
    <row r="68" spans="3:11" x14ac:dyDescent="0.35">
      <c r="C68" s="128"/>
      <c r="D68" s="121">
        <v>0.13</v>
      </c>
      <c r="E68" s="122">
        <v>827.03535282830387</v>
      </c>
      <c r="F68" s="122">
        <v>853.95432355338539</v>
      </c>
      <c r="G68" s="122">
        <v>884.23816561910223</v>
      </c>
      <c r="H68" s="122">
        <v>918.559853293581</v>
      </c>
      <c r="I68" s="122">
        <v>957.78463920727131</v>
      </c>
      <c r="J68" s="122">
        <v>1003.0440075692214</v>
      </c>
      <c r="K68" s="122">
        <v>1055.8466039914967</v>
      </c>
    </row>
    <row r="69" spans="3:11" x14ac:dyDescent="0.35">
      <c r="C69" s="128"/>
      <c r="D69" s="121">
        <v>0.14000000000000001</v>
      </c>
      <c r="E69" s="122">
        <v>753.24258726205346</v>
      </c>
      <c r="F69" s="122">
        <v>773.44415235469216</v>
      </c>
      <c r="G69" s="122">
        <v>795.89033579095747</v>
      </c>
      <c r="H69" s="122">
        <v>820.97724669031265</v>
      </c>
      <c r="I69" s="122">
        <v>849.2000214520873</v>
      </c>
      <c r="J69" s="122">
        <v>881.18583284876524</v>
      </c>
      <c r="K69" s="122">
        <v>917.74104587354009</v>
      </c>
    </row>
    <row r="70" spans="3:11" x14ac:dyDescent="0.35">
      <c r="C70" s="128"/>
      <c r="D70" s="121">
        <v>0.15</v>
      </c>
      <c r="E70" s="122">
        <v>694.80121637993955</v>
      </c>
      <c r="F70" s="122">
        <v>710.29590046936892</v>
      </c>
      <c r="G70" s="122">
        <v>727.34005296774149</v>
      </c>
      <c r="H70" s="122">
        <v>746.17832678173227</v>
      </c>
      <c r="I70" s="123">
        <v>767.1097421306107</v>
      </c>
      <c r="J70" s="122">
        <v>790.50367693229862</v>
      </c>
      <c r="K70" s="122">
        <v>816.82185358419724</v>
      </c>
    </row>
    <row r="71" spans="3:11" x14ac:dyDescent="0.35">
      <c r="C71" s="128"/>
      <c r="D71" s="121">
        <v>0.16</v>
      </c>
      <c r="E71" s="122">
        <v>647.72506629906923</v>
      </c>
      <c r="F71" s="122">
        <v>659.8255974206844</v>
      </c>
      <c r="G71" s="122">
        <v>673.02617682608286</v>
      </c>
      <c r="H71" s="122">
        <v>687.48395427009052</v>
      </c>
      <c r="I71" s="122">
        <v>703.38750945849938</v>
      </c>
      <c r="J71" s="122">
        <v>720.9651230877929</v>
      </c>
      <c r="K71" s="122">
        <v>740.49580489811945</v>
      </c>
    </row>
    <row r="72" spans="3:11" x14ac:dyDescent="0.35">
      <c r="C72" s="128"/>
      <c r="D72" s="121">
        <v>0.17</v>
      </c>
      <c r="E72" s="122">
        <v>609.26697038418126</v>
      </c>
      <c r="F72" s="122">
        <v>618.86113517947183</v>
      </c>
      <c r="G72" s="122">
        <v>629.25481370770319</v>
      </c>
      <c r="H72" s="122">
        <v>640.55229036882429</v>
      </c>
      <c r="I72" s="122">
        <v>652.87681036277445</v>
      </c>
      <c r="J72" s="122">
        <v>666.37509416567229</v>
      </c>
      <c r="K72" s="122">
        <v>681.22320634886012</v>
      </c>
    </row>
    <row r="73" spans="3:11" x14ac:dyDescent="0.35">
      <c r="C73" s="128"/>
      <c r="D73" s="121">
        <v>0.18</v>
      </c>
      <c r="E73" s="122">
        <v>577.47512160832309</v>
      </c>
      <c r="F73" s="122">
        <v>585.18113164930094</v>
      </c>
      <c r="G73" s="122">
        <v>593.47991169343095</v>
      </c>
      <c r="H73" s="122">
        <v>602.4425941410916</v>
      </c>
      <c r="I73" s="122">
        <v>612.15216679272385</v>
      </c>
      <c r="J73" s="122">
        <v>622.70605010971531</v>
      </c>
      <c r="K73" s="122">
        <v>634.21937736461518</v>
      </c>
    </row>
    <row r="74" spans="3:11" ht="15" thickBot="1" x14ac:dyDescent="0.4">
      <c r="C74" s="129"/>
    </row>
  </sheetData>
  <mergeCells count="11">
    <mergeCell ref="E15:F15"/>
    <mergeCell ref="E65:K65"/>
    <mergeCell ref="E10:F10"/>
    <mergeCell ref="E11:F11"/>
    <mergeCell ref="E12:F12"/>
    <mergeCell ref="E13:F13"/>
    <mergeCell ref="E14:G14"/>
    <mergeCell ref="E16:G16"/>
    <mergeCell ref="D19:G19"/>
    <mergeCell ref="H19:K19"/>
    <mergeCell ref="C67:C74"/>
  </mergeCells>
  <phoneticPr fontId="2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CCC91-C3E9-4A23-A4C2-9EEB16C71E14}">
  <sheetPr>
    <tabColor theme="8" tint="-0.499984740745262"/>
  </sheetPr>
  <dimension ref="A1"/>
  <sheetViews>
    <sheetView workbookViewId="0">
      <selection activeCell="H15" sqref="H15"/>
    </sheetView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0B2C3-DCAF-47BD-B9F8-A905FCFF251F}">
  <dimension ref="A1:K93"/>
  <sheetViews>
    <sheetView topLeftCell="A66" workbookViewId="0">
      <selection activeCell="A70" sqref="A70:XFD70"/>
    </sheetView>
  </sheetViews>
  <sheetFormatPr defaultRowHeight="14.5" x14ac:dyDescent="0.35"/>
  <cols>
    <col min="1" max="1" width="25.81640625" bestFit="1" customWidth="1"/>
    <col min="2" max="2" width="17.7265625" bestFit="1" customWidth="1"/>
    <col min="3" max="11" width="10.81640625" bestFit="1" customWidth="1"/>
  </cols>
  <sheetData>
    <row r="1" spans="1:11" x14ac:dyDescent="0.35">
      <c r="A1" s="1" t="s">
        <v>0</v>
      </c>
      <c r="B1" s="1" t="s">
        <v>32</v>
      </c>
      <c r="C1" s="1"/>
      <c r="D1" s="1"/>
      <c r="E1" s="130" t="s">
        <v>54</v>
      </c>
      <c r="F1" s="130"/>
      <c r="G1" s="130"/>
      <c r="H1" s="130"/>
      <c r="I1" s="130"/>
      <c r="J1" s="130"/>
      <c r="K1" s="130"/>
    </row>
    <row r="2" spans="1:11" x14ac:dyDescent="0.35">
      <c r="A2" s="1" t="s">
        <v>30</v>
      </c>
      <c r="B2" s="2">
        <v>2.1</v>
      </c>
      <c r="C2" s="2"/>
      <c r="D2" s="2"/>
      <c r="E2" s="131" t="s">
        <v>21</v>
      </c>
      <c r="F2" s="131"/>
      <c r="G2" s="131"/>
      <c r="H2" s="131"/>
      <c r="I2" s="131"/>
      <c r="J2" s="131"/>
      <c r="K2" s="131"/>
    </row>
    <row r="3" spans="1:11" x14ac:dyDescent="0.35">
      <c r="A3" s="1" t="s">
        <v>31</v>
      </c>
      <c r="B3" s="2">
        <v>2.1</v>
      </c>
      <c r="C3" s="2"/>
      <c r="D3" s="2"/>
      <c r="E3" s="2"/>
      <c r="F3" s="2"/>
      <c r="G3" s="2"/>
      <c r="H3" s="2"/>
      <c r="I3" s="2"/>
      <c r="J3" s="2"/>
      <c r="K3" s="2"/>
    </row>
    <row r="4" spans="1:11" x14ac:dyDescent="0.35">
      <c r="A4" s="1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35">
      <c r="A5" s="1" t="s">
        <v>33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35">
      <c r="A6" s="2" t="s">
        <v>27</v>
      </c>
      <c r="B6" s="2" t="s">
        <v>54</v>
      </c>
      <c r="C6" s="2"/>
      <c r="D6" s="2"/>
      <c r="E6" s="2"/>
      <c r="F6" s="2"/>
      <c r="G6" s="2"/>
      <c r="H6" s="2"/>
      <c r="I6" s="2"/>
      <c r="J6" s="2"/>
      <c r="K6" s="2"/>
    </row>
    <row r="7" spans="1:11" x14ac:dyDescent="0.35">
      <c r="A7" s="2" t="s">
        <v>16</v>
      </c>
      <c r="B7" s="3">
        <v>1</v>
      </c>
      <c r="C7" s="2"/>
      <c r="D7" s="2"/>
      <c r="E7" s="2"/>
      <c r="F7" s="2"/>
      <c r="G7" s="2"/>
      <c r="H7" s="2"/>
      <c r="I7" s="2"/>
      <c r="J7" s="2"/>
      <c r="K7" s="2"/>
    </row>
    <row r="8" spans="1:11" x14ac:dyDescent="0.35">
      <c r="A8" s="2" t="s">
        <v>28</v>
      </c>
      <c r="B8" s="3">
        <v>1033.75</v>
      </c>
      <c r="C8" s="2"/>
      <c r="D8" s="2"/>
      <c r="E8" s="2"/>
      <c r="F8" s="2"/>
      <c r="G8" s="2"/>
      <c r="H8" s="2"/>
      <c r="I8" s="2"/>
      <c r="J8" s="2"/>
      <c r="K8" s="2"/>
    </row>
    <row r="9" spans="1:11" x14ac:dyDescent="0.35">
      <c r="A9" s="2" t="s">
        <v>43</v>
      </c>
      <c r="B9" s="3">
        <v>252798.8</v>
      </c>
      <c r="C9" s="2"/>
      <c r="D9" s="2"/>
      <c r="E9" s="2"/>
      <c r="F9" s="2"/>
      <c r="G9" s="2"/>
      <c r="H9" s="2"/>
      <c r="I9" s="2"/>
      <c r="J9" s="2"/>
      <c r="K9" s="2"/>
    </row>
    <row r="10" spans="1:11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35">
      <c r="A15" s="1" t="s">
        <v>22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35">
      <c r="A16" s="4" t="s">
        <v>23</v>
      </c>
      <c r="B16" s="5">
        <v>42094</v>
      </c>
      <c r="C16" s="5">
        <v>42460</v>
      </c>
      <c r="D16" s="5">
        <v>42825</v>
      </c>
      <c r="E16" s="5">
        <v>43190</v>
      </c>
      <c r="F16" s="5">
        <v>43555</v>
      </c>
      <c r="G16" s="5">
        <v>43921</v>
      </c>
      <c r="H16" s="5">
        <v>44286</v>
      </c>
      <c r="I16" s="5">
        <v>44651</v>
      </c>
      <c r="J16" s="5">
        <v>45016</v>
      </c>
      <c r="K16" s="5">
        <v>45382</v>
      </c>
    </row>
    <row r="17" spans="1:11" x14ac:dyDescent="0.35">
      <c r="A17" s="2" t="s">
        <v>1</v>
      </c>
      <c r="B17" s="3">
        <v>52971.51</v>
      </c>
      <c r="C17" s="3">
        <v>41546.17</v>
      </c>
      <c r="D17" s="3">
        <v>55604</v>
      </c>
      <c r="E17" s="3">
        <v>71933</v>
      </c>
      <c r="F17" s="3">
        <v>84757</v>
      </c>
      <c r="G17" s="3">
        <v>73326</v>
      </c>
      <c r="H17" s="3">
        <v>79839</v>
      </c>
      <c r="I17" s="3">
        <v>146371</v>
      </c>
      <c r="J17" s="3">
        <v>165960</v>
      </c>
      <c r="K17" s="3">
        <v>175006</v>
      </c>
    </row>
    <row r="18" spans="1:11" x14ac:dyDescent="0.35">
      <c r="A18" s="2" t="s">
        <v>44</v>
      </c>
      <c r="B18" s="3">
        <v>31140.42</v>
      </c>
      <c r="C18" s="3">
        <v>21181.02</v>
      </c>
      <c r="D18" s="3">
        <v>29749</v>
      </c>
      <c r="E18" s="3">
        <v>38781</v>
      </c>
      <c r="F18" s="3">
        <v>43796</v>
      </c>
      <c r="G18" s="3">
        <v>39000</v>
      </c>
      <c r="H18" s="3">
        <v>32856</v>
      </c>
      <c r="I18" s="3">
        <v>62871</v>
      </c>
      <c r="J18" s="3">
        <v>95970</v>
      </c>
      <c r="K18" s="3">
        <v>94754</v>
      </c>
    </row>
    <row r="19" spans="1:11" x14ac:dyDescent="0.35">
      <c r="A19" s="2" t="s">
        <v>45</v>
      </c>
      <c r="B19" s="3">
        <v>1488.21</v>
      </c>
      <c r="C19" s="3">
        <v>-1365.76</v>
      </c>
      <c r="D19" s="3">
        <v>1486</v>
      </c>
      <c r="E19" s="3">
        <v>-244</v>
      </c>
      <c r="F19" s="3">
        <v>590</v>
      </c>
      <c r="G19" s="3">
        <v>270</v>
      </c>
      <c r="H19" s="3">
        <v>348</v>
      </c>
      <c r="I19" s="3">
        <v>3601</v>
      </c>
      <c r="J19" s="3">
        <v>2636</v>
      </c>
      <c r="K19" s="3">
        <v>3087</v>
      </c>
    </row>
    <row r="20" spans="1:11" x14ac:dyDescent="0.35">
      <c r="A20" s="2" t="s">
        <v>46</v>
      </c>
      <c r="B20" s="3">
        <v>4123.1000000000004</v>
      </c>
      <c r="C20" s="3">
        <v>3657.88</v>
      </c>
      <c r="D20" s="3">
        <v>4883</v>
      </c>
      <c r="E20" s="3">
        <v>5697</v>
      </c>
      <c r="F20" s="3">
        <v>7053</v>
      </c>
      <c r="G20" s="3">
        <v>6272</v>
      </c>
      <c r="H20" s="3">
        <v>5985</v>
      </c>
      <c r="I20" s="3">
        <v>11289</v>
      </c>
      <c r="J20" s="3">
        <v>17452</v>
      </c>
      <c r="K20" s="3">
        <v>15127</v>
      </c>
    </row>
    <row r="21" spans="1:11" x14ac:dyDescent="0.35">
      <c r="A21" s="2" t="s">
        <v>47</v>
      </c>
      <c r="B21" s="3">
        <v>6764.77</v>
      </c>
      <c r="C21" s="3">
        <v>5745.05</v>
      </c>
      <c r="D21" s="3">
        <v>6887</v>
      </c>
      <c r="E21" s="3">
        <v>8713</v>
      </c>
      <c r="F21" s="3">
        <v>10158</v>
      </c>
      <c r="G21" s="3">
        <v>10243</v>
      </c>
      <c r="H21" s="3">
        <v>16247</v>
      </c>
      <c r="I21" s="3">
        <v>29726</v>
      </c>
      <c r="J21" s="3">
        <v>26224</v>
      </c>
      <c r="K21" s="3">
        <v>29716</v>
      </c>
    </row>
    <row r="22" spans="1:11" x14ac:dyDescent="0.35">
      <c r="A22" s="2" t="s">
        <v>48</v>
      </c>
      <c r="B22" s="3">
        <v>1532.84</v>
      </c>
      <c r="C22" s="3">
        <v>1518.67</v>
      </c>
      <c r="D22" s="3">
        <v>1700</v>
      </c>
      <c r="E22" s="3">
        <v>1843</v>
      </c>
      <c r="F22" s="3">
        <v>2489</v>
      </c>
      <c r="G22" s="3">
        <v>2839</v>
      </c>
      <c r="H22" s="3">
        <v>2506</v>
      </c>
      <c r="I22" s="3">
        <v>3493</v>
      </c>
      <c r="J22" s="3">
        <v>3915</v>
      </c>
      <c r="K22" s="3">
        <v>4591</v>
      </c>
    </row>
    <row r="23" spans="1:11" x14ac:dyDescent="0.35">
      <c r="A23" s="2" t="s">
        <v>49</v>
      </c>
      <c r="B23" s="3">
        <v>372.65</v>
      </c>
      <c r="C23" s="3">
        <v>332.82</v>
      </c>
      <c r="D23" s="3">
        <v>323</v>
      </c>
      <c r="E23" s="3">
        <v>277</v>
      </c>
      <c r="F23" s="3">
        <v>602</v>
      </c>
      <c r="G23" s="3">
        <v>450</v>
      </c>
      <c r="H23" s="3">
        <v>404</v>
      </c>
      <c r="I23" s="3">
        <v>557</v>
      </c>
      <c r="J23" s="3">
        <v>1018</v>
      </c>
      <c r="K23" s="3">
        <v>894</v>
      </c>
    </row>
    <row r="24" spans="1:11" x14ac:dyDescent="0.35">
      <c r="A24" s="2" t="s">
        <v>50</v>
      </c>
      <c r="B24" s="3">
        <v>1162.08</v>
      </c>
      <c r="C24" s="3">
        <v>1322.66</v>
      </c>
      <c r="D24" s="3">
        <v>1240</v>
      </c>
      <c r="E24" s="3">
        <v>1462</v>
      </c>
      <c r="F24" s="3">
        <v>2319</v>
      </c>
      <c r="G24" s="3">
        <v>2979</v>
      </c>
      <c r="H24" s="3">
        <v>2011</v>
      </c>
      <c r="I24" s="3">
        <v>2922</v>
      </c>
      <c r="J24" s="3">
        <v>5547</v>
      </c>
      <c r="K24" s="3">
        <v>4854</v>
      </c>
    </row>
    <row r="25" spans="1:11" x14ac:dyDescent="0.35">
      <c r="A25" s="2" t="s">
        <v>4</v>
      </c>
      <c r="B25" s="3">
        <v>102.77</v>
      </c>
      <c r="C25" s="3">
        <v>-1966.23</v>
      </c>
      <c r="D25" s="3">
        <v>18</v>
      </c>
      <c r="E25" s="3">
        <v>-177</v>
      </c>
      <c r="F25" s="3">
        <v>196</v>
      </c>
      <c r="G25" s="3">
        <v>-289</v>
      </c>
      <c r="H25" s="3">
        <v>473</v>
      </c>
      <c r="I25" s="3">
        <v>1600</v>
      </c>
      <c r="J25" s="3">
        <v>1561</v>
      </c>
      <c r="K25" s="3">
        <v>1500</v>
      </c>
    </row>
    <row r="26" spans="1:11" x14ac:dyDescent="0.35">
      <c r="A26" s="2" t="s">
        <v>5</v>
      </c>
      <c r="B26" s="3">
        <v>3434.49</v>
      </c>
      <c r="C26" s="3">
        <v>3322.56</v>
      </c>
      <c r="D26" s="3">
        <v>3430</v>
      </c>
      <c r="E26" s="3">
        <v>3387</v>
      </c>
      <c r="F26" s="3">
        <v>4041</v>
      </c>
      <c r="G26" s="3">
        <v>4246</v>
      </c>
      <c r="H26" s="3">
        <v>4679</v>
      </c>
      <c r="I26" s="3">
        <v>6001</v>
      </c>
      <c r="J26" s="3">
        <v>7474</v>
      </c>
      <c r="K26" s="3">
        <v>8172</v>
      </c>
    </row>
    <row r="27" spans="1:11" x14ac:dyDescent="0.35">
      <c r="A27" s="2" t="s">
        <v>6</v>
      </c>
      <c r="B27" s="3">
        <v>3493.03</v>
      </c>
      <c r="C27" s="3">
        <v>3601.18</v>
      </c>
      <c r="D27" s="3">
        <v>3768</v>
      </c>
      <c r="E27" s="3">
        <v>3701</v>
      </c>
      <c r="F27" s="3">
        <v>3917</v>
      </c>
      <c r="G27" s="3">
        <v>4265</v>
      </c>
      <c r="H27" s="3">
        <v>3957</v>
      </c>
      <c r="I27" s="3">
        <v>4968</v>
      </c>
      <c r="J27" s="3">
        <v>6902</v>
      </c>
      <c r="K27" s="3">
        <v>8105</v>
      </c>
    </row>
    <row r="28" spans="1:11" x14ac:dyDescent="0.35">
      <c r="A28" s="2" t="s">
        <v>7</v>
      </c>
      <c r="B28" s="3">
        <v>2539.11</v>
      </c>
      <c r="C28" s="3">
        <v>-2467.66</v>
      </c>
      <c r="D28" s="3">
        <v>5128</v>
      </c>
      <c r="E28" s="3">
        <v>7651</v>
      </c>
      <c r="F28" s="3">
        <v>11168</v>
      </c>
      <c r="G28" s="3">
        <v>3013</v>
      </c>
      <c r="H28" s="3">
        <v>12015</v>
      </c>
      <c r="I28" s="3">
        <v>29745</v>
      </c>
      <c r="J28" s="3">
        <v>5655</v>
      </c>
      <c r="K28" s="3">
        <v>13380</v>
      </c>
    </row>
    <row r="29" spans="1:11" x14ac:dyDescent="0.35">
      <c r="A29" s="2" t="s">
        <v>8</v>
      </c>
      <c r="B29" s="3">
        <v>819.41</v>
      </c>
      <c r="C29" s="3">
        <v>-1966.21</v>
      </c>
      <c r="D29" s="3">
        <v>1674</v>
      </c>
      <c r="E29" s="3">
        <v>1538</v>
      </c>
      <c r="F29" s="3">
        <v>3644</v>
      </c>
      <c r="G29" s="3">
        <v>-906</v>
      </c>
      <c r="H29" s="3">
        <v>4142</v>
      </c>
      <c r="I29" s="3">
        <v>8807</v>
      </c>
      <c r="J29" s="3">
        <v>1516</v>
      </c>
      <c r="K29" s="3">
        <v>4407</v>
      </c>
    </row>
    <row r="30" spans="1:11" x14ac:dyDescent="0.35">
      <c r="A30" s="2" t="s">
        <v>9</v>
      </c>
      <c r="B30" s="3">
        <v>1796.57</v>
      </c>
      <c r="C30" s="3">
        <v>-335.43</v>
      </c>
      <c r="D30" s="3">
        <v>3523</v>
      </c>
      <c r="E30" s="3">
        <v>6214</v>
      </c>
      <c r="F30" s="3">
        <v>7639</v>
      </c>
      <c r="G30" s="3">
        <v>4030</v>
      </c>
      <c r="H30" s="3">
        <v>7911</v>
      </c>
      <c r="I30" s="3">
        <v>20665</v>
      </c>
      <c r="J30" s="3">
        <v>4144</v>
      </c>
      <c r="K30" s="3">
        <v>8812</v>
      </c>
    </row>
    <row r="31" spans="1:11" x14ac:dyDescent="0.35">
      <c r="A31" s="2" t="s">
        <v>34</v>
      </c>
      <c r="B31" s="2">
        <v>333.02</v>
      </c>
      <c r="C31" s="3">
        <v>225.68</v>
      </c>
      <c r="D31" s="2">
        <v>677.25</v>
      </c>
      <c r="E31" s="2">
        <v>966.4</v>
      </c>
      <c r="F31" s="2">
        <v>1234.0999999999999</v>
      </c>
      <c r="G31" s="2">
        <v>602</v>
      </c>
      <c r="H31" s="2">
        <v>1963</v>
      </c>
      <c r="I31" s="2">
        <v>5222.3500000000004</v>
      </c>
      <c r="J31" s="3">
        <v>1023.4</v>
      </c>
      <c r="K31" s="3">
        <v>2226.5</v>
      </c>
    </row>
    <row r="32" spans="1:1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35">
      <c r="A40" s="1" t="s">
        <v>24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35">
      <c r="A41" s="4" t="s">
        <v>23</v>
      </c>
      <c r="B41" s="5">
        <v>44651</v>
      </c>
      <c r="C41" s="5">
        <v>44742</v>
      </c>
      <c r="D41" s="5">
        <v>44834</v>
      </c>
      <c r="E41" s="5">
        <v>44926</v>
      </c>
      <c r="F41" s="5">
        <v>45016</v>
      </c>
      <c r="G41" s="5">
        <v>45107</v>
      </c>
      <c r="H41" s="5">
        <v>45199</v>
      </c>
      <c r="I41" s="5">
        <v>45291</v>
      </c>
      <c r="J41" s="5">
        <v>45382</v>
      </c>
      <c r="K41" s="5">
        <v>45473</v>
      </c>
    </row>
    <row r="42" spans="1:11" x14ac:dyDescent="0.35">
      <c r="A42" s="2" t="s">
        <v>1</v>
      </c>
      <c r="B42" s="3">
        <v>46895</v>
      </c>
      <c r="C42" s="3">
        <v>38086</v>
      </c>
      <c r="D42" s="3">
        <v>41778</v>
      </c>
      <c r="E42" s="3">
        <v>39134</v>
      </c>
      <c r="F42" s="3">
        <v>46962</v>
      </c>
      <c r="G42" s="3">
        <v>42213</v>
      </c>
      <c r="H42" s="3">
        <v>44584</v>
      </c>
      <c r="I42" s="3">
        <v>41940</v>
      </c>
      <c r="J42" s="3">
        <v>46269</v>
      </c>
      <c r="K42" s="3">
        <v>42943</v>
      </c>
    </row>
    <row r="43" spans="1:11" x14ac:dyDescent="0.35">
      <c r="A43" s="2" t="s">
        <v>2</v>
      </c>
      <c r="B43" s="3">
        <v>37742</v>
      </c>
      <c r="C43" s="3">
        <v>33794</v>
      </c>
      <c r="D43" s="3">
        <v>40082</v>
      </c>
      <c r="E43" s="3">
        <v>34643</v>
      </c>
      <c r="F43" s="3">
        <v>39031</v>
      </c>
      <c r="G43" s="3">
        <v>35201</v>
      </c>
      <c r="H43" s="3">
        <v>36722</v>
      </c>
      <c r="I43" s="3">
        <v>34776</v>
      </c>
      <c r="J43" s="3">
        <v>40243</v>
      </c>
      <c r="K43" s="3">
        <v>37445</v>
      </c>
    </row>
    <row r="44" spans="1:11" x14ac:dyDescent="0.35">
      <c r="A44" s="2" t="s">
        <v>4</v>
      </c>
      <c r="B44" s="3">
        <v>-508</v>
      </c>
      <c r="C44" s="3">
        <v>189</v>
      </c>
      <c r="D44" s="3">
        <v>779</v>
      </c>
      <c r="E44" s="3">
        <v>188</v>
      </c>
      <c r="F44" s="3">
        <v>465</v>
      </c>
      <c r="G44" s="3">
        <v>331</v>
      </c>
      <c r="H44" s="3">
        <v>826</v>
      </c>
      <c r="I44" s="3">
        <v>194</v>
      </c>
      <c r="J44" s="3">
        <v>242</v>
      </c>
      <c r="K44" s="3">
        <v>164</v>
      </c>
    </row>
    <row r="45" spans="1:11" x14ac:dyDescent="0.35">
      <c r="A45" s="2" t="s">
        <v>5</v>
      </c>
      <c r="B45" s="3">
        <v>1815</v>
      </c>
      <c r="C45" s="3">
        <v>1778</v>
      </c>
      <c r="D45" s="3">
        <v>1805</v>
      </c>
      <c r="E45" s="3">
        <v>1882</v>
      </c>
      <c r="F45" s="3">
        <v>2009</v>
      </c>
      <c r="G45" s="3">
        <v>1900</v>
      </c>
      <c r="H45" s="3">
        <v>2019</v>
      </c>
      <c r="I45" s="3">
        <v>2059</v>
      </c>
      <c r="J45" s="3">
        <v>2194</v>
      </c>
      <c r="K45" s="3">
        <v>2209</v>
      </c>
    </row>
    <row r="46" spans="1:11" x14ac:dyDescent="0.35">
      <c r="A46" s="2" t="s">
        <v>6</v>
      </c>
      <c r="B46" s="3">
        <v>1756</v>
      </c>
      <c r="C46" s="3">
        <v>1422</v>
      </c>
      <c r="D46" s="3">
        <v>1523</v>
      </c>
      <c r="E46" s="3">
        <v>1819</v>
      </c>
      <c r="F46" s="3">
        <v>2138</v>
      </c>
      <c r="G46" s="3">
        <v>1963</v>
      </c>
      <c r="H46" s="3">
        <v>2084</v>
      </c>
      <c r="I46" s="3">
        <v>1996</v>
      </c>
      <c r="J46" s="3">
        <v>2062</v>
      </c>
      <c r="K46" s="3">
        <v>2073</v>
      </c>
    </row>
    <row r="47" spans="1:11" x14ac:dyDescent="0.35">
      <c r="A47" s="2" t="s">
        <v>7</v>
      </c>
      <c r="B47" s="3">
        <v>5074</v>
      </c>
      <c r="C47" s="3">
        <v>1281</v>
      </c>
      <c r="D47" s="3">
        <v>-853</v>
      </c>
      <c r="E47" s="3">
        <v>978</v>
      </c>
      <c r="F47" s="3">
        <v>4249</v>
      </c>
      <c r="G47" s="3">
        <v>3480</v>
      </c>
      <c r="H47" s="3">
        <v>4585</v>
      </c>
      <c r="I47" s="3">
        <v>3303</v>
      </c>
      <c r="J47" s="3">
        <v>2012</v>
      </c>
      <c r="K47" s="3">
        <v>1380</v>
      </c>
    </row>
    <row r="48" spans="1:11" x14ac:dyDescent="0.35">
      <c r="A48" s="2" t="s">
        <v>8</v>
      </c>
      <c r="B48" s="3">
        <v>1731</v>
      </c>
      <c r="C48" s="3">
        <v>442</v>
      </c>
      <c r="D48" s="3">
        <v>62</v>
      </c>
      <c r="E48" s="3">
        <v>504</v>
      </c>
      <c r="F48" s="3">
        <v>508</v>
      </c>
      <c r="G48" s="3">
        <v>1052</v>
      </c>
      <c r="H48" s="3">
        <v>1812</v>
      </c>
      <c r="I48" s="3">
        <v>853</v>
      </c>
      <c r="J48" s="3">
        <v>690</v>
      </c>
      <c r="K48" s="3">
        <v>513</v>
      </c>
    </row>
    <row r="49" spans="1:11" x14ac:dyDescent="0.35">
      <c r="A49" s="2" t="s">
        <v>9</v>
      </c>
      <c r="B49" s="3">
        <v>3234</v>
      </c>
      <c r="C49" s="3">
        <v>838</v>
      </c>
      <c r="D49" s="3">
        <v>-848</v>
      </c>
      <c r="E49" s="3">
        <v>490</v>
      </c>
      <c r="F49" s="3">
        <v>3664</v>
      </c>
      <c r="G49" s="3">
        <v>2338</v>
      </c>
      <c r="H49" s="3">
        <v>2760</v>
      </c>
      <c r="I49" s="3">
        <v>2415</v>
      </c>
      <c r="J49" s="3">
        <v>1299</v>
      </c>
      <c r="K49" s="3">
        <v>845</v>
      </c>
    </row>
    <row r="50" spans="1:11" x14ac:dyDescent="0.35">
      <c r="A50" s="2" t="s">
        <v>3</v>
      </c>
      <c r="B50" s="3">
        <v>9153</v>
      </c>
      <c r="C50" s="3">
        <v>4292</v>
      </c>
      <c r="D50" s="3">
        <v>1696</v>
      </c>
      <c r="E50" s="3">
        <v>4491</v>
      </c>
      <c r="F50" s="3">
        <v>7931</v>
      </c>
      <c r="G50" s="3">
        <v>7012</v>
      </c>
      <c r="H50" s="3">
        <v>7862</v>
      </c>
      <c r="I50" s="3">
        <v>7164</v>
      </c>
      <c r="J50" s="3">
        <v>6026</v>
      </c>
      <c r="K50" s="3">
        <v>5498</v>
      </c>
    </row>
    <row r="51" spans="1:1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35">
      <c r="A55" s="1" t="s">
        <v>25</v>
      </c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35">
      <c r="A56" s="4" t="s">
        <v>23</v>
      </c>
      <c r="B56" s="5">
        <v>42094</v>
      </c>
      <c r="C56" s="5">
        <v>42460</v>
      </c>
      <c r="D56" s="5">
        <v>42825</v>
      </c>
      <c r="E56" s="5">
        <v>43190</v>
      </c>
      <c r="F56" s="5">
        <v>43555</v>
      </c>
      <c r="G56" s="5">
        <v>43921</v>
      </c>
      <c r="H56" s="5">
        <v>44286</v>
      </c>
      <c r="I56" s="5">
        <v>44651</v>
      </c>
      <c r="J56" s="5">
        <v>45016</v>
      </c>
      <c r="K56" s="5">
        <v>45382</v>
      </c>
    </row>
    <row r="57" spans="1:11" x14ac:dyDescent="0.35">
      <c r="A57" s="2" t="s">
        <v>10</v>
      </c>
      <c r="B57" s="3">
        <v>302.75</v>
      </c>
      <c r="C57" s="3">
        <v>300.89999999999998</v>
      </c>
      <c r="D57" s="3">
        <v>301</v>
      </c>
      <c r="E57" s="3">
        <v>302</v>
      </c>
      <c r="F57" s="3">
        <v>301</v>
      </c>
      <c r="G57" s="3">
        <v>301</v>
      </c>
      <c r="H57" s="3">
        <v>302</v>
      </c>
      <c r="I57" s="3">
        <v>301</v>
      </c>
      <c r="J57" s="3">
        <v>301</v>
      </c>
      <c r="K57" s="3">
        <v>305</v>
      </c>
    </row>
    <row r="58" spans="1:11" x14ac:dyDescent="0.35">
      <c r="A58" s="2" t="s">
        <v>11</v>
      </c>
      <c r="B58" s="3">
        <v>21986.89</v>
      </c>
      <c r="C58" s="3">
        <v>18664.55</v>
      </c>
      <c r="D58" s="3">
        <v>22346</v>
      </c>
      <c r="E58" s="3">
        <v>27696</v>
      </c>
      <c r="F58" s="3">
        <v>34494</v>
      </c>
      <c r="G58" s="3">
        <v>36298</v>
      </c>
      <c r="H58" s="3">
        <v>46462</v>
      </c>
      <c r="I58" s="3">
        <v>66996</v>
      </c>
      <c r="J58" s="3">
        <v>65394</v>
      </c>
      <c r="K58" s="3">
        <v>77364</v>
      </c>
    </row>
    <row r="59" spans="1:11" x14ac:dyDescent="0.35">
      <c r="A59" s="2" t="s">
        <v>35</v>
      </c>
      <c r="B59" s="3">
        <v>38754.26</v>
      </c>
      <c r="C59" s="3">
        <v>42204.03</v>
      </c>
      <c r="D59" s="3">
        <v>43334</v>
      </c>
      <c r="E59" s="3">
        <v>39393</v>
      </c>
      <c r="F59" s="3">
        <v>47396</v>
      </c>
      <c r="G59" s="3">
        <v>61423</v>
      </c>
      <c r="H59" s="3">
        <v>62392</v>
      </c>
      <c r="I59" s="3">
        <v>72237</v>
      </c>
      <c r="J59" s="3">
        <v>80853</v>
      </c>
      <c r="K59" s="3">
        <v>87984</v>
      </c>
    </row>
    <row r="60" spans="1:11" x14ac:dyDescent="0.35">
      <c r="A60" s="2" t="s">
        <v>36</v>
      </c>
      <c r="B60" s="3">
        <v>24609.98</v>
      </c>
      <c r="C60" s="3">
        <v>20737.419999999998</v>
      </c>
      <c r="D60" s="3">
        <v>22024</v>
      </c>
      <c r="E60" s="3">
        <v>24579</v>
      </c>
      <c r="F60" s="3">
        <v>32606</v>
      </c>
      <c r="G60" s="3">
        <v>33798</v>
      </c>
      <c r="H60" s="3">
        <v>39161</v>
      </c>
      <c r="I60" s="3">
        <v>56951</v>
      </c>
      <c r="J60" s="3">
        <v>63991</v>
      </c>
      <c r="K60" s="3">
        <v>62245</v>
      </c>
    </row>
    <row r="61" spans="1:11" x14ac:dyDescent="0.35">
      <c r="A61" s="1" t="s">
        <v>12</v>
      </c>
      <c r="B61" s="3">
        <v>85653.88</v>
      </c>
      <c r="C61" s="3">
        <v>81906.899999999994</v>
      </c>
      <c r="D61" s="3">
        <v>88005</v>
      </c>
      <c r="E61" s="3">
        <v>91970</v>
      </c>
      <c r="F61" s="3">
        <v>114797</v>
      </c>
      <c r="G61" s="3">
        <v>131820</v>
      </c>
      <c r="H61" s="3">
        <v>148317</v>
      </c>
      <c r="I61" s="3">
        <v>196485</v>
      </c>
      <c r="J61" s="3">
        <v>210539</v>
      </c>
      <c r="K61" s="3">
        <v>227898</v>
      </c>
    </row>
    <row r="62" spans="1:11" x14ac:dyDescent="0.35">
      <c r="A62" s="2" t="s">
        <v>13</v>
      </c>
      <c r="B62" s="3">
        <v>52176.28</v>
      </c>
      <c r="C62" s="3">
        <v>56139.519999999997</v>
      </c>
      <c r="D62" s="3">
        <v>58730</v>
      </c>
      <c r="E62" s="3">
        <v>57848</v>
      </c>
      <c r="F62" s="3">
        <v>62644</v>
      </c>
      <c r="G62" s="3">
        <v>62085</v>
      </c>
      <c r="H62" s="3">
        <v>64917</v>
      </c>
      <c r="I62" s="3">
        <v>99880</v>
      </c>
      <c r="J62" s="3">
        <v>104452</v>
      </c>
      <c r="K62" s="3">
        <v>112461</v>
      </c>
    </row>
    <row r="63" spans="1:11" x14ac:dyDescent="0.35">
      <c r="A63" s="2" t="s">
        <v>14</v>
      </c>
      <c r="B63" s="3">
        <v>8265.27</v>
      </c>
      <c r="C63" s="3">
        <v>7270.85</v>
      </c>
      <c r="D63" s="3">
        <v>4363</v>
      </c>
      <c r="E63" s="3">
        <v>5950</v>
      </c>
      <c r="F63" s="3">
        <v>11889</v>
      </c>
      <c r="G63" s="3">
        <v>27191</v>
      </c>
      <c r="H63" s="3">
        <v>32566</v>
      </c>
      <c r="I63" s="3">
        <v>16905</v>
      </c>
      <c r="J63" s="3">
        <v>22166</v>
      </c>
      <c r="K63" s="3">
        <v>29676</v>
      </c>
    </row>
    <row r="64" spans="1:11" x14ac:dyDescent="0.35">
      <c r="A64" s="2" t="s">
        <v>15</v>
      </c>
      <c r="B64" s="3">
        <v>599.25</v>
      </c>
      <c r="C64" s="3">
        <v>1194.6099999999999</v>
      </c>
      <c r="D64" s="3">
        <v>1366</v>
      </c>
      <c r="E64" s="3">
        <v>1469</v>
      </c>
      <c r="F64" s="3">
        <v>1894</v>
      </c>
      <c r="G64" s="3">
        <v>1259</v>
      </c>
      <c r="H64" s="3">
        <v>8581</v>
      </c>
      <c r="I64" s="3">
        <v>4940</v>
      </c>
      <c r="J64" s="3">
        <v>4806</v>
      </c>
      <c r="K64" s="3">
        <v>7246</v>
      </c>
    </row>
    <row r="65" spans="1:11" x14ac:dyDescent="0.35">
      <c r="A65" s="2" t="s">
        <v>37</v>
      </c>
      <c r="B65" s="3">
        <v>24613.08</v>
      </c>
      <c r="C65" s="3">
        <v>17301.919999999998</v>
      </c>
      <c r="D65" s="3">
        <v>23546</v>
      </c>
      <c r="E65" s="3">
        <v>26703</v>
      </c>
      <c r="F65" s="3">
        <v>38370</v>
      </c>
      <c r="G65" s="3">
        <v>41285</v>
      </c>
      <c r="H65" s="3">
        <v>42253</v>
      </c>
      <c r="I65" s="3">
        <v>74760</v>
      </c>
      <c r="J65" s="3">
        <v>79115</v>
      </c>
      <c r="K65" s="3">
        <v>78515</v>
      </c>
    </row>
    <row r="66" spans="1:11" x14ac:dyDescent="0.35">
      <c r="A66" s="1" t="s">
        <v>12</v>
      </c>
      <c r="B66" s="3">
        <v>85653.88</v>
      </c>
      <c r="C66" s="3">
        <v>81906.899999999994</v>
      </c>
      <c r="D66" s="3">
        <v>88005</v>
      </c>
      <c r="E66" s="3">
        <v>91970</v>
      </c>
      <c r="F66" s="3">
        <v>114797</v>
      </c>
      <c r="G66" s="3">
        <v>131820</v>
      </c>
      <c r="H66" s="3">
        <v>148317</v>
      </c>
      <c r="I66" s="3">
        <v>196485</v>
      </c>
      <c r="J66" s="3">
        <v>210539</v>
      </c>
      <c r="K66" s="3">
        <v>227898</v>
      </c>
    </row>
    <row r="67" spans="1:11" x14ac:dyDescent="0.35">
      <c r="A67" s="2" t="s">
        <v>42</v>
      </c>
      <c r="B67" s="3">
        <v>2499.75</v>
      </c>
      <c r="C67" s="3">
        <v>2727.37</v>
      </c>
      <c r="D67" s="3">
        <v>4149</v>
      </c>
      <c r="E67" s="3">
        <v>4704</v>
      </c>
      <c r="F67" s="3">
        <v>7160</v>
      </c>
      <c r="G67" s="3">
        <v>4505</v>
      </c>
      <c r="H67" s="3">
        <v>4486</v>
      </c>
      <c r="I67" s="3">
        <v>7457</v>
      </c>
      <c r="J67" s="3">
        <v>7134</v>
      </c>
      <c r="K67" s="3">
        <v>7548</v>
      </c>
    </row>
    <row r="68" spans="1:11" x14ac:dyDescent="0.35">
      <c r="A68" s="2" t="s">
        <v>29</v>
      </c>
      <c r="B68" s="3">
        <v>11009.04</v>
      </c>
      <c r="C68" s="3">
        <v>8321.18</v>
      </c>
      <c r="D68" s="3">
        <v>11395</v>
      </c>
      <c r="E68" s="3">
        <v>12594</v>
      </c>
      <c r="F68" s="3">
        <v>14548</v>
      </c>
      <c r="G68" s="3">
        <v>13773</v>
      </c>
      <c r="H68" s="3">
        <v>14249</v>
      </c>
      <c r="I68" s="3">
        <v>33787</v>
      </c>
      <c r="J68" s="3">
        <v>33135</v>
      </c>
      <c r="K68" s="3">
        <v>37815</v>
      </c>
    </row>
    <row r="69" spans="1:11" x14ac:dyDescent="0.35">
      <c r="A69" s="2" t="s">
        <v>51</v>
      </c>
      <c r="B69" s="3">
        <v>1913.25</v>
      </c>
      <c r="C69" s="3">
        <v>1020.4</v>
      </c>
      <c r="D69" s="3">
        <v>1485</v>
      </c>
      <c r="E69" s="3">
        <v>1063</v>
      </c>
      <c r="F69" s="3">
        <v>6187</v>
      </c>
      <c r="G69" s="3">
        <v>12003</v>
      </c>
      <c r="H69" s="3">
        <v>12813</v>
      </c>
      <c r="I69" s="3">
        <v>17383</v>
      </c>
      <c r="J69" s="3">
        <v>20714</v>
      </c>
      <c r="K69" s="3">
        <v>12348</v>
      </c>
    </row>
    <row r="70" spans="1:11" x14ac:dyDescent="0.35">
      <c r="A70" s="2" t="s">
        <v>38</v>
      </c>
      <c r="B70" s="3">
        <v>302752000</v>
      </c>
      <c r="C70" s="3">
        <v>300903227</v>
      </c>
      <c r="D70" s="3">
        <v>3012984690</v>
      </c>
      <c r="E70" s="3">
        <v>3016231580</v>
      </c>
      <c r="F70" s="3">
        <v>3011711464</v>
      </c>
      <c r="G70" s="3">
        <v>3011711464</v>
      </c>
      <c r="H70" s="3">
        <v>3015766346</v>
      </c>
      <c r="I70" s="3">
        <v>3016603583</v>
      </c>
      <c r="J70" s="3">
        <v>3020456419</v>
      </c>
      <c r="K70" s="3">
        <v>3052602319</v>
      </c>
    </row>
    <row r="71" spans="1:11" x14ac:dyDescent="0.35">
      <c r="A71" s="2" t="s">
        <v>39</v>
      </c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35">
      <c r="A72" s="2" t="s">
        <v>52</v>
      </c>
      <c r="B72" s="3">
        <v>10</v>
      </c>
      <c r="C72" s="3">
        <v>10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</row>
    <row r="73" spans="1:1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x14ac:dyDescent="0.35">
      <c r="A74" s="2" t="s">
        <v>37</v>
      </c>
      <c r="B74" s="2">
        <f>B65-SUM(B67:B69)</f>
        <v>9191.0400000000009</v>
      </c>
      <c r="C74" s="2">
        <f t="shared" ref="C74:K74" si="0">C65-SUM(C67:C69)</f>
        <v>5232.9699999999993</v>
      </c>
      <c r="D74" s="2">
        <f t="shared" si="0"/>
        <v>6517</v>
      </c>
      <c r="E74" s="2">
        <f t="shared" si="0"/>
        <v>8342</v>
      </c>
      <c r="F74" s="2">
        <f t="shared" si="0"/>
        <v>10475</v>
      </c>
      <c r="G74" s="2">
        <f t="shared" si="0"/>
        <v>11004</v>
      </c>
      <c r="H74" s="2">
        <f t="shared" si="0"/>
        <v>10705</v>
      </c>
      <c r="I74" s="2">
        <f t="shared" si="0"/>
        <v>16133</v>
      </c>
      <c r="J74" s="2">
        <f t="shared" si="0"/>
        <v>18132</v>
      </c>
      <c r="K74" s="2">
        <f t="shared" si="0"/>
        <v>20804</v>
      </c>
    </row>
    <row r="75" spans="1:1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x14ac:dyDescent="0.35">
      <c r="A80" s="1" t="s">
        <v>26</v>
      </c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35">
      <c r="A81" s="4" t="s">
        <v>23</v>
      </c>
      <c r="B81" s="5">
        <v>42094</v>
      </c>
      <c r="C81" s="5">
        <v>42460</v>
      </c>
      <c r="D81" s="5">
        <v>42825</v>
      </c>
      <c r="E81" s="5">
        <v>43190</v>
      </c>
      <c r="F81" s="5">
        <v>43555</v>
      </c>
      <c r="G81" s="5">
        <v>43921</v>
      </c>
      <c r="H81" s="5">
        <v>44286</v>
      </c>
      <c r="I81" s="5">
        <v>44651</v>
      </c>
      <c r="J81" s="5">
        <v>45016</v>
      </c>
      <c r="K81" s="5">
        <v>45382</v>
      </c>
    </row>
    <row r="82" spans="1:11" x14ac:dyDescent="0.35">
      <c r="A82" s="2" t="s">
        <v>17</v>
      </c>
      <c r="B82" s="3">
        <v>7875.65</v>
      </c>
      <c r="C82" s="3">
        <v>6897.32</v>
      </c>
      <c r="D82" s="3">
        <v>7888</v>
      </c>
      <c r="E82" s="3">
        <v>12379</v>
      </c>
      <c r="F82" s="3">
        <v>14633</v>
      </c>
      <c r="G82" s="3">
        <v>12785</v>
      </c>
      <c r="H82" s="3">
        <v>18789</v>
      </c>
      <c r="I82" s="3">
        <v>26270</v>
      </c>
      <c r="J82" s="3">
        <v>23323</v>
      </c>
      <c r="K82" s="3">
        <v>12078</v>
      </c>
    </row>
    <row r="83" spans="1:11" x14ac:dyDescent="0.35">
      <c r="A83" s="2" t="s">
        <v>18</v>
      </c>
      <c r="B83" s="3">
        <v>-7372.25</v>
      </c>
      <c r="C83" s="3">
        <v>-3857.37</v>
      </c>
      <c r="D83" s="3">
        <v>-5094</v>
      </c>
      <c r="E83" s="3">
        <v>-4529</v>
      </c>
      <c r="F83" s="3">
        <v>-11387</v>
      </c>
      <c r="G83" s="3">
        <v>-19589</v>
      </c>
      <c r="H83" s="3">
        <v>-7702</v>
      </c>
      <c r="I83" s="3">
        <v>-14748</v>
      </c>
      <c r="J83" s="3">
        <v>-10730</v>
      </c>
      <c r="K83" s="3">
        <v>-14467</v>
      </c>
    </row>
    <row r="84" spans="1:11" x14ac:dyDescent="0.35">
      <c r="A84" s="2" t="s">
        <v>19</v>
      </c>
      <c r="B84" s="3">
        <v>-169.08</v>
      </c>
      <c r="C84" s="3">
        <v>-3150.66</v>
      </c>
      <c r="D84" s="3">
        <v>-2710</v>
      </c>
      <c r="E84" s="3">
        <v>-8185</v>
      </c>
      <c r="F84" s="3">
        <v>1753</v>
      </c>
      <c r="G84" s="3">
        <v>5189</v>
      </c>
      <c r="H84" s="3">
        <v>-3110</v>
      </c>
      <c r="I84" s="3">
        <v>-14657</v>
      </c>
      <c r="J84" s="3">
        <v>-5977</v>
      </c>
      <c r="K84" s="3">
        <v>-5005</v>
      </c>
    </row>
    <row r="85" spans="1:11" x14ac:dyDescent="0.35">
      <c r="A85" s="2" t="s">
        <v>20</v>
      </c>
      <c r="B85" s="3">
        <v>334.32</v>
      </c>
      <c r="C85" s="3">
        <v>-110.71</v>
      </c>
      <c r="D85" s="3">
        <v>84</v>
      </c>
      <c r="E85" s="3">
        <v>-335</v>
      </c>
      <c r="F85" s="3">
        <v>4999</v>
      </c>
      <c r="G85" s="3">
        <v>-1615</v>
      </c>
      <c r="H85" s="3">
        <v>7977</v>
      </c>
      <c r="I85" s="3">
        <v>-3135</v>
      </c>
      <c r="J85" s="3">
        <v>6616</v>
      </c>
      <c r="K85" s="3">
        <v>-7394</v>
      </c>
    </row>
    <row r="86" spans="1:1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x14ac:dyDescent="0.35">
      <c r="A90" s="1" t="s">
        <v>41</v>
      </c>
      <c r="B90" s="3">
        <v>90.66</v>
      </c>
      <c r="C90" s="3">
        <v>128.33000000000001</v>
      </c>
      <c r="D90" s="3">
        <v>188.2</v>
      </c>
      <c r="E90" s="3">
        <v>288.14999999999998</v>
      </c>
      <c r="F90" s="3">
        <v>293.05</v>
      </c>
      <c r="G90" s="3">
        <v>146.25</v>
      </c>
      <c r="H90" s="3">
        <v>468.45</v>
      </c>
      <c r="I90" s="3">
        <v>732.65</v>
      </c>
      <c r="J90" s="3">
        <v>688.1</v>
      </c>
      <c r="K90" s="3">
        <v>830.2</v>
      </c>
    </row>
    <row r="91" spans="1:1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x14ac:dyDescent="0.35">
      <c r="A92" s="1" t="s">
        <v>40</v>
      </c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35">
      <c r="A93" s="2" t="s">
        <v>53</v>
      </c>
      <c r="B93" s="6">
        <v>241.72</v>
      </c>
      <c r="C93" s="6">
        <v>241.72</v>
      </c>
      <c r="D93" s="6">
        <v>241.72</v>
      </c>
      <c r="E93" s="6">
        <v>241.72</v>
      </c>
      <c r="F93" s="6">
        <v>241.72</v>
      </c>
      <c r="G93" s="6">
        <v>241.72</v>
      </c>
      <c r="H93" s="6">
        <v>241.72</v>
      </c>
      <c r="I93" s="6">
        <v>241.72</v>
      </c>
      <c r="J93" s="6">
        <v>241.72</v>
      </c>
      <c r="K93" s="6">
        <v>244.55</v>
      </c>
    </row>
  </sheetData>
  <mergeCells count="2">
    <mergeCell ref="E1:K1"/>
    <mergeCell ref="E2:K2"/>
  </mergeCells>
  <phoneticPr fontId="0" type="noConversion"/>
  <hyperlinks>
    <hyperlink ref="E1:K1" r:id="rId1" display="https://www.screener.in/excel/" xr:uid="{7AC0AEBF-EF78-44E3-BB5C-41334957BC3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B4D3C-775A-4CBC-95AF-A49F7624481E}">
  <dimension ref="B2:J37"/>
  <sheetViews>
    <sheetView showGridLines="0" workbookViewId="0">
      <pane ySplit="2" topLeftCell="A8" activePane="bottomLeft" state="frozen"/>
      <selection pane="bottomLeft" activeCell="I25" sqref="I25"/>
    </sheetView>
  </sheetViews>
  <sheetFormatPr defaultRowHeight="14.5" x14ac:dyDescent="0.35"/>
  <cols>
    <col min="2" max="2" width="23" bestFit="1" customWidth="1"/>
    <col min="3" max="6" width="9.453125" bestFit="1" customWidth="1"/>
    <col min="8" max="8" width="9.26953125" bestFit="1" customWidth="1"/>
  </cols>
  <sheetData>
    <row r="2" spans="2:10" x14ac:dyDescent="0.35">
      <c r="B2" s="39" t="s">
        <v>151</v>
      </c>
      <c r="C2" s="40">
        <v>44256</v>
      </c>
      <c r="D2" s="40">
        <v>44621</v>
      </c>
      <c r="E2" s="40">
        <v>44986</v>
      </c>
      <c r="F2" s="40">
        <v>45352</v>
      </c>
    </row>
    <row r="3" spans="2:10" x14ac:dyDescent="0.35">
      <c r="B3" t="s">
        <v>152</v>
      </c>
      <c r="C3" s="35">
        <v>302</v>
      </c>
      <c r="D3" s="35">
        <v>301</v>
      </c>
      <c r="E3" s="35">
        <v>301</v>
      </c>
      <c r="F3" s="35">
        <v>305</v>
      </c>
    </row>
    <row r="4" spans="2:10" x14ac:dyDescent="0.35">
      <c r="B4" t="s">
        <v>11</v>
      </c>
      <c r="C4" s="35">
        <v>46462</v>
      </c>
      <c r="D4" s="35">
        <v>66996</v>
      </c>
      <c r="E4" s="35">
        <v>65394</v>
      </c>
      <c r="F4" s="35">
        <v>77364</v>
      </c>
    </row>
    <row r="5" spans="2:10" x14ac:dyDescent="0.35">
      <c r="B5" s="17" t="s">
        <v>178</v>
      </c>
      <c r="C5" s="117">
        <v>62392</v>
      </c>
      <c r="D5" s="117">
        <v>72237</v>
      </c>
      <c r="E5" s="117">
        <v>80853</v>
      </c>
      <c r="F5" s="117">
        <v>87984</v>
      </c>
    </row>
    <row r="6" spans="2:10" x14ac:dyDescent="0.35">
      <c r="B6" t="s">
        <v>153</v>
      </c>
      <c r="C6" s="35">
        <v>49731</v>
      </c>
      <c r="D6" s="35">
        <v>57929</v>
      </c>
      <c r="E6" s="35">
        <v>61966</v>
      </c>
      <c r="F6" s="35">
        <v>67354</v>
      </c>
    </row>
    <row r="7" spans="2:10" x14ac:dyDescent="0.35">
      <c r="B7" t="s">
        <v>154</v>
      </c>
      <c r="C7" s="35">
        <v>1999</v>
      </c>
      <c r="D7" s="35">
        <v>12046</v>
      </c>
      <c r="E7" s="35">
        <v>16876</v>
      </c>
      <c r="F7" s="35">
        <v>18221</v>
      </c>
    </row>
    <row r="8" spans="2:10" x14ac:dyDescent="0.35">
      <c r="B8" t="s">
        <v>155</v>
      </c>
      <c r="C8" s="35">
        <v>2344</v>
      </c>
      <c r="D8" s="35">
        <v>2262</v>
      </c>
      <c r="E8" s="35">
        <v>2011</v>
      </c>
      <c r="F8" s="35">
        <v>2409</v>
      </c>
    </row>
    <row r="9" spans="2:10" x14ac:dyDescent="0.35">
      <c r="B9" t="s">
        <v>299</v>
      </c>
      <c r="C9" s="35">
        <v>26</v>
      </c>
      <c r="D9" s="35">
        <v>29</v>
      </c>
      <c r="E9" s="35">
        <v>33</v>
      </c>
      <c r="F9" s="35">
        <v>36</v>
      </c>
    </row>
    <row r="10" spans="2:10" x14ac:dyDescent="0.35">
      <c r="B10" t="s">
        <v>156</v>
      </c>
      <c r="C10" s="35">
        <v>8318</v>
      </c>
      <c r="D10" s="35">
        <v>0</v>
      </c>
      <c r="E10" s="35">
        <v>0</v>
      </c>
      <c r="F10" s="35">
        <v>0</v>
      </c>
      <c r="H10" s="31"/>
    </row>
    <row r="11" spans="2:10" x14ac:dyDescent="0.35">
      <c r="B11" s="17" t="s">
        <v>179</v>
      </c>
      <c r="C11" s="117">
        <v>39161</v>
      </c>
      <c r="D11" s="117">
        <v>56951</v>
      </c>
      <c r="E11" s="117">
        <v>63991</v>
      </c>
      <c r="F11" s="117">
        <v>62245</v>
      </c>
    </row>
    <row r="12" spans="2:10" x14ac:dyDescent="0.35">
      <c r="B12" t="s">
        <v>157</v>
      </c>
      <c r="C12" s="35">
        <v>-619</v>
      </c>
      <c r="D12" s="35">
        <v>1238</v>
      </c>
      <c r="E12" s="35">
        <v>1344</v>
      </c>
      <c r="F12" s="35">
        <v>2107</v>
      </c>
      <c r="H12" s="31"/>
    </row>
    <row r="13" spans="2:10" x14ac:dyDescent="0.35">
      <c r="B13" t="s">
        <v>158</v>
      </c>
      <c r="C13" s="35">
        <v>15243</v>
      </c>
      <c r="D13" s="35">
        <v>30889</v>
      </c>
      <c r="E13" s="35">
        <v>38203</v>
      </c>
      <c r="F13" s="35">
        <v>33365</v>
      </c>
      <c r="G13">
        <f>('Historical FS'!F83*('Historical FS'!F11/365)*2)-'Raw Balance Sheet'!F13</f>
        <v>29730.005604707439</v>
      </c>
      <c r="H13">
        <f>('Historical FS'!G83*('Historical FS'!G11/365)*2)-'Raw Balance Sheet'!G13</f>
        <v>39261.231511934522</v>
      </c>
      <c r="I13">
        <f>('Historical FS'!H83*('Historical FS'!H11/365)*2)-'Raw Balance Sheet'!H13</f>
        <v>36177.24025403984</v>
      </c>
      <c r="J13">
        <f>('Historical FS'!I83*('Historical FS'!I11/365)*2)-'Raw Balance Sheet'!I13</f>
        <v>46310.960570133298</v>
      </c>
    </row>
    <row r="14" spans="2:10" x14ac:dyDescent="0.35">
      <c r="B14" t="s">
        <v>159</v>
      </c>
      <c r="C14" s="35">
        <v>1984</v>
      </c>
      <c r="D14" s="35">
        <v>2133</v>
      </c>
      <c r="E14" s="35">
        <v>2338</v>
      </c>
      <c r="F14" s="35">
        <v>1005</v>
      </c>
    </row>
    <row r="15" spans="2:10" x14ac:dyDescent="0.35">
      <c r="B15" t="s">
        <v>160</v>
      </c>
      <c r="C15" s="35">
        <v>22553</v>
      </c>
      <c r="D15" s="35">
        <v>22691</v>
      </c>
      <c r="E15" s="35">
        <v>22106</v>
      </c>
      <c r="F15" s="35">
        <v>25768</v>
      </c>
    </row>
    <row r="16" spans="2:10" x14ac:dyDescent="0.35">
      <c r="B16" s="24" t="s">
        <v>161</v>
      </c>
      <c r="C16" s="36">
        <v>148317</v>
      </c>
      <c r="D16" s="36">
        <v>196485</v>
      </c>
      <c r="E16" s="36">
        <v>210539</v>
      </c>
      <c r="F16" s="36">
        <v>227898</v>
      </c>
    </row>
    <row r="17" spans="2:6" x14ac:dyDescent="0.35">
      <c r="B17" s="17"/>
      <c r="C17" s="37"/>
      <c r="D17" s="37"/>
      <c r="E17" s="37"/>
      <c r="F17" s="37"/>
    </row>
    <row r="18" spans="2:6" x14ac:dyDescent="0.35">
      <c r="B18" s="17" t="s">
        <v>180</v>
      </c>
      <c r="C18" s="38">
        <v>64917</v>
      </c>
      <c r="D18" s="38">
        <v>99880</v>
      </c>
      <c r="E18" s="38">
        <v>104452</v>
      </c>
      <c r="F18" s="38">
        <v>112461</v>
      </c>
    </row>
    <row r="19" spans="2:6" x14ac:dyDescent="0.35">
      <c r="B19" t="s">
        <v>162</v>
      </c>
      <c r="C19" s="35">
        <v>2946</v>
      </c>
      <c r="D19" s="35">
        <v>5367</v>
      </c>
      <c r="E19" s="35">
        <v>5501</v>
      </c>
      <c r="F19" s="35">
        <v>6118</v>
      </c>
    </row>
    <row r="20" spans="2:6" x14ac:dyDescent="0.35">
      <c r="B20" t="s">
        <v>163</v>
      </c>
      <c r="C20" s="35">
        <v>10575</v>
      </c>
      <c r="D20" s="35">
        <v>15584</v>
      </c>
      <c r="E20" s="35">
        <v>16612</v>
      </c>
      <c r="F20" s="35">
        <v>18926</v>
      </c>
    </row>
    <row r="21" spans="2:6" x14ac:dyDescent="0.35">
      <c r="B21" t="s">
        <v>164</v>
      </c>
      <c r="C21" s="35">
        <v>69561</v>
      </c>
      <c r="D21" s="35">
        <v>102739</v>
      </c>
      <c r="E21" s="35">
        <v>113225</v>
      </c>
      <c r="F21" s="35">
        <v>124339</v>
      </c>
    </row>
    <row r="22" spans="2:6" x14ac:dyDescent="0.35">
      <c r="B22" t="s">
        <v>165</v>
      </c>
      <c r="C22" s="35">
        <v>129</v>
      </c>
      <c r="D22" s="35">
        <v>154</v>
      </c>
      <c r="E22" s="35">
        <v>203</v>
      </c>
      <c r="F22" s="35">
        <v>294</v>
      </c>
    </row>
    <row r="23" spans="2:6" x14ac:dyDescent="0.35">
      <c r="B23" t="s">
        <v>166</v>
      </c>
      <c r="C23" s="35">
        <v>155</v>
      </c>
      <c r="D23" s="35">
        <v>174</v>
      </c>
      <c r="E23" s="35">
        <v>201</v>
      </c>
      <c r="F23" s="35">
        <v>266</v>
      </c>
    </row>
    <row r="24" spans="2:6" x14ac:dyDescent="0.35">
      <c r="B24" t="s">
        <v>167</v>
      </c>
      <c r="C24" s="35">
        <v>170</v>
      </c>
      <c r="D24" s="35">
        <v>207</v>
      </c>
      <c r="E24" s="35">
        <v>214</v>
      </c>
      <c r="F24" s="35">
        <v>237</v>
      </c>
    </row>
    <row r="25" spans="2:6" x14ac:dyDescent="0.35">
      <c r="B25" t="s">
        <v>168</v>
      </c>
      <c r="C25" s="35">
        <v>2001</v>
      </c>
      <c r="D25" s="35">
        <v>2062</v>
      </c>
      <c r="E25" s="35">
        <v>644</v>
      </c>
      <c r="F25" s="35">
        <v>1161</v>
      </c>
    </row>
    <row r="26" spans="2:6" x14ac:dyDescent="0.35">
      <c r="B26" t="s">
        <v>169</v>
      </c>
      <c r="C26" s="35">
        <v>3325</v>
      </c>
      <c r="D26" s="35">
        <v>3689</v>
      </c>
      <c r="E26" s="35">
        <v>2636</v>
      </c>
      <c r="F26" s="35">
        <v>3354</v>
      </c>
    </row>
    <row r="27" spans="2:6" x14ac:dyDescent="0.35">
      <c r="B27" s="17" t="s">
        <v>170</v>
      </c>
      <c r="C27" s="117">
        <v>88862</v>
      </c>
      <c r="D27" s="117">
        <v>129976</v>
      </c>
      <c r="E27" s="117">
        <v>139236</v>
      </c>
      <c r="F27" s="117">
        <v>154695</v>
      </c>
    </row>
    <row r="28" spans="2:6" x14ac:dyDescent="0.35">
      <c r="B28" s="17" t="s">
        <v>171</v>
      </c>
      <c r="C28" s="35">
        <v>23945</v>
      </c>
      <c r="D28" s="35">
        <v>30096</v>
      </c>
      <c r="E28" s="35">
        <v>34784</v>
      </c>
      <c r="F28" s="35">
        <v>42234</v>
      </c>
    </row>
    <row r="29" spans="2:6" x14ac:dyDescent="0.35">
      <c r="B29" s="17" t="s">
        <v>172</v>
      </c>
      <c r="C29" s="35">
        <v>32566</v>
      </c>
      <c r="D29" s="35">
        <v>16905</v>
      </c>
      <c r="E29" s="35">
        <v>22166</v>
      </c>
      <c r="F29" s="35">
        <v>29676</v>
      </c>
    </row>
    <row r="30" spans="2:6" x14ac:dyDescent="0.35">
      <c r="B30" s="17" t="s">
        <v>15</v>
      </c>
      <c r="C30" s="35">
        <v>8581</v>
      </c>
      <c r="D30" s="35">
        <v>4940</v>
      </c>
      <c r="E30" s="35">
        <v>4806</v>
      </c>
      <c r="F30" s="35">
        <v>7246</v>
      </c>
    </row>
    <row r="31" spans="2:6" x14ac:dyDescent="0.35">
      <c r="B31" t="s">
        <v>181</v>
      </c>
      <c r="C31" s="35">
        <v>42253</v>
      </c>
      <c r="D31" s="35">
        <v>74760</v>
      </c>
      <c r="E31" s="35">
        <v>79115</v>
      </c>
      <c r="F31" s="35">
        <v>78515</v>
      </c>
    </row>
    <row r="32" spans="2:6" x14ac:dyDescent="0.35">
      <c r="B32" t="s">
        <v>173</v>
      </c>
      <c r="C32" s="35">
        <v>14249</v>
      </c>
      <c r="D32" s="35">
        <v>33787</v>
      </c>
      <c r="E32" s="35">
        <v>33135</v>
      </c>
      <c r="F32" s="35">
        <v>37815</v>
      </c>
    </row>
    <row r="33" spans="2:6" x14ac:dyDescent="0.35">
      <c r="B33" t="s">
        <v>182</v>
      </c>
      <c r="C33" s="35">
        <v>4486</v>
      </c>
      <c r="D33" s="35">
        <v>7457</v>
      </c>
      <c r="E33" s="35">
        <v>7134</v>
      </c>
      <c r="F33" s="35">
        <v>7548</v>
      </c>
    </row>
    <row r="34" spans="2:6" x14ac:dyDescent="0.35">
      <c r="B34" t="s">
        <v>174</v>
      </c>
      <c r="C34" s="35">
        <v>12813</v>
      </c>
      <c r="D34" s="35">
        <v>17383</v>
      </c>
      <c r="E34" s="35">
        <v>20714</v>
      </c>
      <c r="F34" s="35">
        <v>12348</v>
      </c>
    </row>
    <row r="35" spans="2:6" x14ac:dyDescent="0.35">
      <c r="B35" t="s">
        <v>175</v>
      </c>
      <c r="C35" s="35">
        <v>481</v>
      </c>
      <c r="D35" s="35">
        <v>759</v>
      </c>
      <c r="E35" s="35">
        <v>717</v>
      </c>
      <c r="F35" s="35">
        <v>4</v>
      </c>
    </row>
    <row r="36" spans="2:6" x14ac:dyDescent="0.35">
      <c r="B36" t="s">
        <v>176</v>
      </c>
      <c r="C36" s="35">
        <v>10224</v>
      </c>
      <c r="D36" s="35">
        <v>15374</v>
      </c>
      <c r="E36" s="35">
        <v>17415</v>
      </c>
      <c r="F36" s="35">
        <v>20800</v>
      </c>
    </row>
    <row r="37" spans="2:6" x14ac:dyDescent="0.35">
      <c r="B37" s="24" t="s">
        <v>177</v>
      </c>
      <c r="C37" s="36">
        <v>148317</v>
      </c>
      <c r="D37" s="36">
        <v>196485</v>
      </c>
      <c r="E37" s="36">
        <v>210539</v>
      </c>
      <c r="F37" s="36">
        <v>227898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3DB26-5C6B-4172-A019-4556B68EC440}">
  <dimension ref="B2:H33"/>
  <sheetViews>
    <sheetView workbookViewId="0">
      <selection activeCell="K15" sqref="K15"/>
    </sheetView>
  </sheetViews>
  <sheetFormatPr defaultRowHeight="14.5" x14ac:dyDescent="0.35"/>
  <cols>
    <col min="2" max="2" width="26" bestFit="1" customWidth="1"/>
  </cols>
  <sheetData>
    <row r="2" spans="2:8" x14ac:dyDescent="0.35">
      <c r="C2" s="18">
        <v>44256</v>
      </c>
      <c r="D2" s="18">
        <v>44621</v>
      </c>
      <c r="E2" s="18">
        <v>44986</v>
      </c>
      <c r="F2" s="18">
        <v>45352</v>
      </c>
      <c r="G2" s="18"/>
      <c r="H2" s="18"/>
    </row>
    <row r="3" spans="2:8" s="17" customFormat="1" x14ac:dyDescent="0.35">
      <c r="B3" s="17" t="s">
        <v>83</v>
      </c>
      <c r="C3" s="21">
        <v>18789</v>
      </c>
      <c r="D3" s="21">
        <v>26270</v>
      </c>
      <c r="E3" s="21">
        <v>23323</v>
      </c>
      <c r="F3" s="21">
        <v>12078</v>
      </c>
      <c r="G3" s="21"/>
      <c r="H3" s="21"/>
    </row>
    <row r="4" spans="2:8" x14ac:dyDescent="0.35">
      <c r="B4" t="s">
        <v>84</v>
      </c>
      <c r="C4" s="19">
        <v>19455</v>
      </c>
      <c r="D4" s="19">
        <v>38913</v>
      </c>
      <c r="E4" s="19">
        <v>20856</v>
      </c>
      <c r="F4" s="19">
        <v>28472</v>
      </c>
      <c r="G4" s="19"/>
      <c r="H4" s="19"/>
    </row>
    <row r="5" spans="2:8" x14ac:dyDescent="0.35">
      <c r="B5" t="s">
        <v>42</v>
      </c>
      <c r="C5" s="19">
        <v>72</v>
      </c>
      <c r="D5" s="19">
        <v>-1884</v>
      </c>
      <c r="E5" s="19">
        <v>317</v>
      </c>
      <c r="F5" s="19">
        <v>-154</v>
      </c>
      <c r="G5" s="19"/>
      <c r="H5" s="19"/>
    </row>
    <row r="6" spans="2:8" x14ac:dyDescent="0.35">
      <c r="B6" t="s">
        <v>29</v>
      </c>
      <c r="C6" s="19">
        <v>-335</v>
      </c>
      <c r="D6" s="19">
        <v>-15593</v>
      </c>
      <c r="E6" s="19">
        <v>704</v>
      </c>
      <c r="F6" s="19">
        <v>-3284</v>
      </c>
      <c r="G6" s="19"/>
      <c r="H6" s="19"/>
    </row>
    <row r="7" spans="2:8" x14ac:dyDescent="0.35">
      <c r="B7" t="s">
        <v>85</v>
      </c>
      <c r="C7" s="19">
        <v>1306</v>
      </c>
      <c r="D7" s="19">
        <v>13013</v>
      </c>
      <c r="E7" s="19">
        <v>4965</v>
      </c>
      <c r="F7" s="19">
        <v>-7235</v>
      </c>
      <c r="G7" s="19"/>
      <c r="H7" s="19"/>
    </row>
    <row r="8" spans="2:8" x14ac:dyDescent="0.35">
      <c r="B8" t="s">
        <v>86</v>
      </c>
      <c r="C8">
        <v>0</v>
      </c>
      <c r="D8">
        <v>0</v>
      </c>
      <c r="E8">
        <v>0</v>
      </c>
      <c r="F8">
        <v>0</v>
      </c>
    </row>
    <row r="9" spans="2:8" x14ac:dyDescent="0.35">
      <c r="B9" t="s">
        <v>87</v>
      </c>
      <c r="C9" s="19">
        <v>221</v>
      </c>
      <c r="D9" s="19">
        <v>-2800</v>
      </c>
      <c r="E9" s="19">
        <v>-2881</v>
      </c>
      <c r="F9" s="19">
        <v>-2942</v>
      </c>
      <c r="G9" s="19"/>
      <c r="H9" s="19"/>
    </row>
    <row r="10" spans="2:8" x14ac:dyDescent="0.35">
      <c r="B10" t="s">
        <v>88</v>
      </c>
      <c r="C10" s="19">
        <v>1264</v>
      </c>
      <c r="D10" s="19">
        <v>-7264</v>
      </c>
      <c r="E10" s="19">
        <v>3105</v>
      </c>
      <c r="F10" s="19">
        <v>-13615</v>
      </c>
      <c r="G10" s="19"/>
      <c r="H10" s="19"/>
    </row>
    <row r="11" spans="2:8" x14ac:dyDescent="0.35">
      <c r="B11" t="s">
        <v>89</v>
      </c>
      <c r="C11" s="19">
        <v>-1930</v>
      </c>
      <c r="D11" s="19">
        <v>-5379</v>
      </c>
      <c r="E11" s="19">
        <v>-638</v>
      </c>
      <c r="F11" s="19">
        <v>-2779</v>
      </c>
      <c r="G11" s="19"/>
      <c r="H11" s="19"/>
    </row>
    <row r="12" spans="2:8" s="17" customFormat="1" x14ac:dyDescent="0.35">
      <c r="B12" s="17" t="s">
        <v>90</v>
      </c>
      <c r="C12" s="21">
        <v>-7702</v>
      </c>
      <c r="D12" s="21">
        <v>-14748</v>
      </c>
      <c r="E12" s="21">
        <v>-10730</v>
      </c>
      <c r="F12" s="21">
        <v>-14467</v>
      </c>
      <c r="G12" s="21"/>
      <c r="H12" s="21"/>
    </row>
    <row r="13" spans="2:8" x14ac:dyDescent="0.35">
      <c r="B13" t="s">
        <v>91</v>
      </c>
      <c r="C13" s="19">
        <v>-9258</v>
      </c>
      <c r="D13" s="19">
        <v>-10091</v>
      </c>
      <c r="E13" s="19">
        <v>-14784</v>
      </c>
      <c r="F13" s="19">
        <v>-15801</v>
      </c>
      <c r="G13" s="42"/>
      <c r="H13" s="42"/>
    </row>
    <row r="14" spans="2:8" x14ac:dyDescent="0.35">
      <c r="B14" t="s">
        <v>92</v>
      </c>
      <c r="C14">
        <v>51</v>
      </c>
      <c r="D14">
        <v>43</v>
      </c>
      <c r="E14">
        <v>35</v>
      </c>
      <c r="F14">
        <v>254</v>
      </c>
      <c r="G14" s="43"/>
      <c r="H14" s="43"/>
    </row>
    <row r="15" spans="2:8" x14ac:dyDescent="0.35">
      <c r="B15" t="s">
        <v>93</v>
      </c>
      <c r="C15" s="19">
        <v>-606</v>
      </c>
      <c r="D15" s="19">
        <v>-4440</v>
      </c>
      <c r="E15">
        <v>0</v>
      </c>
      <c r="F15" s="19">
        <v>-3584</v>
      </c>
    </row>
    <row r="16" spans="2:8" x14ac:dyDescent="0.35">
      <c r="B16" t="s">
        <v>94</v>
      </c>
      <c r="C16">
        <v>612</v>
      </c>
      <c r="D16" s="19">
        <v>4153</v>
      </c>
      <c r="E16" s="19">
        <v>5</v>
      </c>
      <c r="F16" s="19">
        <v>3635</v>
      </c>
      <c r="G16" s="19"/>
      <c r="H16" s="19"/>
    </row>
    <row r="17" spans="2:8" x14ac:dyDescent="0.35">
      <c r="B17" t="s">
        <v>95</v>
      </c>
      <c r="C17">
        <v>619</v>
      </c>
      <c r="D17">
        <v>591</v>
      </c>
      <c r="E17">
        <v>600</v>
      </c>
      <c r="F17" s="19">
        <v>899</v>
      </c>
      <c r="H17" s="19"/>
    </row>
    <row r="18" spans="2:8" x14ac:dyDescent="0.35">
      <c r="B18" t="s">
        <v>96</v>
      </c>
      <c r="C18">
        <v>11</v>
      </c>
      <c r="D18">
        <v>25</v>
      </c>
      <c r="E18">
        <v>21</v>
      </c>
      <c r="F18">
        <v>21</v>
      </c>
    </row>
    <row r="19" spans="2:8" x14ac:dyDescent="0.35">
      <c r="B19" t="s">
        <v>97</v>
      </c>
      <c r="C19" s="19">
        <v>-5087</v>
      </c>
      <c r="D19">
        <v>-364</v>
      </c>
      <c r="E19">
        <v>-244</v>
      </c>
      <c r="F19">
        <v>-396</v>
      </c>
    </row>
    <row r="20" spans="2:8" x14ac:dyDescent="0.35">
      <c r="B20" t="s">
        <v>98</v>
      </c>
      <c r="C20">
        <v>0</v>
      </c>
      <c r="D20">
        <v>0</v>
      </c>
      <c r="E20">
        <v>0</v>
      </c>
      <c r="F20">
        <v>0</v>
      </c>
    </row>
    <row r="21" spans="2:8" x14ac:dyDescent="0.35">
      <c r="B21" t="s">
        <v>99</v>
      </c>
      <c r="C21" s="19">
        <v>-1575</v>
      </c>
      <c r="D21">
        <v>-20</v>
      </c>
      <c r="E21">
        <v>0</v>
      </c>
      <c r="F21">
        <v>-630</v>
      </c>
    </row>
    <row r="22" spans="2:8" x14ac:dyDescent="0.35">
      <c r="B22" t="s">
        <v>100</v>
      </c>
      <c r="C22">
        <v>-293</v>
      </c>
      <c r="D22">
        <v>-149</v>
      </c>
      <c r="E22">
        <v>0</v>
      </c>
      <c r="F22">
        <v>0</v>
      </c>
    </row>
    <row r="23" spans="2:8" x14ac:dyDescent="0.35">
      <c r="B23" t="s">
        <v>101</v>
      </c>
      <c r="C23" s="19">
        <v>7824</v>
      </c>
      <c r="D23" s="19">
        <v>-4496</v>
      </c>
      <c r="E23" s="19">
        <v>3637</v>
      </c>
      <c r="F23" s="19">
        <v>1135</v>
      </c>
      <c r="G23" s="19"/>
      <c r="H23" s="19"/>
    </row>
    <row r="24" spans="2:8" s="17" customFormat="1" x14ac:dyDescent="0.35">
      <c r="B24" s="17" t="s">
        <v>102</v>
      </c>
      <c r="C24" s="21">
        <v>-3110</v>
      </c>
      <c r="D24" s="21">
        <v>-14657</v>
      </c>
      <c r="E24" s="21">
        <v>-5977</v>
      </c>
      <c r="F24" s="21">
        <v>-5005</v>
      </c>
      <c r="G24" s="21"/>
      <c r="H24" s="21"/>
    </row>
    <row r="25" spans="2:8" x14ac:dyDescent="0.35">
      <c r="B25" t="s">
        <v>103</v>
      </c>
      <c r="C25" s="19">
        <v>39</v>
      </c>
      <c r="D25">
        <v>72</v>
      </c>
      <c r="E25">
        <v>59</v>
      </c>
      <c r="F25">
        <v>6</v>
      </c>
    </row>
    <row r="26" spans="2:8" x14ac:dyDescent="0.35">
      <c r="B26" t="s">
        <v>104</v>
      </c>
      <c r="C26">
        <v>0</v>
      </c>
      <c r="D26">
        <v>0</v>
      </c>
      <c r="E26">
        <v>0</v>
      </c>
      <c r="F26">
        <v>0</v>
      </c>
    </row>
    <row r="27" spans="2:8" x14ac:dyDescent="0.35">
      <c r="B27" t="s">
        <v>105</v>
      </c>
      <c r="C27" s="19">
        <v>15897</v>
      </c>
      <c r="D27" s="19">
        <v>17043</v>
      </c>
      <c r="E27" s="19">
        <v>19742</v>
      </c>
      <c r="F27" s="19">
        <v>20858</v>
      </c>
      <c r="G27" s="19"/>
      <c r="H27" s="19"/>
    </row>
    <row r="28" spans="2:8" x14ac:dyDescent="0.35">
      <c r="B28" t="s">
        <v>106</v>
      </c>
      <c r="C28" s="19">
        <v>-13888</v>
      </c>
      <c r="D28" s="19">
        <v>-24091</v>
      </c>
      <c r="E28" s="19">
        <v>-14158</v>
      </c>
      <c r="F28" s="19">
        <v>-16328</v>
      </c>
      <c r="G28" s="19"/>
      <c r="H28" s="19"/>
    </row>
    <row r="29" spans="2:8" x14ac:dyDescent="0.35">
      <c r="B29" t="s">
        <v>107</v>
      </c>
      <c r="C29" s="19">
        <v>-4340</v>
      </c>
      <c r="D29" s="19">
        <v>-5102</v>
      </c>
      <c r="E29" s="19">
        <v>-6902</v>
      </c>
      <c r="F29" s="19">
        <v>-8087</v>
      </c>
      <c r="G29" s="19"/>
      <c r="H29" s="19"/>
    </row>
    <row r="30" spans="2:8" x14ac:dyDescent="0.35">
      <c r="B30" t="s">
        <v>108</v>
      </c>
      <c r="C30">
        <v>-483</v>
      </c>
      <c r="D30" s="19">
        <v>-1571</v>
      </c>
      <c r="E30" s="19">
        <v>-4194</v>
      </c>
      <c r="F30" s="19">
        <v>-822</v>
      </c>
      <c r="H30" s="19"/>
    </row>
    <row r="31" spans="2:8" x14ac:dyDescent="0.35">
      <c r="B31" t="s">
        <v>109</v>
      </c>
      <c r="C31" s="19">
        <v>-335</v>
      </c>
      <c r="D31" s="19">
        <v>-417</v>
      </c>
      <c r="E31" s="19">
        <v>-524</v>
      </c>
      <c r="F31" s="19">
        <v>-632</v>
      </c>
      <c r="G31" s="19"/>
      <c r="H31" s="19"/>
    </row>
    <row r="32" spans="2:8" x14ac:dyDescent="0.35">
      <c r="B32" t="s">
        <v>110</v>
      </c>
      <c r="C32">
        <v>0</v>
      </c>
      <c r="D32" s="19">
        <v>-591</v>
      </c>
      <c r="E32" s="19">
        <v>0</v>
      </c>
      <c r="F32" s="19">
        <v>0</v>
      </c>
      <c r="G32" s="19"/>
      <c r="H32" s="19"/>
    </row>
    <row r="33" spans="2:8" x14ac:dyDescent="0.35">
      <c r="B33" t="s">
        <v>20</v>
      </c>
      <c r="C33" s="19">
        <v>7977</v>
      </c>
      <c r="D33" s="19">
        <v>-3135</v>
      </c>
      <c r="E33" s="19">
        <v>6616</v>
      </c>
      <c r="F33" s="19">
        <v>-7394</v>
      </c>
      <c r="G33" s="19"/>
      <c r="H33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Historical FS</vt:lpstr>
      <vt:lpstr>Cash Flow</vt:lpstr>
      <vt:lpstr>Ratio Analysis </vt:lpstr>
      <vt:lpstr>Beta</vt:lpstr>
      <vt:lpstr>Rm</vt:lpstr>
      <vt:lpstr>DCF</vt:lpstr>
      <vt:lpstr>Data&gt;</vt:lpstr>
      <vt:lpstr>Data Sheet</vt:lpstr>
      <vt:lpstr>Raw Balance Sheet</vt:lpstr>
      <vt:lpstr>Cash Flow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pc</dc:creator>
  <cp:lastModifiedBy>hp pc</cp:lastModifiedBy>
  <dcterms:created xsi:type="dcterms:W3CDTF">2024-08-11T04:57:12Z</dcterms:created>
  <dcterms:modified xsi:type="dcterms:W3CDTF">2024-10-05T18:04:07Z</dcterms:modified>
</cp:coreProperties>
</file>