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trlProps/ctrlProp1.xml" ContentType="application/vnd.ms-excel.control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125" windowHeight="12540"/>
  </bookViews>
  <sheets>
    <sheet name="首页" sheetId="2" r:id="rId1"/>
    <sheet name="函数" sheetId="1" r:id="rId2"/>
    <sheet name="datedif" sheetId="44" r:id="rId3"/>
    <sheet name="average" sheetId="58" r:id="rId4"/>
    <sheet name="year" sheetId="78" r:id="rId5"/>
    <sheet name="rept" sheetId="115" r:id="rId6"/>
    <sheet name="weeknum" sheetId="90" r:id="rId7"/>
    <sheet name="evaluate" sheetId="230" r:id="rId8"/>
    <sheet name="numberstring" sheetId="222" r:id="rId9"/>
    <sheet name="pearson" sheetId="228" r:id="rId10"/>
    <sheet name="row" sheetId="290" r:id="rId11"/>
    <sheet name="pmt" sheetId="289" r:id="rId12"/>
    <sheet name="ispmt" sheetId="288" r:id="rId13"/>
    <sheet name="vara" sheetId="287" r:id="rId14"/>
    <sheet name="even" sheetId="286" r:id="rId15"/>
    <sheet name="iseven" sheetId="285" r:id="rId16"/>
    <sheet name="fv" sheetId="284" r:id="rId17"/>
    <sheet name="rsq" sheetId="283" r:id="rId18"/>
    <sheet name="sumsq" sheetId="282" r:id="rId19"/>
    <sheet name="quotient" sheetId="280" r:id="rId20"/>
    <sheet name="pv" sheetId="277" r:id="rId21"/>
    <sheet name="ppmt" sheetId="279" r:id="rId22"/>
    <sheet name="ppmt2" sheetId="278" r:id="rId23"/>
    <sheet name="multinomial" sheetId="276" r:id="rId24"/>
    <sheet name="percentrank" sheetId="275" r:id="rId25"/>
    <sheet name="mirr" sheetId="274" r:id="rId26"/>
    <sheet name="irr" sheetId="273" r:id="rId27"/>
    <sheet name="ipmt" sheetId="272" r:id="rId28"/>
    <sheet name="accrintm" sheetId="271" r:id="rId29"/>
    <sheet name="trimmean" sheetId="270" r:id="rId30"/>
    <sheet name="tinv" sheetId="269" r:id="rId31"/>
    <sheet name="quartile" sheetId="267" r:id="rId32"/>
    <sheet name="poisson" sheetId="266" r:id="rId33"/>
    <sheet name="norminv" sheetId="265" r:id="rId34"/>
    <sheet name="fisherinv" sheetId="264" r:id="rId35"/>
    <sheet name="finv" sheetId="263" r:id="rId36"/>
    <sheet name="gammainv" sheetId="260" r:id="rId37"/>
    <sheet name="gammaln" sheetId="261" r:id="rId38"/>
    <sheet name="gammaln.precise" sheetId="262" r:id="rId39"/>
    <sheet name="nper" sheetId="259" r:id="rId40"/>
    <sheet name="permut" sheetId="256" r:id="rId41"/>
    <sheet name="avedev" sheetId="255" r:id="rId42"/>
    <sheet name="minverse" sheetId="254" r:id="rId43"/>
    <sheet name="devsq" sheetId="249" r:id="rId44"/>
    <sheet name="normdist" sheetId="252" r:id="rId45"/>
    <sheet name="normsdist" sheetId="253" r:id="rId46"/>
    <sheet name="stdeva" sheetId="250" r:id="rId47"/>
    <sheet name="stdeva (2)" sheetId="257" r:id="rId48"/>
    <sheet name="stdevpa" sheetId="251" r:id="rId49"/>
    <sheet name="percentile" sheetId="246" r:id="rId50"/>
    <sheet name="percentile (2)" sheetId="247" r:id="rId51"/>
    <sheet name="varp" sheetId="240" r:id="rId52"/>
    <sheet name="sln" sheetId="242" r:id="rId53"/>
    <sheet name="npv" sheetId="243" r:id="rId54"/>
    <sheet name="varpa" sheetId="241" r:id="rId55"/>
    <sheet name="chidist" sheetId="238" r:id="rId56"/>
    <sheet name="chiinv" sheetId="239" r:id="rId57"/>
    <sheet name="ttest" sheetId="237" r:id="rId58"/>
    <sheet name="linest" sheetId="236" r:id="rId59"/>
    <sheet name="intercept" sheetId="235" r:id="rId60"/>
    <sheet name="ftest" sheetId="234" r:id="rId61"/>
    <sheet name="lognormdist" sheetId="232" r:id="rId62"/>
    <sheet name="loginv" sheetId="231" r:id="rId63"/>
    <sheet name="rate" sheetId="180" r:id="rId64"/>
    <sheet name="harmean" sheetId="204" r:id="rId65"/>
    <sheet name="mutinomial" sheetId="227" r:id="rId66"/>
    <sheet name="ln" sheetId="223" r:id="rId67"/>
    <sheet name="log" sheetId="225" r:id="rId68"/>
    <sheet name="log10" sheetId="226" r:id="rId69"/>
    <sheet name="product" sheetId="224" r:id="rId70"/>
    <sheet name="sign" sheetId="218" r:id="rId71"/>
    <sheet name="sin" sheetId="219" r:id="rId72"/>
    <sheet name="seriessum" sheetId="220" r:id="rId73"/>
    <sheet name="stdev" sheetId="214" r:id="rId74"/>
    <sheet name="betadist" sheetId="206" r:id="rId75"/>
    <sheet name="sqrt" sheetId="217" r:id="rId76"/>
    <sheet name="sqrpi" sheetId="221" r:id="rId77"/>
    <sheet name="tdist" sheetId="215" r:id="rId78"/>
    <sheet name="trend" sheetId="216" r:id="rId79"/>
    <sheet name="mdeterm" sheetId="213" r:id="rId80"/>
    <sheet name="correl" sheetId="212" r:id="rId81"/>
    <sheet name="negbinomdist" sheetId="210" r:id="rId82"/>
    <sheet name="betainv" sheetId="209" r:id="rId83"/>
    <sheet name="binomdist" sheetId="208" r:id="rId84"/>
    <sheet name="CRITBINOM" sheetId="207" r:id="rId85"/>
    <sheet name="geomean" sheetId="205" r:id="rId86"/>
    <sheet name="kurt" sheetId="193" r:id="rId87"/>
    <sheet name="standardize" sheetId="203" r:id="rId88"/>
    <sheet name="ztest" sheetId="202" r:id="rId89"/>
    <sheet name="syd" sheetId="201" r:id="rId90"/>
    <sheet name="expondist" sheetId="199" r:id="rId91"/>
    <sheet name="hypgeomdist" sheetId="200" r:id="rId92"/>
    <sheet name="power" sheetId="198" r:id="rId93"/>
    <sheet name="weibull" sheetId="197" r:id="rId94"/>
    <sheet name="mmult" sheetId="195" r:id="rId95"/>
    <sheet name="lcm" sheetId="194" r:id="rId96"/>
    <sheet name="slope" sheetId="196" r:id="rId97"/>
    <sheet name="gammadist" sheetId="192" r:id="rId98"/>
    <sheet name="trunc" sheetId="187" r:id="rId99"/>
    <sheet name="fdist" sheetId="191" r:id="rId100"/>
    <sheet name="chitest" sheetId="190" r:id="rId101"/>
    <sheet name="odd" sheetId="188" r:id="rId102"/>
    <sheet name="db" sheetId="189" r:id="rId103"/>
    <sheet name="ddb" sheetId="244" r:id="rId104"/>
    <sheet name="vdb" sheetId="245" r:id="rId105"/>
    <sheet name="prob" sheetId="181" r:id="rId106"/>
    <sheet name="betdist" sheetId="186" r:id="rId107"/>
    <sheet name="var" sheetId="185" r:id="rId108"/>
    <sheet name="forecast" sheetId="184" r:id="rId109"/>
    <sheet name="covar" sheetId="183" r:id="rId110"/>
    <sheet name="phonetic" sheetId="182" r:id="rId111"/>
    <sheet name="fisher" sheetId="178" r:id="rId112"/>
    <sheet name="growth" sheetId="179" r:id="rId113"/>
    <sheet name="hyperlink" sheetId="168" r:id="rId114"/>
    <sheet name="isodd" sheetId="151" r:id="rId115"/>
    <sheet name="SUMX2MY2" sheetId="170" r:id="rId116"/>
    <sheet name="sumx2py2" sheetId="171" r:id="rId117"/>
    <sheet name="sumxmy2" sheetId="172" r:id="rId118"/>
    <sheet name="exp" sheetId="169" r:id="rId119"/>
    <sheet name="acosh" sheetId="150" r:id="rId120"/>
    <sheet name="acos" sheetId="152" r:id="rId121"/>
    <sheet name="asin" sheetId="158" r:id="rId122"/>
    <sheet name="asinh" sheetId="159" r:id="rId123"/>
    <sheet name="atan" sheetId="160" r:id="rId124"/>
    <sheet name="atan2" sheetId="163" r:id="rId125"/>
    <sheet name="atanh" sheetId="164" r:id="rId126"/>
    <sheet name="cosh" sheetId="175" r:id="rId127"/>
    <sheet name="sinh" sheetId="176" r:id="rId128"/>
    <sheet name="tanh" sheetId="177" r:id="rId129"/>
    <sheet name="fact" sheetId="165" r:id="rId130"/>
    <sheet name="degrees" sheetId="162" r:id="rId131"/>
    <sheet name="cos" sheetId="153" r:id="rId132"/>
    <sheet name="radians" sheetId="154" r:id="rId133"/>
    <sheet name="confidence" sheetId="157" r:id="rId134"/>
    <sheet name="convert" sheetId="156" r:id="rId135"/>
    <sheet name="substitute" sheetId="121" r:id="rId136"/>
    <sheet name="large" sheetId="148" r:id="rId137"/>
    <sheet name="small" sheetId="149" r:id="rId138"/>
    <sheet name="rank" sheetId="145" r:id="rId139"/>
    <sheet name="rank.eq" sheetId="146" r:id="rId140"/>
    <sheet name="rank.avg" sheetId="147" r:id="rId141"/>
    <sheet name="t" sheetId="122" r:id="rId142"/>
    <sheet name="n" sheetId="143" r:id="rId143"/>
    <sheet name="na" sheetId="144" r:id="rId144"/>
    <sheet name="transpose" sheetId="142" r:id="rId145"/>
    <sheet name="rows" sheetId="140" r:id="rId146"/>
    <sheet name="columns" sheetId="141" r:id="rId147"/>
    <sheet name="areas" sheetId="139" r:id="rId148"/>
    <sheet name="address" sheetId="138" r:id="rId149"/>
    <sheet name="isblank" sheetId="129" r:id="rId150"/>
    <sheet name="iserror" sheetId="130" r:id="rId151"/>
    <sheet name="iserr" sheetId="131" r:id="rId152"/>
    <sheet name="islogical" sheetId="132" r:id="rId153"/>
    <sheet name="isna" sheetId="133" r:id="rId154"/>
    <sheet name="isnontext" sheetId="134" r:id="rId155"/>
    <sheet name="isnumber" sheetId="135" r:id="rId156"/>
    <sheet name="isref" sheetId="136" r:id="rId157"/>
    <sheet name="istext" sheetId="137" r:id="rId158"/>
    <sheet name="cell" sheetId="128" r:id="rId159"/>
    <sheet name="widechar" sheetId="127" r:id="rId160"/>
    <sheet name="value" sheetId="126" r:id="rId161"/>
    <sheet name="upper" sheetId="125" r:id="rId162"/>
    <sheet name="trim" sheetId="124" r:id="rId163"/>
    <sheet name="text" sheetId="123" r:id="rId164"/>
    <sheet name="search" sheetId="119" r:id="rId165"/>
    <sheet name="searchb" sheetId="120" r:id="rId166"/>
    <sheet name="replace" sheetId="113" r:id="rId167"/>
    <sheet name="rmb" sheetId="118" r:id="rId168"/>
    <sheet name="right" sheetId="116" r:id="rId169"/>
    <sheet name="rightb" sheetId="117" r:id="rId170"/>
    <sheet name="replaceb" sheetId="114" r:id="rId171"/>
    <sheet name="clean" sheetId="102" r:id="rId172"/>
    <sheet name="fixed" sheetId="103" r:id="rId173"/>
    <sheet name="proper" sheetId="112" r:id="rId174"/>
    <sheet name="left" sheetId="104" r:id="rId175"/>
    <sheet name="mid" sheetId="110" r:id="rId176"/>
    <sheet name="midb" sheetId="111" r:id="rId177"/>
    <sheet name="len" sheetId="107" r:id="rId178"/>
    <sheet name="lenb" sheetId="108" r:id="rId179"/>
    <sheet name="lower" sheetId="109" r:id="rId180"/>
    <sheet name="leftb" sheetId="106" r:id="rId181"/>
    <sheet name="and" sheetId="99" r:id="rId182"/>
    <sheet name="not" sheetId="100" r:id="rId183"/>
    <sheet name="or" sheetId="101" r:id="rId184"/>
    <sheet name="workday" sheetId="91" r:id="rId185"/>
    <sheet name="second" sheetId="84" r:id="rId186"/>
    <sheet name="true" sheetId="97" r:id="rId187"/>
    <sheet name="false" sheetId="98" r:id="rId188"/>
    <sheet name="time" sheetId="86" r:id="rId189"/>
    <sheet name="timevalue" sheetId="87" r:id="rId190"/>
    <sheet name="today" sheetId="88" r:id="rId191"/>
    <sheet name="eomonth" sheetId="83" r:id="rId192"/>
    <sheet name="networkdays" sheetId="82" r:id="rId193"/>
    <sheet name="month" sheetId="79" r:id="rId194"/>
    <sheet name="day" sheetId="80" r:id="rId195"/>
    <sheet name="days360" sheetId="81" r:id="rId196"/>
    <sheet name="mround" sheetId="75" r:id="rId197"/>
    <sheet name="int" sheetId="76" r:id="rId198"/>
    <sheet name="floor" sheetId="77" r:id="rId199"/>
    <sheet name="ceiling" sheetId="74" r:id="rId200"/>
    <sheet name="if" sheetId="63" r:id="rId201"/>
    <sheet name="offset" sheetId="69" r:id="rId202"/>
    <sheet name="lookup" sheetId="71" r:id="rId203"/>
    <sheet name="vlookup" sheetId="72" r:id="rId204"/>
    <sheet name="hlookup" sheetId="73" r:id="rId205"/>
    <sheet name="match" sheetId="70" r:id="rId206"/>
    <sheet name="ifs" sheetId="65" r:id="rId207"/>
    <sheet name="countif" sheetId="67" r:id="rId208"/>
    <sheet name="countifs" sheetId="68" r:id="rId209"/>
    <sheet name="iferror" sheetId="66" r:id="rId210"/>
    <sheet name="ifna" sheetId="64" r:id="rId211"/>
    <sheet name="averagea" sheetId="59" r:id="rId212"/>
    <sheet name="averageif" sheetId="61" r:id="rId213"/>
    <sheet name="averageifs" sheetId="62" r:id="rId214"/>
    <sheet name="sumifs" sheetId="56" r:id="rId215"/>
    <sheet name="rounddown" sheetId="54" r:id="rId216"/>
    <sheet name="roundup" sheetId="55" r:id="rId217"/>
    <sheet name="count" sheetId="51" r:id="rId218"/>
    <sheet name="counta" sheetId="52" r:id="rId219"/>
    <sheet name="countblank" sheetId="53" r:id="rId220"/>
    <sheet name="subtotal" sheetId="50" r:id="rId221"/>
    <sheet name="bin2hex" sheetId="49" r:id="rId222"/>
    <sheet name="hex2bin" sheetId="173" r:id="rId223"/>
    <sheet name="hex2dec" sheetId="174" r:id="rId224"/>
    <sheet name="dec2bin" sheetId="166" r:id="rId225"/>
    <sheet name="dec2hex" sheetId="167" r:id="rId226"/>
    <sheet name="bin2dec" sheetId="57" r:id="rId227"/>
    <sheet name="randbetween" sheetId="48" r:id="rId228"/>
    <sheet name="factdouble" sheetId="47" r:id="rId229"/>
    <sheet name="findb" sheetId="46" r:id="rId230"/>
    <sheet name="index" sheetId="45" r:id="rId231"/>
    <sheet name="frequency" sheetId="42" r:id="rId232"/>
    <sheet name="yearfrac" sheetId="43" r:id="rId233"/>
    <sheet name="date" sheetId="3" r:id="rId234"/>
    <sheet name="max" sheetId="41" r:id="rId235"/>
    <sheet name="min" sheetId="93" r:id="rId236"/>
    <sheet name="mina" sheetId="94" r:id="rId237"/>
    <sheet name="maxa" sheetId="92" r:id="rId238"/>
    <sheet name="maxifs" sheetId="95" r:id="rId239"/>
    <sheet name="minifs" sheetId="96" r:id="rId240"/>
    <sheet name="edate" sheetId="4" r:id="rId241"/>
    <sheet name="rand" sheetId="5" r:id="rId242"/>
    <sheet name="dollar" sheetId="39" r:id="rId243"/>
    <sheet name="find" sheetId="40" r:id="rId244"/>
    <sheet name="indirect" sheetId="7" r:id="rId245"/>
    <sheet name="exact" sheetId="38" r:id="rId246"/>
    <sheet name="char" sheetId="31" r:id="rId247"/>
    <sheet name="concatenate" sheetId="34" r:id="rId248"/>
    <sheet name="concat" sheetId="35" r:id="rId249"/>
    <sheet name="textjoin" sheetId="37" r:id="rId250"/>
    <sheet name="code" sheetId="33" r:id="rId251"/>
    <sheet name="column" sheetId="8" r:id="rId252"/>
    <sheet name="choose" sheetId="10" r:id="rId253"/>
    <sheet name="weekday" sheetId="11" r:id="rId254"/>
    <sheet name="round" sheetId="12" r:id="rId255"/>
    <sheet name="sum" sheetId="13" r:id="rId256"/>
    <sheet name="FORMULATEXT" sheetId="30" r:id="rId257"/>
    <sheet name="mod" sheetId="14" r:id="rId258"/>
    <sheet name="type" sheetId="15" r:id="rId259"/>
    <sheet name="error.type" sheetId="17" r:id="rId260"/>
    <sheet name="hour" sheetId="19" r:id="rId261"/>
    <sheet name="minute" sheetId="21" r:id="rId262"/>
    <sheet name="abs" sheetId="22" r:id="rId263"/>
    <sheet name="now" sheetId="23" r:id="rId264"/>
    <sheet name="pi" sheetId="24" r:id="rId265"/>
    <sheet name="gcd" sheetId="25" r:id="rId266"/>
    <sheet name="combin" sheetId="27" r:id="rId267"/>
    <sheet name="sumif" sheetId="28" r:id="rId268"/>
    <sheet name="datevalue" sheetId="29" r:id="rId269"/>
    <sheet name="说明" sheetId="291" r:id="rId270"/>
    <sheet name="Sheet1" sheetId="292" r:id="rId271"/>
  </sheets>
  <definedNames>
    <definedName name="日期与时间函数">函数!$A$63:$A$83</definedName>
    <definedName name="工程函数">函数!$A$85:$A$91</definedName>
    <definedName name="宏表函数">函数!$A$93</definedName>
    <definedName name="统计函数">函数!$A$95:$A$179</definedName>
    <definedName name="财务函数">函数!$A$181:$A$197</definedName>
    <definedName name="查找与引用函数">函数!$A$199:$A$214</definedName>
    <definedName name="文本函数">函数!$A$216:$A$253</definedName>
    <definedName name="逻辑函数">函数!$A$255:$A$263</definedName>
    <definedName name="数学与三角函数">函数!$A$2:$A$61</definedName>
    <definedName name="信息函数">函数!$A$265:$A$280</definedName>
    <definedName name="查找函数">OFFSET(函数!$D$1,1,0,COUNTA(函数!$D:$D)-1,1)</definedName>
    <definedName name="George">indirect!$B$7</definedName>
  </definedNames>
  <calcPr calcId="144525"/>
</workbook>
</file>

<file path=xl/sharedStrings.xml><?xml version="1.0" encoding="utf-8"?>
<sst xmlns="http://schemas.openxmlformats.org/spreadsheetml/2006/main" count="4075" uniqueCount="2389">
  <si>
    <t>WPS公式（函数）大全</t>
  </si>
  <si>
    <t>选择分类</t>
  </si>
  <si>
    <t>查找与引用函数</t>
  </si>
  <si>
    <t>查询</t>
  </si>
  <si>
    <t>←查询完成记住要清除这里哦</t>
  </si>
  <si>
    <t>序号</t>
  </si>
  <si>
    <t>函数</t>
  </si>
  <si>
    <t>简介</t>
  </si>
  <si>
    <t>数学与三角函数</t>
  </si>
  <si>
    <t>ABS</t>
  </si>
  <si>
    <t>返回数字的绝对值</t>
  </si>
  <si>
    <t>日期与时间函数</t>
  </si>
  <si>
    <t>ACOS</t>
  </si>
  <si>
    <t>返回数字的反余弦值</t>
  </si>
  <si>
    <t>工程函数</t>
  </si>
  <si>
    <t>ACOSH</t>
  </si>
  <si>
    <t>返回数字的反双曲余弦值</t>
  </si>
  <si>
    <t>宏表函数</t>
  </si>
  <si>
    <t>ASIN</t>
  </si>
  <si>
    <t>返回数字的反正弦值</t>
  </si>
  <si>
    <t>统计函数</t>
  </si>
  <si>
    <t>ASINH</t>
  </si>
  <si>
    <t>返回数字的反双曲正弦值</t>
  </si>
  <si>
    <t>财务函数</t>
  </si>
  <si>
    <t>ATAN</t>
  </si>
  <si>
    <t>返回数字的反正切值</t>
  </si>
  <si>
    <t>ATAN2</t>
  </si>
  <si>
    <t>从X和Y坐标返回反正切</t>
  </si>
  <si>
    <t>文本函数</t>
  </si>
  <si>
    <t>ATANH</t>
  </si>
  <si>
    <t>返回数字的反双曲正切值</t>
  </si>
  <si>
    <t>逻辑函数</t>
  </si>
  <si>
    <t>CEILING</t>
  </si>
  <si>
    <t>将数字舍入为最接近的整数，或最接近的有效数字的倍数</t>
  </si>
  <si>
    <t>信息函数</t>
  </si>
  <si>
    <t>COS</t>
  </si>
  <si>
    <t>返回数字的余弦值</t>
  </si>
  <si>
    <t>COMBIN</t>
  </si>
  <si>
    <t>计算从给定数目的对象集合中提取若干对象的组合数</t>
  </si>
  <si>
    <t>COSH</t>
  </si>
  <si>
    <t>返回数字的双曲余弦值</t>
  </si>
  <si>
    <t>DEGREES</t>
  </si>
  <si>
    <t>将弧度转换为度</t>
  </si>
  <si>
    <t>EVEN</t>
  </si>
  <si>
    <t>将数字向上舍入为最接近的偶型整数</t>
  </si>
  <si>
    <t>EXP</t>
  </si>
  <si>
    <t>返回e的指定数乘幂</t>
  </si>
  <si>
    <t>FACT</t>
  </si>
  <si>
    <t>返回数字的阶乘</t>
  </si>
  <si>
    <t>FACTDOUBLE</t>
  </si>
  <si>
    <t>返回数字的双倍阶乘</t>
  </si>
  <si>
    <t>FLOOR</t>
  </si>
  <si>
    <t>将数字朝着零的方向向下舍入</t>
  </si>
  <si>
    <t>GCD</t>
  </si>
  <si>
    <t>返回最大公约数</t>
  </si>
  <si>
    <t>INT</t>
  </si>
  <si>
    <t>将数字向下舍入为最接近的整数</t>
  </si>
  <si>
    <t>LCM</t>
  </si>
  <si>
    <t>返回整数参数的最小公倍数。</t>
  </si>
  <si>
    <t>LN</t>
  </si>
  <si>
    <t>返回数字的自然对数</t>
  </si>
  <si>
    <t>LOG</t>
  </si>
  <si>
    <t>返回数字的指定底数的对数</t>
  </si>
  <si>
    <t>LOG10</t>
  </si>
  <si>
    <t>返回数字的常用对数</t>
  </si>
  <si>
    <t>MINVERSE</t>
  </si>
  <si>
    <t>返回数组矩阵的逆距阵</t>
  </si>
  <si>
    <t>MULTINOMIAL</t>
  </si>
  <si>
    <t>返回参数和的阶乘与各参数阶乘乘积的比值</t>
  </si>
  <si>
    <t>MDETERM</t>
  </si>
  <si>
    <t>返回一个数组的矩阵行列式的值</t>
  </si>
  <si>
    <t>MMULT</t>
  </si>
  <si>
    <t>返回两个数组的矩阵乘积</t>
  </si>
  <si>
    <t>MOD</t>
  </si>
  <si>
    <t>返回两数相除的余数</t>
  </si>
  <si>
    <t>MROUND</t>
  </si>
  <si>
    <t>返回一个舍入到所需倍数的数字</t>
  </si>
  <si>
    <t>ODD</t>
  </si>
  <si>
    <t>将数字向上舍入为最接近的奇型整数</t>
  </si>
  <si>
    <t>PI</t>
  </si>
  <si>
    <t>返回PI值</t>
  </si>
  <si>
    <t>POWER</t>
  </si>
  <si>
    <t>返回数的乘幂结果</t>
  </si>
  <si>
    <t>PRODUCT</t>
  </si>
  <si>
    <t>将所有以参数形式给出的数字相乘</t>
  </si>
  <si>
    <t>QUOTIENT</t>
  </si>
  <si>
    <t>返回商的整数部分，该函数可用于舍掉商的小数部分。</t>
  </si>
  <si>
    <t>RADIANS</t>
  </si>
  <si>
    <t>将度转换为弧度</t>
  </si>
  <si>
    <t>RAND</t>
  </si>
  <si>
    <t>返回0到1之间的随机数</t>
  </si>
  <si>
    <t>RANDBETWEEN</t>
  </si>
  <si>
    <t>返回指定数字之间的随机数</t>
  </si>
  <si>
    <t>ROMAN</t>
  </si>
  <si>
    <t>将阿拉伯数字转换为文本形式的罗马数字</t>
  </si>
  <si>
    <t>ROUND</t>
  </si>
  <si>
    <t>将数字舍入到指定位数</t>
  </si>
  <si>
    <t>ROUNDDOWN</t>
  </si>
  <si>
    <t>将数字朝零的方向舍入</t>
  </si>
  <si>
    <t>ROUNDUP</t>
  </si>
  <si>
    <t>将数朝远离零的方向舍入</t>
  </si>
  <si>
    <t>SERIESSUM</t>
  </si>
  <si>
    <t>返回基于公式的幂级数的和</t>
  </si>
  <si>
    <t>SIGN</t>
  </si>
  <si>
    <t>返回数字的符号</t>
  </si>
  <si>
    <t>SIN</t>
  </si>
  <si>
    <t>返回给定角度的正弦值</t>
  </si>
  <si>
    <t>SINH</t>
  </si>
  <si>
    <t>返回数字的双曲正弦值</t>
  </si>
  <si>
    <t>SQRT</t>
  </si>
  <si>
    <t>返回正平方根</t>
  </si>
  <si>
    <t>SQRPI</t>
  </si>
  <si>
    <t>返回某数与PI的乘积的平方根</t>
  </si>
  <si>
    <t>SUBTOTAL</t>
  </si>
  <si>
    <t>返回数据库清单或数据库中的分类汇总</t>
  </si>
  <si>
    <t>SUM</t>
  </si>
  <si>
    <t>将参数求和</t>
  </si>
  <si>
    <t>SUMIF</t>
  </si>
  <si>
    <t>按给定条件将指定单元格求和</t>
  </si>
  <si>
    <t>SUMIFS</t>
  </si>
  <si>
    <t>在区域中添加满足多个条件的单元格</t>
  </si>
  <si>
    <t>SUMPRODUCT</t>
  </si>
  <si>
    <t>返回相对应的数组部分的乘积和</t>
  </si>
  <si>
    <t>SUMSQ</t>
  </si>
  <si>
    <t>返回参数的平方和</t>
  </si>
  <si>
    <t>SUMX2MY2</t>
  </si>
  <si>
    <t>返回两数组中对应值平方差之和</t>
  </si>
  <si>
    <t>SUMX2PY2</t>
  </si>
  <si>
    <t>返回两数组中对应值的平方和之和</t>
  </si>
  <si>
    <t>SUMXMY2</t>
  </si>
  <si>
    <t>返回两个数组中对应值差的平方和</t>
  </si>
  <si>
    <t>TAN</t>
  </si>
  <si>
    <t>返回数字的正切值</t>
  </si>
  <si>
    <t>TANH</t>
  </si>
  <si>
    <t>返回数字的双曲正切值</t>
  </si>
  <si>
    <t>TRUNC</t>
  </si>
  <si>
    <t>将数字截尾取整</t>
  </si>
  <si>
    <t/>
  </si>
  <si>
    <t>DATE</t>
  </si>
  <si>
    <t>返回特定日期的序列号</t>
  </si>
  <si>
    <t>DATEVALUE</t>
  </si>
  <si>
    <t>将文本格式的日期转换为序列号</t>
  </si>
  <si>
    <t>DATEDIF</t>
  </si>
  <si>
    <t>返回两个日期之间的隔数</t>
  </si>
  <si>
    <t>DAY</t>
  </si>
  <si>
    <t>将序列号转换为月份中的日</t>
  </si>
  <si>
    <t>DAYS360</t>
  </si>
  <si>
    <t>以一年360天为基准计算两个日期间的天数</t>
  </si>
  <si>
    <t>EDATE</t>
  </si>
  <si>
    <t>返回用于表示开始日期之前或之后月数的日期的序列号</t>
  </si>
  <si>
    <t>EOMONTH</t>
  </si>
  <si>
    <t>返回指定月数之前或之后的月份的最后一天的序列号</t>
  </si>
  <si>
    <t>HOUR</t>
  </si>
  <si>
    <t>将序列号转换为小时</t>
  </si>
  <si>
    <t>MINUTE</t>
  </si>
  <si>
    <t>将序列号转换为分钟</t>
  </si>
  <si>
    <t>MONTH</t>
  </si>
  <si>
    <t>将序列号转换为月</t>
  </si>
  <si>
    <t>NETWORKDAYS</t>
  </si>
  <si>
    <t>返回两个日期之间的全部工作日数</t>
  </si>
  <si>
    <t>NOW</t>
  </si>
  <si>
    <t>返回当前日期和时间的序列号</t>
  </si>
  <si>
    <t>SECOND</t>
  </si>
  <si>
    <t>将序列号转换为秒</t>
  </si>
  <si>
    <t>TIME</t>
  </si>
  <si>
    <t>返回特定时间的序列号</t>
  </si>
  <si>
    <t>TIMEVALUE</t>
  </si>
  <si>
    <t>将文本格式的时间转换为序列号</t>
  </si>
  <si>
    <t>TODAY</t>
  </si>
  <si>
    <t>返回今天日期的序列号</t>
  </si>
  <si>
    <t>WEEKDAY</t>
  </si>
  <si>
    <t>将序列号转换为星期几</t>
  </si>
  <si>
    <t>WEEKNUM</t>
  </si>
  <si>
    <t>将序列号转换为一年中相应的周数</t>
  </si>
  <si>
    <t>WORKDAY</t>
  </si>
  <si>
    <t>返回指定的若干个工作日之前或之后的日期的序列号</t>
  </si>
  <si>
    <t>YEAR</t>
  </si>
  <si>
    <t>将序列号转换为年</t>
  </si>
  <si>
    <t>YEARFRAC</t>
  </si>
  <si>
    <t>返回代表start_date和end_date之间整天天数的年分数</t>
  </si>
  <si>
    <t>BIN2DEC</t>
  </si>
  <si>
    <t>将二进制数转换为十进制数</t>
  </si>
  <si>
    <t>BIN2HEX</t>
  </si>
  <si>
    <t>将二进制数转换为十六进制数</t>
  </si>
  <si>
    <t>CONVERT</t>
  </si>
  <si>
    <t>将数字从一种度量系统转换为另一种度量系统</t>
  </si>
  <si>
    <t>DEC2BIN</t>
  </si>
  <si>
    <t>将十进制数转换为二进制数</t>
  </si>
  <si>
    <t>DEC2HEX</t>
  </si>
  <si>
    <t>将十进制数转换为十六进制数</t>
  </si>
  <si>
    <t>HEX2BIN</t>
  </si>
  <si>
    <t>将十六进制数转换为二进制数</t>
  </si>
  <si>
    <t>HEX2DEC</t>
  </si>
  <si>
    <t>将十六进制数转换为十进制数</t>
  </si>
  <si>
    <t>EVALUATE</t>
  </si>
  <si>
    <t>对以文字表示的一个公式或表达式求值，并返回结果</t>
  </si>
  <si>
    <t>AVEDEV</t>
  </si>
  <si>
    <t>返回数据点与其平均值的绝对偏差的平均值</t>
  </si>
  <si>
    <t>AVERAGE</t>
  </si>
  <si>
    <t>返回参数的平均值</t>
  </si>
  <si>
    <t>AVERAGEA</t>
  </si>
  <si>
    <t>返回参数的平均值，包括数字、文本和逻辑值</t>
  </si>
  <si>
    <t>AVERAGEIF</t>
  </si>
  <si>
    <t>返回区域中满足给定条件的所有单元格的平均值（算术平均值）</t>
  </si>
  <si>
    <t>AVERAGEIFS</t>
  </si>
  <si>
    <t>返回满足多个条件的所有单元格的平均值（算术平均值）</t>
  </si>
  <si>
    <t>BETADIST</t>
  </si>
  <si>
    <t>返回Beta累积分布函数</t>
  </si>
  <si>
    <t>BETAINV</t>
  </si>
  <si>
    <t>返回指定Beta分布的累积分布函数的反函数</t>
  </si>
  <si>
    <t>BINOMDIST</t>
  </si>
  <si>
    <t>返回一元二项式分布概率</t>
  </si>
  <si>
    <t>CHIDIST</t>
  </si>
  <si>
    <t>返回chi平方分布的单尾概率</t>
  </si>
  <si>
    <t>CHIINV</t>
  </si>
  <si>
    <t>返回chi平方分布的反单尾概率</t>
  </si>
  <si>
    <t>CHITEST</t>
  </si>
  <si>
    <t>返回独立性检验值</t>
  </si>
  <si>
    <t>COUNT</t>
  </si>
  <si>
    <t>计算参数列表中数字的个数</t>
  </si>
  <si>
    <t>COUNTA</t>
  </si>
  <si>
    <t>计算参数列表中值的个数</t>
  </si>
  <si>
    <t>COUNTBLANK</t>
  </si>
  <si>
    <t>计算指定单元格区域中空白单元格的个数</t>
  </si>
  <si>
    <t>CONFIDENCE</t>
  </si>
  <si>
    <t>返回总体平均值的置信区间</t>
  </si>
  <si>
    <t>CORREL</t>
  </si>
  <si>
    <t>返回两个数据集之间的相关系数</t>
  </si>
  <si>
    <t>COUNTIF</t>
  </si>
  <si>
    <t>计算区域中满足给定条件的单元格的个数</t>
  </si>
  <si>
    <t>COUNTIFS</t>
  </si>
  <si>
    <t>计算区域中满足多个条件的单元格的个数</t>
  </si>
  <si>
    <t>COVAR</t>
  </si>
  <si>
    <t>返回协方差，即成对偏移乘积的平均数</t>
  </si>
  <si>
    <t>CRITBINOM</t>
  </si>
  <si>
    <t>返回使累积二项式分布小于等于临界值的最小值</t>
  </si>
  <si>
    <t>DEVSQ</t>
  </si>
  <si>
    <t>返回偏差的平方和</t>
  </si>
  <si>
    <t>EXPONDIST</t>
  </si>
  <si>
    <t>返回指数分布</t>
  </si>
  <si>
    <t>FDIST</t>
  </si>
  <si>
    <t>返回F概率分布</t>
  </si>
  <si>
    <t>FINV</t>
  </si>
  <si>
    <t>返回F概率分布的反函数</t>
  </si>
  <si>
    <t>FISHER</t>
  </si>
  <si>
    <t>返回Fisher变换值</t>
  </si>
  <si>
    <t>FISHERINV</t>
  </si>
  <si>
    <t>返回Fisher变换的反函数</t>
  </si>
  <si>
    <t>FORECAST</t>
  </si>
  <si>
    <t>根据线性趋势返回值</t>
  </si>
  <si>
    <t>FTEST</t>
  </si>
  <si>
    <t>返回F检验的结果</t>
  </si>
  <si>
    <t>FREQUENCY</t>
  </si>
  <si>
    <t>以垂直数组的形式返回频率分布</t>
  </si>
  <si>
    <t>GAMMADIST</t>
  </si>
  <si>
    <t>返回γ分布</t>
  </si>
  <si>
    <t>GAMMAINV</t>
  </si>
  <si>
    <t>返回γ累积分布函数的反函数</t>
  </si>
  <si>
    <t>GAMMALN</t>
  </si>
  <si>
    <t>返回γ函数的自然对数，Γ(x)</t>
  </si>
  <si>
    <t>GAMMALN.PRECISE</t>
  </si>
  <si>
    <t>返回伽玛函数的自然对数，Γ(x)</t>
  </si>
  <si>
    <t>GEOMEAN</t>
  </si>
  <si>
    <t>返回正数数组或区域的几何平均值</t>
  </si>
  <si>
    <t>GROWTH</t>
  </si>
  <si>
    <t>根据指数趋势返回值</t>
  </si>
  <si>
    <t>HARMEAN</t>
  </si>
  <si>
    <t>返回数据集合的调和平均值</t>
  </si>
  <si>
    <t>HYPGEOMDIST</t>
  </si>
  <si>
    <t>返回超几何分布</t>
  </si>
  <si>
    <t>INTERCEPT</t>
  </si>
  <si>
    <t>返回线性回归线截距</t>
  </si>
  <si>
    <t>KURT</t>
  </si>
  <si>
    <t>返回数据集的峰值</t>
  </si>
  <si>
    <t>LARGE</t>
  </si>
  <si>
    <t>返回数据集中第k个最大值</t>
  </si>
  <si>
    <t>LINEST</t>
  </si>
  <si>
    <t>返回线性趋势的参数</t>
  </si>
  <si>
    <t>LOGINV</t>
  </si>
  <si>
    <t>返回反对数正态分布</t>
  </si>
  <si>
    <t>LOGNORMDIST</t>
  </si>
  <si>
    <t>返回累积对数正态分布函数</t>
  </si>
  <si>
    <t>MAX</t>
  </si>
  <si>
    <t>返回参数列表中的最大值</t>
  </si>
  <si>
    <t>MAXA</t>
  </si>
  <si>
    <t>返回参数列表中的最大值，包括数字、文本和逻辑值</t>
  </si>
  <si>
    <t>MAXIFS</t>
  </si>
  <si>
    <t>MAXIFS 函数返回一组给定条件指定的单元格之间的最大值。</t>
  </si>
  <si>
    <t>MEDIAN</t>
  </si>
  <si>
    <t>返回给定数字的中值</t>
  </si>
  <si>
    <t>MIN</t>
  </si>
  <si>
    <t>返回参数列表中的最小值</t>
  </si>
  <si>
    <t>MINA</t>
  </si>
  <si>
    <t>返回参数列表中的最小值，包括数字、文本和逻辑值</t>
  </si>
  <si>
    <t>MINIFS</t>
  </si>
  <si>
    <t>返回一组给定条件或标准指定的单元格之间的最小值</t>
  </si>
  <si>
    <t>MODE</t>
  </si>
  <si>
    <t>返回数据集中出现最多的值间的概率</t>
  </si>
  <si>
    <t>NEGBINOMDIST</t>
  </si>
  <si>
    <t>返回负二项式分布</t>
  </si>
  <si>
    <t>NORMDIST</t>
  </si>
  <si>
    <t>返回正态累积分布</t>
  </si>
  <si>
    <t>NORMINV</t>
  </si>
  <si>
    <t>返回反正态累积分布</t>
  </si>
  <si>
    <t>NORMSDIST</t>
  </si>
  <si>
    <t>返回标准正态累积分布</t>
  </si>
  <si>
    <t>NORMSINV</t>
  </si>
  <si>
    <t>返回反标准正态累积分布</t>
  </si>
  <si>
    <t>PEARSON</t>
  </si>
  <si>
    <t>返回Pearson乘积矩相关系数</t>
  </si>
  <si>
    <t>PERCENTILE</t>
  </si>
  <si>
    <t>返回区域中的第k个百分位值</t>
  </si>
  <si>
    <t>PERCENTRANK</t>
  </si>
  <si>
    <t>返回数据集中值的百分比排位</t>
  </si>
  <si>
    <t>PERMUT</t>
  </si>
  <si>
    <t>返回从给定数目的对象集合中选择的若干对象的排列数</t>
  </si>
  <si>
    <t>POISSON</t>
  </si>
  <si>
    <t>返回Poisson分布</t>
  </si>
  <si>
    <t>PROB</t>
  </si>
  <si>
    <t>返回区域中的数值落在指定区间内的对应概率</t>
  </si>
  <si>
    <t>QUARTILE</t>
  </si>
  <si>
    <t>返回数据集的四分位数</t>
  </si>
  <si>
    <t>RANK</t>
  </si>
  <si>
    <t>返回某数在数字列表中的排位</t>
  </si>
  <si>
    <t>RANK.EQ</t>
  </si>
  <si>
    <t>返回数字排位：是其大小与其他值的比值；多个值相同的排位，返回平均排位</t>
  </si>
  <si>
    <t>RANK.AVG</t>
  </si>
  <si>
    <t>返回指定的数据集合计算数字排位</t>
  </si>
  <si>
    <t>RSQ</t>
  </si>
  <si>
    <t>返回Pearson乘积矩相关系数的平方</t>
  </si>
  <si>
    <t>SLOPE</t>
  </si>
  <si>
    <t>返回线性回归直线的斜率</t>
  </si>
  <si>
    <t>SMALL</t>
  </si>
  <si>
    <t>返回数据集中的第k个最小值</t>
  </si>
  <si>
    <t>STANDARDIZE</t>
  </si>
  <si>
    <t>返回正态化数值</t>
  </si>
  <si>
    <t>STDEV</t>
  </si>
  <si>
    <t>基于样本估算标准偏差</t>
  </si>
  <si>
    <t>STDEVA</t>
  </si>
  <si>
    <t>基于样本估算标准偏差，包括数字、文本和逻辑值</t>
  </si>
  <si>
    <t>STDEVP</t>
  </si>
  <si>
    <t>计算基于整个样本总体的标准偏差</t>
  </si>
  <si>
    <t>STDEVPA</t>
  </si>
  <si>
    <t>计算整个样本总体的标准偏差，包括数字、文本和逻辑值</t>
  </si>
  <si>
    <t>TDIST</t>
  </si>
  <si>
    <t>返回学生的t分布</t>
  </si>
  <si>
    <t>TINV</t>
  </si>
  <si>
    <t>返回学生的t分布的反分布</t>
  </si>
  <si>
    <t>TREND</t>
  </si>
  <si>
    <t>返回沿线性趋势的值</t>
  </si>
  <si>
    <t>TRIMMEAN</t>
  </si>
  <si>
    <t>返回数据集的内部平均值</t>
  </si>
  <si>
    <t>TTEST</t>
  </si>
  <si>
    <t>返回与学生的t检验相关的概率</t>
  </si>
  <si>
    <t>VAR</t>
  </si>
  <si>
    <t>基于样本估算方差</t>
  </si>
  <si>
    <t>VARA</t>
  </si>
  <si>
    <t>基于样本估算方差，包括数字、文本和逻辑值</t>
  </si>
  <si>
    <t>VARP</t>
  </si>
  <si>
    <t>基于整个样本总体计算方差</t>
  </si>
  <si>
    <t>VARPA</t>
  </si>
  <si>
    <t>基于整个样本总体计算方差，包括数字、文本和逻辑值</t>
  </si>
  <si>
    <t>WEIBULL</t>
  </si>
  <si>
    <t>返回Weibull分布</t>
  </si>
  <si>
    <t>ZTEST</t>
  </si>
  <si>
    <t>返回z检验的单尾概率值</t>
  </si>
  <si>
    <t>ACCRINTM</t>
  </si>
  <si>
    <t>返回到期付息有价证券的应计利息</t>
  </si>
  <si>
    <t>DB</t>
  </si>
  <si>
    <t>使用固定余额递减法，返回一笔资产在指定期间内的折旧值</t>
  </si>
  <si>
    <t>DDB</t>
  </si>
  <si>
    <t>使用双倍余额递减法或其他指定方法，返回一笔资产在指定期间内的折旧值</t>
  </si>
  <si>
    <t>FV</t>
  </si>
  <si>
    <t>返回投资的未来值</t>
  </si>
  <si>
    <t>IPMT</t>
  </si>
  <si>
    <t>返回给定期间内投资的利息偿还额</t>
  </si>
  <si>
    <t>IRR</t>
  </si>
  <si>
    <t>返回一系列现金流的内部收益率</t>
  </si>
  <si>
    <t>ISPMT</t>
  </si>
  <si>
    <t>计算在投资的特定期间内支付的利息</t>
  </si>
  <si>
    <t>MIRR</t>
  </si>
  <si>
    <t>返回正负现金流在不同利率下支付的内部收益率</t>
  </si>
  <si>
    <t>NPER</t>
  </si>
  <si>
    <t>返回投资的期数</t>
  </si>
  <si>
    <t>NPV</t>
  </si>
  <si>
    <t>基于一系列定期的现金流和贴现率，返回一项投资的净现值</t>
  </si>
  <si>
    <t>PMT</t>
  </si>
  <si>
    <t>返回年金的定期付款额</t>
  </si>
  <si>
    <t>PPMT</t>
  </si>
  <si>
    <t>返回投资在某一给定期间内的本金偿还额</t>
  </si>
  <si>
    <t>PV</t>
  </si>
  <si>
    <t>返回投资的现值</t>
  </si>
  <si>
    <t>RATE</t>
  </si>
  <si>
    <t>返回年金的各期利率</t>
  </si>
  <si>
    <t>SLN</t>
  </si>
  <si>
    <t>返回一项资产在一个期间中的线性折旧费</t>
  </si>
  <si>
    <t>SYD</t>
  </si>
  <si>
    <t>返回某项资产按年限总和折旧法计算的指定期间的折旧值</t>
  </si>
  <si>
    <t>VDB</t>
  </si>
  <si>
    <t>使用余额递减法，返回指定期间内或部分期间内的某项资产折旧值</t>
  </si>
  <si>
    <t>ADDRESS</t>
  </si>
  <si>
    <t>以文本形式返回对工作表中某个单元格的引用</t>
  </si>
  <si>
    <t>AREAS</t>
  </si>
  <si>
    <t>返回引用中的区域个数</t>
  </si>
  <si>
    <t>CHOOSE</t>
  </si>
  <si>
    <t>从值的列表中选择一个值</t>
  </si>
  <si>
    <t>COLUMN</t>
  </si>
  <si>
    <t>返回引用的列标</t>
  </si>
  <si>
    <t>COLUMNS</t>
  </si>
  <si>
    <t>返回引用中的列数</t>
  </si>
  <si>
    <t>HLOOKUP</t>
  </si>
  <si>
    <t>在数组的首行查找并返回指定单元格的值</t>
  </si>
  <si>
    <t>HYPERLINK</t>
  </si>
  <si>
    <t>创建一个快捷方式（跳转），用以打开存储在网络服务器、Intranet或Internet中的文件</t>
  </si>
  <si>
    <t>INDEX</t>
  </si>
  <si>
    <t>使用索引从引用或数组中选择值</t>
  </si>
  <si>
    <t>INDIRECT</t>
  </si>
  <si>
    <t>返回由文本值表示的引用</t>
  </si>
  <si>
    <t>LOOKUP</t>
  </si>
  <si>
    <t>在向量或数组中查找值</t>
  </si>
  <si>
    <t>MATCH</t>
  </si>
  <si>
    <t>在引用或数组中查找值</t>
  </si>
  <si>
    <t>OFFSET</t>
  </si>
  <si>
    <t>从给定引用中返回引用偏移量</t>
  </si>
  <si>
    <t>ROW</t>
  </si>
  <si>
    <t>返回引用的行号</t>
  </si>
  <si>
    <t>ROWS</t>
  </si>
  <si>
    <t>返回引用中的行数</t>
  </si>
  <si>
    <t>TRANSPOSE</t>
  </si>
  <si>
    <t>返回数组的转置</t>
  </si>
  <si>
    <t>VLOOKUP</t>
  </si>
  <si>
    <t>在数组第一列中查找，然后在行之间移动以返回单元格的值</t>
  </si>
  <si>
    <t>ASC</t>
  </si>
  <si>
    <t>将字符串内的全角（双字节）英文字母或片假名更改为半角（单字节）字符</t>
  </si>
  <si>
    <t>CHAR</t>
  </si>
  <si>
    <t>返回由代码数字指定的字符</t>
  </si>
  <si>
    <t>CLEAN</t>
  </si>
  <si>
    <t>删除文本中所有打印不出的字符</t>
  </si>
  <si>
    <t>CODE</t>
  </si>
  <si>
    <t>返回文本字符串中第一个字符的数字代码</t>
  </si>
  <si>
    <t>CONCATENATE</t>
  </si>
  <si>
    <t>将若干文本项合并到一个文本项中</t>
  </si>
  <si>
    <t>CONCAT</t>
  </si>
  <si>
    <t xml:space="preserve">将多个区域和/或字符串的文本组合起来 </t>
  </si>
  <si>
    <t>DOLLAR</t>
  </si>
  <si>
    <t>按$（美元）货币格式将数字转换为文本</t>
  </si>
  <si>
    <t>EXACT</t>
  </si>
  <si>
    <t>检查两个文本值是否完全相同</t>
  </si>
  <si>
    <t>FIND</t>
  </si>
  <si>
    <t>在一文本值内查找另一文本值（区分大小写）</t>
  </si>
  <si>
    <t>FINDB</t>
  </si>
  <si>
    <t>FIXED</t>
  </si>
  <si>
    <t>将数字设置为具有固定小数位的文本格式</t>
  </si>
  <si>
    <t>LEFT</t>
  </si>
  <si>
    <t>返回文本值最左边的字符</t>
  </si>
  <si>
    <t>LEFTB</t>
  </si>
  <si>
    <t>返回文本字符串中的第一个或前几个字符</t>
  </si>
  <si>
    <t>LEN</t>
  </si>
  <si>
    <t>返回文本字符串中的字符个数</t>
  </si>
  <si>
    <t>LENB</t>
  </si>
  <si>
    <t>LOWER</t>
  </si>
  <si>
    <t>将文本转换为小写形式</t>
  </si>
  <si>
    <t>MID</t>
  </si>
  <si>
    <t>从文本字符串中的指定位置起返回特定个数的字符</t>
  </si>
  <si>
    <t>MIDB</t>
  </si>
  <si>
    <t>NUMBERSTRING</t>
  </si>
  <si>
    <t>将数字转换为中文字符串（如，大写）</t>
  </si>
  <si>
    <t>PROPER</t>
  </si>
  <si>
    <t>将文本值中每一个单词的首字母设置为大写</t>
  </si>
  <si>
    <t>PHONETIC</t>
  </si>
  <si>
    <t>连接字符串或提取文本字符串中的拼音 (furigana) 字符</t>
  </si>
  <si>
    <t>REPLACE</t>
  </si>
  <si>
    <t>替换文本内的字符</t>
  </si>
  <si>
    <t>REPLACEB</t>
  </si>
  <si>
    <t>REPT</t>
  </si>
  <si>
    <t>按给定次数重复文本</t>
  </si>
  <si>
    <t>RIGHT</t>
  </si>
  <si>
    <t>返回文本值最右边的字符</t>
  </si>
  <si>
    <t>RIGHTB</t>
  </si>
  <si>
    <t>返回文本串中最后一个或多个字符</t>
  </si>
  <si>
    <t>RMB</t>
  </si>
  <si>
    <t>按￥(RMB)货币格式将数字转换为文本</t>
  </si>
  <si>
    <t>SEARCH</t>
  </si>
  <si>
    <t>在一文本值中查找另一文本值（不区分大小写）</t>
  </si>
  <si>
    <t>SEARCHB</t>
  </si>
  <si>
    <t>SUBSTITUTE</t>
  </si>
  <si>
    <t>在文本字符串中以新文本替换旧文本</t>
  </si>
  <si>
    <t>T</t>
  </si>
  <si>
    <t>将参数转换为文本</t>
  </si>
  <si>
    <t>TEXT</t>
  </si>
  <si>
    <t>设置数字的格式并将数字转换为文本</t>
  </si>
  <si>
    <t>TEXTJOIN</t>
  </si>
  <si>
    <t>将多个区域和或字符串的文本组合起来，并在要组合的文本值之间插入指定分隔符</t>
  </si>
  <si>
    <t>TRIM</t>
  </si>
  <si>
    <t>删除文本中的空格</t>
  </si>
  <si>
    <t>UPPER</t>
  </si>
  <si>
    <t>将文本转换为大写形式</t>
  </si>
  <si>
    <t>VALUE</t>
  </si>
  <si>
    <t>将文本参数转换为数字</t>
  </si>
  <si>
    <t>WIDECHAR</t>
  </si>
  <si>
    <t>将字符串中的半角（单字节）字母转换为全角（双字节）字符</t>
  </si>
  <si>
    <t>FORMULATEXT</t>
  </si>
  <si>
    <t>返回单元格的公式文本</t>
  </si>
  <si>
    <t>AND</t>
  </si>
  <si>
    <t>如果所有参数均为TRUE，则返回TRUE</t>
  </si>
  <si>
    <t>返回逻辑值FALSE</t>
  </si>
  <si>
    <t>IF</t>
  </si>
  <si>
    <t>指定要执行的逻辑检测</t>
  </si>
  <si>
    <t>IFNA</t>
  </si>
  <si>
    <t>判断一个值是否为#N/A</t>
  </si>
  <si>
    <t>IFS</t>
  </si>
  <si>
    <t>检查是否满足一个或多个条件, 并返回与第一个 TRUE 条件对应的值</t>
  </si>
  <si>
    <t>IFERROR</t>
  </si>
  <si>
    <t>如果公式的计算结果错误，则返回您指定的值；否则返回公式的结果</t>
  </si>
  <si>
    <t>NOT</t>
  </si>
  <si>
    <t>对参数的逻辑值求反</t>
  </si>
  <si>
    <t>OR</t>
  </si>
  <si>
    <t>如果任一参数为TRUE，则返回TRUE</t>
  </si>
  <si>
    <t>返回逻辑值TRUE</t>
  </si>
  <si>
    <t>CELL</t>
  </si>
  <si>
    <t>返回有关单元格格式、位置或内容的信息</t>
  </si>
  <si>
    <t>ERROR.TYPE</t>
  </si>
  <si>
    <t>返回对应于错误类型的数字</t>
  </si>
  <si>
    <t>ISBLANK</t>
  </si>
  <si>
    <t>如果值为空，则返回TRUE</t>
  </si>
  <si>
    <t>ISERR</t>
  </si>
  <si>
    <t>如果值为除#N/A以外的任何错误值，则返回TRUE</t>
  </si>
  <si>
    <t>ISERROR</t>
  </si>
  <si>
    <t>如果值为任何错误值，则返回TRUE</t>
  </si>
  <si>
    <t>ISEVEN</t>
  </si>
  <si>
    <t>如果数字为偶数，则返回TRUE</t>
  </si>
  <si>
    <t>ISLOGICAL</t>
  </si>
  <si>
    <t>如果值为逻辑值，则返回TRUE</t>
  </si>
  <si>
    <t>ISNA</t>
  </si>
  <si>
    <t>如果值为#N/A错误值，则返回TRUE</t>
  </si>
  <si>
    <t>ISNONTEXT</t>
  </si>
  <si>
    <t>如果值不是文本，则返回TRUE</t>
  </si>
  <si>
    <t>ISNUMBER</t>
  </si>
  <si>
    <t>如果值为数字，则返回TRUE</t>
  </si>
  <si>
    <t>ISODD</t>
  </si>
  <si>
    <t>如果数字为奇数，则返回TRUE</t>
  </si>
  <si>
    <t>ISREF</t>
  </si>
  <si>
    <t>如果值为一个引用，则返回TRUE</t>
  </si>
  <si>
    <t>ISTEXT</t>
  </si>
  <si>
    <t>如果值为文本，则返回TRUE</t>
  </si>
  <si>
    <t>N</t>
  </si>
  <si>
    <t>返回转换为数字的值</t>
  </si>
  <si>
    <t>NA</t>
  </si>
  <si>
    <t>返回错误值#N/A</t>
  </si>
  <si>
    <t>TYPE</t>
  </si>
  <si>
    <t>返回表示值的数据类型的数字</t>
  </si>
  <si>
    <t>WPS公式（函数）大全——datedif</t>
  </si>
  <si>
    <t>语法：
DATEDIF函数，主要用于计算两个日期之间的天数、月数或年数。其返回的值是两个日期之间的年\月\日间隔数。
DATEDIF（Start_Date,End_Date,Unit）
Start_Date：为一个日期，它代表时间段内的第一个日期或起始日期； 
End_Date：为一个日期，它代表时间段内的最后一个日期或结束日期； 
Unit：为所需信息的返回类型。</t>
  </si>
  <si>
    <t>实例1</t>
  </si>
  <si>
    <t>计算两个日期之间时间</t>
  </si>
  <si>
    <t>开始日期</t>
  </si>
  <si>
    <t>结束日期</t>
  </si>
  <si>
    <t>参数</t>
  </si>
  <si>
    <t>说明</t>
  </si>
  <si>
    <t>时间间隔</t>
  </si>
  <si>
    <t>公式</t>
  </si>
  <si>
    <t>d</t>
  </si>
  <si>
    <t>天数</t>
  </si>
  <si>
    <t>m</t>
  </si>
  <si>
    <t>月</t>
  </si>
  <si>
    <t>y</t>
  </si>
  <si>
    <t>年</t>
  </si>
  <si>
    <t>yd</t>
  </si>
  <si>
    <t>忽略年数差，计算天数</t>
  </si>
  <si>
    <t>md</t>
  </si>
  <si>
    <t>忽略年数和月数差，计算天数差</t>
  </si>
  <si>
    <t>ym</t>
  </si>
  <si>
    <t>忽略年数差，计算月数差</t>
  </si>
  <si>
    <t>datedif 不能 计算两个时间之间的小时、分钟和秒的差距</t>
  </si>
  <si>
    <t>实例2</t>
  </si>
  <si>
    <t>根据身份证计算年龄</t>
  </si>
  <si>
    <t>身份证</t>
  </si>
  <si>
    <t>年龄</t>
  </si>
  <si>
    <t>132930195602200019</t>
  </si>
  <si>
    <t>138932198212052232</t>
  </si>
  <si>
    <t>WPS公式（函数）大全——average</t>
  </si>
  <si>
    <t xml:space="preserve">语法：
返回参数的平均值（算术平均值）。 AVERAGE(number1,number2,...) 
Number1, number2, ... 为需要计算平均值的 1 到 30 个参数。 
• 参数可以是数字，或者是包含数字的名称、数组或引用。 
• 如果数组或引用参数包含文本、逻辑值或空白单元格，则这些值将被忽略；但包含零值的单元格将计算在内。 
当对单元格中的数值求平均值时，应牢记空白单元格与含零值单元格的区别，尤其在“选项”对话框中的“视图”选项卡上已经清除了“零值”复选框的条件下，空白单元格不计算在内，但计算零值。若要查看“选项”对话框，单击“工具”菜单中的“选项”。 </t>
  </si>
  <si>
    <t>数据</t>
  </si>
  <si>
    <t>计算平均值</t>
  </si>
  <si>
    <t>WPS公式（函数）大全——year</t>
  </si>
  <si>
    <t xml:space="preserve">语法：
返回某日期对应的年份。返回值为 1900 到 9999 之间的整数。 
YEAR(serial_number) 
Serial_number 表示一个日期值，其中包含要查找的年份。应使用 DATE 函数来输入日期，或者将日期作为其他公式或函数的结果输入。例如，使用 DATE(2008,5,23) 输入 2008 年 5 月 23 日。如果日期以文本的形式输入，则会出现问题。 
WPS表格 可将日期存储为可用于计算的序列号。默认情况下，1900 年 1 月 1 日的序列号是 1 ，而 2008 年 1 月 1 日的序列号是 39448，这是因为它距1900 年 1 月 1 日有 39448 天。 </t>
  </si>
  <si>
    <t>日期/序列号</t>
  </si>
  <si>
    <t>返回年份</t>
  </si>
  <si>
    <t>WPS公式（函数）大全——rept</t>
  </si>
  <si>
    <t xml:space="preserve">语法：
按照给定的次数重复显示文本。可以通过函数 REPT 来不断地重复显示某一文本字符串，对单元格进行填充。
REPT(text,number_times)
Text   需要重复显示的文本。
如果 number_times 为 0，则 REPT 返回 ""（空文本）。 
如果 number_times 不是整数，则将被截尾取整。 
REPT 函数的结果不能大于 32,767 个字符，否则，REPT 将返回错误值 #VALUE!。 </t>
  </si>
  <si>
    <t>结果</t>
  </si>
  <si>
    <t>字符串显示 3 次 (*-*-*-)</t>
  </si>
  <si>
    <t>短划线显示 10 次 (----------)</t>
  </si>
  <si>
    <t>利用rept函数做条形图</t>
  </si>
  <si>
    <t>姓名</t>
  </si>
  <si>
    <t>分数</t>
  </si>
  <si>
    <t>条形图</t>
  </si>
  <si>
    <t>张冠男梦</t>
  </si>
  <si>
    <t>李自成</t>
  </si>
  <si>
    <t>岳小林</t>
  </si>
  <si>
    <t>马明轩</t>
  </si>
  <si>
    <t>黄轩</t>
  </si>
  <si>
    <t>WPS公式（函数）大全——weeknum</t>
  </si>
  <si>
    <t xml:space="preserve">语法：
返回一个数字，该数字代表一年中的第几周。 
WEEKNUM(serial_num,return_type) 
Serial_num 代表一周中的日期。应使用 DATE 函数来输入日期，或者将日期作为其他公式或函数的结果输入。例如，使用 DATE(2008,5,23) 输入 2008 年 5 月 23 日。如果日期以文本的形式输入，则会出现问题。 
Return_type 为一数字，确定星期计算从哪一天开始。默认值为 1。 
Serial_num 星期开始于
1 星期从星期日开始。星期内的天数从1到7记数。
2 星期从星期一开始。星期内的天数从1到7记数。
</t>
  </si>
  <si>
    <t>第几周</t>
  </si>
  <si>
    <t xml:space="preserve"> 一年中的周数，一周开始于星期日(32)</t>
  </si>
  <si>
    <t xml:space="preserve"> 一年中的周数，一周开始于星期一(31)</t>
  </si>
  <si>
    <t>今天是第几周</t>
  </si>
  <si>
    <t xml:space="preserve">语法：
对以文字表示的一个公式或表达式求值，并返回结果。  
EVALUATE(formula_text) 
formula_text 是一个要求值的以文字形式表示的表达式。(比如 100*30*20+40^2 等这些以文字形式的表达式。) 
说明 
使用EVALUATE类似于在编辑栏的公式内选定一个表达式并按下了［重新计算］键。
EVALUATE 用一个值来替换一个表达式。
</t>
  </si>
  <si>
    <t>文本</t>
  </si>
  <si>
    <t>值</t>
  </si>
  <si>
    <t>sum(2,3,45)</t>
  </si>
  <si>
    <t>2*3+4*5</t>
  </si>
  <si>
    <t>"张三"&amp;"李四"</t>
  </si>
  <si>
    <t>张珊</t>
  </si>
  <si>
    <t>WPS公式（函数）大全——numberstring</t>
  </si>
  <si>
    <t>语法：
将小写数字转换成中文大写数字
NUMBERSTRING(VALUE,TYPE)
value：要转化的数字
type：返回结果的类型，有三种：1，2，3</t>
  </si>
  <si>
    <t>WPS公式（函数）大全——pearson</t>
  </si>
  <si>
    <t>语法：
返回 Pearson（皮尔生）乘积矩相关系数 r，这是一个范围在 -1.0 到 1.0 之间（包括 -1.0 和 1.0 在内）的无量纲指数，反映了两个数据集合之间的线性相关程度。 
PEARSON(array1,array2) 
Array1 自变量集合。 
Array2 因变量集合。 
参数可以是数字，或是包含数字的名称、数组常量或引用。
若数组或引用参数包含文本、逻辑值或空白单元格，则这些值将被忽略；但包含零值的单元格将计算在内。
若 array1 和 array2 为空或其数据点个数不同，则 PEARSON 返回错误值 #N/A</t>
  </si>
  <si>
    <r>
      <rPr>
        <b/>
        <sz val="9"/>
        <color rgb="FF000000"/>
        <rFont val="微软雅黑"/>
        <charset val="134"/>
      </rPr>
      <t>自变量值</t>
    </r>
    <r>
      <rPr>
        <sz val="9"/>
        <color rgb="FF000000"/>
        <rFont val="微软雅黑"/>
        <charset val="134"/>
      </rPr>
      <t> </t>
    </r>
  </si>
  <si>
    <t>因变量值</t>
  </si>
  <si>
    <t>公式 </t>
  </si>
  <si>
    <t>说明（结果）</t>
  </si>
  <si>
    <t>上面数据集的 Pearson（皮尔生）积矩法相关系数 (0.328316315)</t>
  </si>
  <si>
    <t>WPS公式（函数）大全——row</t>
  </si>
  <si>
    <t xml:space="preserve">语法：
返回引用的行号。
ROW(reference)
Reference   为需要得到其行号的单元格或单元格区域。
如果省略 reference，则假定是对函数 ROW 所在单元格的引用。 
如果 reference 为一个单元格区域，并且函数 ROW 作为垂直数组（ 用于建立可生成多个结果或可对在行和列中排列的一组参数进行运算的单个公式。数组区域共用一个公式；数组常量是用作参数的一组常量）键入，则函数 ROW 将 reference 的行号以垂直数组的形式返回。 
Reference 不能引用多个区域。 </t>
  </si>
  <si>
    <t>公式所在行的行号 (2)</t>
  </si>
  <si>
    <t>引用所在行的行号 (10)</t>
  </si>
  <si>
    <t>引用中的第一行的行号 (4)</t>
  </si>
  <si>
    <t>WPS公式（函数）大全——pmt</t>
  </si>
  <si>
    <t>语法：
基于固定利率及等额分期付款方式，返回贷款的每期付款额。
PMT(rate,nper,pv,fv,type)
有关函数 PMT 中参数的详细说明，请参阅函数 PV。
rate 贷款利率。
nper 该项贷款的付款总数。
pv 现值，或一系列未来付款的当前值的累积和，也称为本金。
fv 为未来值，或在最后一次付款后希望得到的现金余额，如果省略 fv，则假设其值为零，也就是一笔贷款的未来值为零。
type 数字 0 或 1，用以指定各期的付款时间是在期初还是期末。
 Type 值 支付时间 
 0 或省略 期末 
 1 期初  
PMT 返回的支付款项包括本金和利息，但不包括税款、保留支付或某些与贷款有关的费用。 
应确认所指定的 rate 和 nper 单位的一致性。例如，同样是四年期年利率为 12% 的贷款，如果按月支付，rate 应为 12%/12，nper 应为 4*12；如果按年支付，rate 应为 12%，nper 为 4。 
注意 如果要计算贷款期间的支付总额，请用 PMT 返回值乘以 nper。</t>
  </si>
  <si>
    <t>年利率</t>
  </si>
  <si>
    <t>支付的月份数</t>
  </si>
  <si>
    <t>贷款额</t>
  </si>
  <si>
    <t>在上述条件下贷款的月支付额 (-1,233.25)</t>
  </si>
  <si>
    <t>在上述条件下贷款的月支付额，不包括支付期限在期初的支付额 (-1,227.11)</t>
  </si>
  <si>
    <t>还可以使用 PMT 来计算除贷款之外其他年金的支付额。</t>
  </si>
  <si>
    <t>A</t>
  </si>
  <si>
    <t>B</t>
  </si>
  <si>
    <t>计划储蓄的年数</t>
  </si>
  <si>
    <t>10 年内计划储蓄的数额</t>
  </si>
  <si>
    <t>为 10 年后最终得到 60,000，每个月应存的数额 (-407.47)</t>
  </si>
  <si>
    <r>
      <rPr>
        <b/>
        <sz val="9"/>
        <color theme="1"/>
        <rFont val="微软雅黑"/>
        <charset val="134"/>
      </rPr>
      <t>注意</t>
    </r>
    <r>
      <rPr>
        <sz val="9"/>
        <color theme="1"/>
        <rFont val="微软雅黑"/>
        <charset val="134"/>
      </rPr>
      <t xml:space="preserve"> 利率除以 12 得到月利率。支付的年数乘以 12 得到支付的次数。</t>
    </r>
  </si>
  <si>
    <t>WPS公式（函数）大全——ispmt</t>
  </si>
  <si>
    <t xml:space="preserve">语法：
计算特定投资期内要支付的利息。提供此函数是为了与 Microsoft Excel 兼容。
ISPMT(rate,per,nper,pv)
rate 为各期利率
per 用于计算其利息数额的期数，必须在 1 到 nper 之间。
nper 为总投资期，即该项投资的付款期总数。
pv 为投资的当前值。对于贷款，pv 为贷款数额。
应确认所指定的 rate 和 nper 单位的一致性。例如，同样是四年期年利率为 12% 的贷款，如果按月支付，rate 应为 12%/12，nper 应为 4*12；如果按年支付，rate 应为 12%，nper 为 4。 
对所有参数，都以负数代表现金支出（如存款或他人取款），以正数代表现金收入（如股息分红或他人存款）。 
有关财务函数的其他信息，请参阅 PV 函数。 </t>
  </si>
  <si>
    <t>期数</t>
  </si>
  <si>
    <t>投资的年限</t>
  </si>
  <si>
    <t>贷款的现值</t>
  </si>
  <si>
    <t>在上述条件下对贷款第一个月支付的利息 (-78.67)</t>
  </si>
  <si>
    <t>在上述条件下对贷款第一年支付的利息 (-768.00)</t>
  </si>
  <si>
    <t>WPS公式（函数）大全——vara</t>
  </si>
  <si>
    <t xml:space="preserve">语法：
计算基于给定样本的方差。不仅数字，文本值和逻辑值（如 TRUE 和 FALSE）也将计算在内。
VARA(value1,value2,...)
Value1,value2,...     对应于总体样本的 1 到 30 个参数。
函数 VARA 假设参数为总体的一个样本。若数据代表的是样本总体，则必须使用函数 VARPA 来计算方差。 
包含 TRUE 的参数作为 1 计算；包含文本或 FALSE 的参数作为 0 计算。若在计算中不能包含文本值或逻辑值，请使用 VAR 工作表函数来代替。 
函数 VARA 的计算公式如下： 
          其中 x 是样本平均值 AVERAGE(value1,value2,…) 且 n 是样本大小。
</t>
  </si>
  <si>
    <t>强度</t>
  </si>
  <si>
    <t>计算抗断强度的方差 (2917.3888889)</t>
  </si>
  <si>
    <t>WPS公式（函数）大全——even</t>
  </si>
  <si>
    <t xml:space="preserve">语法：
返回沿绝对值增大方向取整后最接近的偶数。使用该函数可以处理那些成对出现的对象。例如，一个包装箱一行可以装一宗或两宗货物，只有当这些货物的宗数向上取整到最近的偶数，与包装箱的容量相匹配时，包装箱才会装满。
EVEN（number）
Number    是将进行四舍五入的数值。
如果 Number 为非数值参数，则 EVEN 返回错误值 #VALUE!。 
不论 Number 的正负号如何，函数都向远离零的方向舍入，如果 Number 恰好是偶数，则无需进行任何舍入处理。 </t>
  </si>
  <si>
    <t>此函数表示将 1.5 沿绝对值增大的方向向上舍入后最接近的偶数 (2)</t>
  </si>
  <si>
    <t>此函数表示将 3 沿绝对值增大的方向向上舍入后最接近的偶数 (4)</t>
  </si>
  <si>
    <t>此函数表示将 2 沿绝对值增大的方向向上舍入后最接近的偶数 (2)</t>
  </si>
  <si>
    <t>此函数表示将 -1 沿绝对值增大的方向向上舍入后最接近的偶数 (-2)</t>
  </si>
  <si>
    <t>WPS公式（函数）大全——iseven</t>
  </si>
  <si>
    <t>语法：
如果参数 number 为偶数，返回 TRUE，否则返回 FALSE。
如果该函数不可用，并返回错误值 #NAME? 。
ISEVEN(number)
Number   待测试的数值。如果参数值不是整数，则截尾取整。
如果参数 number 为非数值型，函数 ISEVEN 返回错误值 #VALUE!。</t>
  </si>
  <si>
    <t>检查 -1 是否为偶数 (FALSE)</t>
  </si>
  <si>
    <t>检查 2.5 是否为偶数 (TRUE)</t>
  </si>
  <si>
    <t>检查 5 是否为偶数 (FALSE)</t>
  </si>
  <si>
    <t>WPS公式（函数）大全——fv</t>
  </si>
  <si>
    <t xml:space="preserve">语法：
基于固定利率及等额分期付款方式，返回某项投资的未来值。
FV(rate,nper,pmt,pv,type)
有关函数 FV 中参数的详细说明，请参阅函数 PV。
rate 为各期利率。nper 为总投资（或贷款）期，即该项投资（或贷款）的付款期总数。
pmt 为各期所应支付的金额，其数值在整个年金期间保持不变。通常 pmt 包括本金和利息，但不包括其他费用及税款。如果忽略 pmt，则必须包含 pv 参数。
pv 为现值，即从该项投资开始计算时已经入帐的款项，或一系列未来付款的当前值的累积和，也称为本金。如果省略 PV，则假设其值为零，并且必须包括 pmt 参数。
type 数字 0 或 1，用以指定各期的付款时间是在期初还是期末。
 Type 值 支付时间 
 0 或省略 期末 
 1 期初  
应确认所指定的 rate 和 nper 单位的一致性。例如，同样是四年期年利率为 12% 的贷款，如果按月支付，rate 应为 12%/12，nper 应为 4*12；如果按年支付，rate 应为 12%，nper 为 4。 
在所有参数中，支出的款项，如银行存款，表示为负数；收入的款项，如股息收入，表示为正数。 </t>
  </si>
  <si>
    <t>付款期总数</t>
  </si>
  <si>
    <t>各期应付金额</t>
  </si>
  <si>
    <t>现值</t>
  </si>
  <si>
    <t>各期的支付时间在期初（请参见上面的信息）</t>
  </si>
  <si>
    <t>在上述条件下投资的未来值 (6,062.35)</t>
  </si>
  <si>
    <t>在上述条件下投资的未来值 (65,312.89)</t>
  </si>
  <si>
    <r>
      <rPr>
        <b/>
        <sz val="9"/>
        <color theme="1"/>
        <rFont val="微软雅黑"/>
        <charset val="134"/>
      </rPr>
      <t>注意</t>
    </r>
    <r>
      <rPr>
        <sz val="9"/>
        <color theme="1"/>
        <rFont val="微软雅黑"/>
        <charset val="134"/>
      </rPr>
      <t xml:space="preserve"> 上述示例中，年利率应除以 12，因为它是按月计复利而得的。</t>
    </r>
  </si>
  <si>
    <t>WPS公式（函数）大全——rsq</t>
  </si>
  <si>
    <t>语法：
返回根据 known_y's 和 known_x's 中数据点计算得出的 Pearson 乘积矩相关系数的平方。有关详细信息，请参阅函数 REARSON。R 平方值可以解释为 y 方差与 x 方差的比例。
RSQ(known_y's,known_x's)
Known_y's     数组或数据点区域。
Known_x's     数组或数据点区域。
参数可以是数字，或是包含数字的名称、数组或引用。 
若数组或引用参数包含文本、逻辑值或空白单元格，则这些值将被忽略；但包含零值的单元格将计算在内。 
若 known_y's 和 known_x's 为空或其数据点个数不同，则 RSQ 返回错误值 #N/A。 
Pearson 乘积矩相关系数 r 的计算公式如下： 
          其中 x 和 y 为样本平均数 AVERAGE(known_x's) 和 AVERAGE(known_y's)。
          RSQ 返回 r2，即相关系数的平方。</t>
  </si>
  <si>
    <t>已知 y</t>
  </si>
  <si>
    <t>已知 x</t>
  </si>
  <si>
    <t>根据以上数据点计算得出的 Pearson 积矩法相关系数的平方 (0.107791603)</t>
  </si>
  <si>
    <t>WPS公式（函数）大全——sumsq</t>
  </si>
  <si>
    <t>语法：
返回所有参数的平方和。
SUMSQ (number1, number2, ...)
Number1, number2, ...   是一组用于计算平方和的参数，参数的个数可以为 1 到30个。参数可以是数值、数组、名称，或者是对数值单元格的引用。</t>
  </si>
  <si>
    <t>2 和 7 的平方和 (53)</t>
  </si>
  <si>
    <t>WPS公式（函数）大全——quotient</t>
  </si>
  <si>
    <t>语法：
返回商的整数部分，该函数可用于舍掉商的小数部分。
QUOTIENT（numerator,denominator）
Numerator    被除数。
Denominator    除数
如果任一参数为非数值型，则函数 QUOTIENT 返回错误值 #VALUE!。</t>
  </si>
  <si>
    <t>8/3的整数部分(2)</t>
  </si>
  <si>
    <t>5.5/2.7的整数部分(2)</t>
  </si>
  <si>
    <t>-11/4的整数部分(-2)</t>
  </si>
  <si>
    <t>WPS公式（函数）大全——pv</t>
  </si>
  <si>
    <t>语法：
返回投资的现值。现值为一系列未来付款的当前值的累积和。例如，借入方的借入款即为贷出方贷款的现值。
PV(rate,nper,pmt,fv,type)
rate 为各期利率。例如，如果按 12% 的年利率借入一笔贷款来购买汽车，并按月偿还贷款，则月利率为 12%/12（即 1%）。可以在公式中键入 12%/12、1% 或 0.01 作为 rate 的值。
nper 为总投资（或贷款）期，即该项投资（或贷款）的付款期总数。例如，对于一笔 5 年期按月偿还的汽车贷款，共有 5*12（即 60）个偿款期数。可以在公式中键入 60 作为 nper 的值。
pmt 为各期所应支付的金额，其数值在整个年金期间保持不变。通常 pmt 包括本金和利息，但不包括其他费用及税款。例如，$10,000 的年利率为 12% 的四年期汽车贷款的月偿还额为 $263.33。可以在公式中键入 -263.33 作为 pmt 的值。如果忽略 pmt，则必须包含 fv 参数。
fv 为未来值，或在最后一次支付后希望得到的现金余额，如果省略 fv，则假设其值为零（一笔贷款的未来值即为零）。例如，如果需要在 12 年后支付 $60,000，则 $60,000 就是未来值。可以根据保守估计的利率来决定每月的存款额。如果忽略 fv，则必须包含 pmt 参数。
type 数字 0 或 1，用以指定各期的付款时间是在期初还是期末。</t>
  </si>
  <si>
    <t xml:space="preserve">
应确认所指定的 rate 和 nper 单位的一致性。例如，同样是四年期年利率为 12% 的贷款，如果按月支付，rate 应为 12%/12，nper 应为 4*12；如果按年支付，rate 应为 12%，nper 为 4。 
以下函数应用于年金： 
CUMIPMT、PPMT、CUMPRINC、PV、FV、RATE、FVSCHEDULE、XIRR、IPMT、XNPV、PMT
年金是在一段连续期间内的一系列固定的现金付款。例如汽车贷款或抵押贷款就是年金。有关详细信息，请参阅各年金函数的详细说明。 
在年金函数中，支出的款项，如银行存款，表示为负数；收入的款项，如股息收入，表示为正数。例如，对于储户来说，$1000 银行存款可表示为参数 -1,000，而对于银行来说该参数为 1,000。 
下面列出的是 WPS表格 进行财务运算的公式，如果 rate 不为 0，则： 
如果 rate 为 0，则： 
(pmt * nper) + pv + fv = 0 
</t>
  </si>
  <si>
    <t>每月底一项保险年金的支出</t>
  </si>
  <si>
    <t>投资收益率</t>
  </si>
  <si>
    <t>付款的年限</t>
  </si>
  <si>
    <t>在上述条件下年金的现值 (-33,470.61)。</t>
  </si>
  <si>
    <t>WPS公式（函数）大全——ppmt</t>
  </si>
  <si>
    <t>语法：
基于固定利率及等额分期付款方式，返回投资在某一给定期间内的本金偿还额。
PPMT(rate,per,nper,pv,fv,type)
有关函数 PPMT 中参数的详细说明，请参阅函数 PV。
rate 贷款利率。
per 用于计算其本金数额的期数，必须介于 1 到 nper 之间。
nper 为总投资期，即该项投资的付款期总数。
pv 为现值，即从该项投资开始计算时已经入帐的款项，或一系列未来付款当前值的累积和，也称为本金。
fv 为未来值，或在最后一次付款后希望得到的现金余额，如果省略 fv，则假设其值为零，也就是一笔贷款的未来值为零。
type 数字 0 或 1，用以指定各期的付款时间是在期初还是期末。</t>
  </si>
  <si>
    <t xml:space="preserve">
应确认所指定的 rate 和 nper 单位的一致性。例如，同样是四年期年利率为 12% 的贷款，如果按月支付，rate 应为 12%/12，nper 应为 4*12；如果按年支付，rate 应为 12%，nper 为 4。
</t>
  </si>
  <si>
    <t>贷款期限</t>
  </si>
  <si>
    <t>贷款第一个月的本金支付 (-305.06)</t>
  </si>
  <si>
    <r>
      <rPr>
        <b/>
        <sz val="9"/>
        <color theme="1"/>
        <rFont val="微软雅黑"/>
        <charset val="134"/>
      </rPr>
      <t>注意</t>
    </r>
    <r>
      <rPr>
        <sz val="9"/>
        <color theme="1"/>
        <rFont val="微软雅黑"/>
        <charset val="134"/>
      </rPr>
      <t xml:space="preserve"> 利率除以 12 得到月利率。付款的年数乘以 12 得到付款的次数。</t>
    </r>
  </si>
  <si>
    <t>贷款最后一年的本金支付 (-4,235.21)</t>
  </si>
  <si>
    <t>WPS公式（函数）大全——multinomial</t>
  </si>
  <si>
    <t xml:space="preserve">语法：
返回参数和的阶乘与各参数阶乘乘积的比值。
MULTINOMIAL (number1,number2, ...）
number1,number2, ...    可用于进行函数 Multinomial 运算的 1 至 255 个值。
如果有参数为非数值型，函数 MULTINOMIAL 返回错误值 #VALUE!。 
如果有小于 0 的参数，函数 MULTINOMIAL 返回错误值 #NUM!。 </t>
  </si>
  <si>
    <t>1、2、3 之和的阶乘与各阶乘乘积的比值 (60)</t>
  </si>
  <si>
    <t>WPS公式（函数）大全——percentrank</t>
  </si>
  <si>
    <t xml:space="preserve">语法：
返回特定数值在一个数据集中的百分比排位。此函数可用于查看特定数据在数据集中所处的位置。例如，可以使用函数 PERCENTRANK 计算某个特定的能力测试得分在所有的能力测试得分中的位置。
PERCENTRANK(array,x,significance)
Array     定义相对位置的数组或数字区域。
X     数组中需要得到其排位的值。
Significance     可选，一个用来标识返回的百分比值的有效位数的值。如果省略，函数 PERCENTRANK 保留三位小数。
若数组为空，则 PERCENTRANK 返回错误值 #NUM!。 
若 significane &lt; 1，则 PERCENTRANK 返回错误值 #NUM!。 
若数组里没有与 x 相匹配的值，则 PERCENTRANK 将进行插值以返回正确的百分比排位。 </t>
  </si>
  <si>
    <t>2 在上面数据列表中的百分比排位（0.222，因为该数据集中小于 2 的值有 2 个，而大于 2 的值有 7 个，因此为 2/(2+7)=0.222）</t>
  </si>
  <si>
    <t>4 在上面数据列表中的百分比排位 (0.481)</t>
  </si>
  <si>
    <t>8 在上面数据列表中的百分比排位 (0.722)</t>
  </si>
  <si>
    <t>5 在上面数据列表中的百分比排位（0.518，在 4 的 PERCENTRANK 和 8 的 PERCENTRANK 之间有四分之一的百分比排位）</t>
  </si>
  <si>
    <t>WPS公式（函数）大全——mirr</t>
  </si>
  <si>
    <t xml:space="preserve">语法：
返回某一连续期间内现金流的修正内部收益率。函数 MIRR 同时考虑了投资的成本和现金再投资的收益率。
MIRR(values,finance_rate,reinvest_rate)
values 为一个数组或对包含数字的单元格的引用。这些数值代表着各期的一系列支出（负值）及收入（正值）。
参数 Values 中必须至少包含一个正值和一个负值，才能计算修正后的内部收益率，否则函数 MIRR 会返回错误值 #DIV/0!。 
如果数组或引用参数包含文本、逻辑值或空白单元格，则这些值将被忽略；但包含零值的单元格将计算在内。 
finance_rate 为现金流中使用的资金支付的利率。
reinvest_rate 为将现金流再投资的收益率。
函数 MIRR 根据键入值的次序来解释现金流的次序。所以，务必按照实际的顺序键入支出和收入数额，并使用正确的正负号（现金流入用正值，现金流出用负值）。 
如果现金流的次数为 n，finance_rate 为 frate 而 reinvest_rate 为 rrate，则函数 MIRR 的计算公式为：
</t>
  </si>
  <si>
    <t>资产原值</t>
  </si>
  <si>
    <t>第一年的收益</t>
  </si>
  <si>
    <t>第二年的收益</t>
  </si>
  <si>
    <t>第三年的收益</t>
  </si>
  <si>
    <t>第四年的收益</t>
  </si>
  <si>
    <t>第五年的收益</t>
  </si>
  <si>
    <t>120,000 贷款额的年利率</t>
  </si>
  <si>
    <t>再投资收益的年利率</t>
  </si>
  <si>
    <t>五年后投资的修正收益率 (7%)</t>
  </si>
  <si>
    <t>三年后的修正收益率 (-9%)</t>
  </si>
  <si>
    <t>五年的修正收益率（基于 8% 的再投资收益率）(6%)</t>
  </si>
  <si>
    <t>WPS公式（函数）大全——irr</t>
  </si>
  <si>
    <t>语法：
返回由数值代表的一组现金流的内部收益率。这些现金流不必为均衡的，但作为年金，它们必须按固定的间隔产生，如按月或按年。内部收益率为投资的回收利率，其中包含定期支付（负值）和定期收入（正值）。
IRR(values,guess)
values 为数组或单元格的引用，包含用来计算返回的内部收益率的数字。
Values 必须包含至少一个正值和一个负值，以计算返回的内部收益率。 
函数 IRR 根据数值的顺序来解释现金流的顺序。故应确定按需要的顺序键入了支付和收入的数值。 
如果数组或引用包含文本、逻辑值或空白单元格，这些数值将被忽略。 
guess 为对函数 IRR 计算结果的估计值。
WPS表格 使用迭代法计算函数 IRR。从 guess 开始，函数 IRR 进行循环计算，直至结果的精度达到 0.00001%。如果函数 IRR 经过 20 次迭代，仍未找到结果，则返回错误值 #NUM!。 
在大多数情况下，并不需要为函数 IRR 的计算提供 guess 值。如果省略 guess，假设它为 0.1 (10%)。 
如果函数 IRR 返回错误值 #NUM!，或结果没有靠近期望值，可用另一个 guess 值再试一次。 
函数 IRR 与函数 NPV（净现值函数）的关系十分密切。函数 IRR 计算出的收益率即净现值为 0 时的利率。下面的公式显示了函数 NPV 和函数 IRR 的相互关系：
    NPV(IRR(B1:B6),B1:B6) 等于 3.60E-08（在函数 IRR 计算的精度要求之中，数值 3.60E-08 可以当作 0 的有效值）。</t>
  </si>
  <si>
    <t>某项业务的初期成本费用</t>
  </si>
  <si>
    <t>第一年的净收入</t>
  </si>
  <si>
    <t>第二年的净收入</t>
  </si>
  <si>
    <t>第三年的净收入</t>
  </si>
  <si>
    <t>第四年的净收入</t>
  </si>
  <si>
    <t>第五年的净收入</t>
  </si>
  <si>
    <t>投资四年后的内部收益率 (-2%)</t>
  </si>
  <si>
    <t>五年后的内部收益率 (10%)</t>
  </si>
  <si>
    <t>若要计算两年后的内部收益率，需包含一个估计值 (-46%)</t>
  </si>
  <si>
    <t>WPS公式（函数）大全——ipmt</t>
  </si>
  <si>
    <t xml:space="preserve">语法：
基于固定利率及等额分期付款方式，返回给定期数内对投资的利息偿还额。
IPMT(rate,per,nper,pv,fv,type)
rate 为各期利率
per 用于计算其利息数额的期数，必须在 1 到 nper 之间。
nper 为总投资期，即该项投资的付款期总数。
pv 为现值，即从该项投资开始计算时已经入帐的款项，或一系列未来付款的当前值的累积和，也称为本金。
fv 为未来值，或在最后一次付款后希望得到的现金余额。如果省略 fv，则假设其值为零（例如，一笔贷款的未来值即为零）。
type 数字 0 或 1，用以指定各期的付款时间是在期初还是期末。
 Type 值 支付时间 
 0 或省略 期末 
 1 期初  
应确认所指定的 rate 和 nper 单位的一致性。例如，同样是四年期年利率为 12% 的贷款，如果按月支付，rate 应为 12%/12，nper 应为 4*12；如果按年支付，rate 应为 12%，nper 为 4。 
对于所有参数，支出的款项，如银行存款，表示为负数；收入的款项，如股息收入，表示为正数。 </t>
  </si>
  <si>
    <t>用于计算其利息数额的期数</t>
  </si>
  <si>
    <t>贷款的年限</t>
  </si>
  <si>
    <t>在上述条件下贷款第一个月的利息 (-80.00)</t>
  </si>
  <si>
    <t>在上述条件下贷款最后一年的利息（按年支付）(-222.63)</t>
  </si>
  <si>
    <t>WPS公式（函数）大全——accrintm</t>
  </si>
  <si>
    <t>语法：
返回到期一次性付息有价证券的应计利息。
ACCRINTM(issue,maturity,rate,par,basis)
注意：应使用 DATE 函数来键入日期，或者将日期作为其他公式或函数的结果键入。例如，使用函数 DATE(2009,7,23) 键入 2009 年 7 月 23 日。如果日期以文本形式键入，则会出现问题。
Issue     有价证券的发行日。
Maturity     有价证券的到期日。
Rate     有价证券的年息票利率。
Par     有价证券的票面价值，如果省略 par，函数 ACCRINTM 视 par 为 $1000。
Basis     日计数基准类型。</t>
  </si>
  <si>
    <t xml:space="preserve">Basis 日计数基准 
0 或省略 美国（美国证券交易商协会）30/360 
1 实际天数/实际天数 
2 实际天数/360 
3 实际天数/365 
4 欧洲 30/360 
WPS表格 可将日期存储为可用于计算的序列号。默认情况下，1900 年 1 月 1 日的序列号是 1 而 2008 年 1 月 1 日的序列号是 39448，这是因为它距 1900 年 1 月 1 日有 39448 天。 
Issue、settlement 和 basis 将被截尾取整。 
如果 issue、first-interest 或 settlement 不是合法日期，函数 ACCRINTM 返回错误值 #VALUE!。 
如果利率为 0 或票面价值为 0，函数 ACCRINTM 返回错误值 #NUM!。 
如果 basis &lt; 0 或 basis &gt; 4，函数 ACCRINTM 返回错误值 #NUM!。 
如果 issue ≥ settlement，函数 ACCRINTM 返回错误值 #NUM!。 
</t>
  </si>
  <si>
    <t>发行日</t>
  </si>
  <si>
    <t>到期日</t>
  </si>
  <si>
    <t>息票利率百分比</t>
  </si>
  <si>
    <t>票面价值</t>
  </si>
  <si>
    <t>以实际天数/365 为日计数基准（请参见上面的信息）</t>
  </si>
  <si>
    <t>满足上述条件的应计利息 (20.54795)</t>
  </si>
  <si>
    <t>WPS公式（函数）大全——trimmean</t>
  </si>
  <si>
    <t xml:space="preserve">语法：
返回数据集的内部平均值。函数 TRIMMEAN 先从数据集的头部和尾部除去一定百分比的数据点，然后再求平均值。当希望在分析中剔除一部分数据的计算时，可以使用此函数。
TRIMMEAN(array,percent)
array 为需要进行整理并求平均值的数组或数值区域。 
percent 为计算时所要除去的数据点的比例，例如，如果 percent = 0.3，在 20 个数据点的集合中，就要除去 6 个数据点 (20 x 0.3)：头部除去 3 个，尾部除去 3 个。 
说明 
如果 percent &lt; 0 或 percent &gt; 1，函数 TRIMMEAN 返回错误值 #NUM!。 
函数 TRIMMEAN 将除去的数据点数目向下舍入为最接近的 2 的倍数。如果 percent = 0.1，30 个数据点的 10% 等于 3 个数据点。函数 TRIMMEAN 将对称地在数据集的头部和尾部各除去一个数据。 </t>
  </si>
  <si>
    <t>上面数据集的内部平均值（从计算中除去 40%）(5.14286)</t>
  </si>
  <si>
    <t>WPS公式（函数）大全——tinv</t>
  </si>
  <si>
    <t>语法：
返回作为概率和自由度函数的学生 t 分布的 t 值。
TINV(probability,degrees_freedom)
Probability     对应于双尾学生 t 分布的概率。
Degrees_freedom     分布的自由度数值。
若任一参数为非数值型，则 TINV 返回错误值 #VALUE!。 
若 probability &lt;  0 或 probability  &gt; 1，则 TINV 返回错误值 #NUM!。 
若 degrees_freedom 不是整数，将被截尾取整。 
若 degrees_freedom &lt; 1，则 TINV 返回错误值 #NUM!。 
TINV 返回 t 值，P(|X| &gt; t) = probability，其中 X 为服从 t 分布的随机变量，且 P(|X| &gt; t) = P(X &lt; -t or X &gt; t)。 
单尾 t 值可通过用两倍概率替换概率而求得。如果概率为 0.05 而自由度为 10，则双尾值由 TINV(0.05,10) 计算得到，它返回 2.28139。而同样概率和自由度的单尾值可由 TINV(2*0.05,10) 计算得到，它返回 1.812462。 
注意  在某些表中，概率被描述为 (1-p)。
若已给定概率值，则 TINV 使用 TDIST(x, degrees_freedom, 2) = probability 求解数值 x。因此，TINV 的精度取决于 TDIST 的精度。TINV 使用迭代搜索技术。若搜索在 100 次迭代之后没有收敛，则函数返回错误值 #N/A。</t>
  </si>
  <si>
    <t>对应于双尾学生 t 分布的概率</t>
  </si>
  <si>
    <t>自由度</t>
  </si>
  <si>
    <t>在上述条件下学生 t 分布的 t 值 (1.1573350723)</t>
  </si>
  <si>
    <t>语法：
返回数据集的四分位数。四分位数通常用于在销售额和测量数据中对总体进行分组。例如，可以使用函数 QUARTILE 求得总体中前 25% 的收入值。
QUARTILE(array,quart)
Array     需要求得四分位数值的数组或数字型单元格区域。
Quart     决定返回哪一个四分位值。
说明 
若数组为空，则 QUARTILE 返回错误值 #NUM!。 
若 quart &lt; 0 或 quart &gt; 4，则 QUARTILE 返回错误值 #NUM!。 
若 quart 不为整数，将被截尾取整。 
当 quart 分别等于 0、2 和 4 时，函数 MIN、MEDIAN 和 MAX 返回的值与函数 QUAR</t>
  </si>
  <si>
    <t>上述数据的第一个四分位数（第 25 个百分点值）(3)</t>
  </si>
  <si>
    <t>WPS公式（函数）大全——poisson</t>
  </si>
  <si>
    <t xml:space="preserve">语法：
返回泊松分布。泊松分布通常用于预测一段时间内事件发生的次数，比如一分钟内通过收费站的轿车的数量。
POISSON(x,mean,cumulative)
X     事件数。Mean     期望值。
Cumulative     一逻辑值，确定所返回的概率分布形式。如果 cumulative 为 TRUE，函数 POISSON 返回泊松累积分布概率，即，随机事件发生的次数在 0 到 x 之间（包含 0 和 1）；如果为 FALSE，则返回泊松概率密度函数，即，随机事件发生的次数恰好为 x。
若 x 不为整数，将被截尾取整。 
若 x 或 mean 为非数值型，则 POISSON 返回错误值 #VALUE!。 
若 x &lt; 0，则 POISSON 返回错误值 #NUM!。 
若 mean ≤ 0，则 POISSON 返回错误值 #NUM!。 
函数 POISSON 的计算公式如下： 
         假设 cumulative = FALSE:
         假设 cumulative = TRUE:
</t>
  </si>
  <si>
    <t>事件数</t>
  </si>
  <si>
    <t>期望值</t>
  </si>
  <si>
    <t>在上述条件下的泊松累积分布概率 (0.054963641)</t>
  </si>
  <si>
    <t>在上述条件下的泊松概率密度函数的结果 (0.033737155)</t>
  </si>
  <si>
    <t>WPS公式（函数）大全——norminv</t>
  </si>
  <si>
    <t>语法：
返回指定平均值和标准偏差的正态累积分布函数的反函数。
NORMINV(probability,mean,standard_dev)
Probability     对应于正态分布的概率。
Mean     分布的算术平均值。
Standard_dev     分布的标准偏差。
若任一参数为非数值型，则 NORMINV 返回错误值 #VALUE!。 
若 probability &lt; 0 或 probability &gt; 1，则 NORMINV 返回错误值 #NUM!。 
若 standard_dev ≤ 0，则 NORMINV 返回错误值 #NUM!。 
若 mean = 0 且 standard_dev = 1，则 NORMINV 使用标准正态分布（请参阅函数 NORMSINV）。 
若已给定概率值，则 NORMINV 使用 NORMDIST(x, mean, standard_dev, TRUE) = probability 求解数值 x。因此，NORMINV 的精度取决于 NORMDIST 的精度。NORMINV 使用迭代搜索技术。若搜索在 100 次迭代之后没有收敛，则函数返回错误值 #N/A。</t>
  </si>
  <si>
    <t>正态分布的概率值</t>
  </si>
  <si>
    <t>分布的算术平均值</t>
  </si>
  <si>
    <t>分布的标准偏差</t>
  </si>
  <si>
    <t>在上述条件下正态分布累积函数的反函数值 (36)</t>
  </si>
  <si>
    <t>WPS公式（函数）大全——fisherinv</t>
  </si>
  <si>
    <t xml:space="preserve">语法：
返回 Fisher 变换的反函数值。使用此变换可以分析数据区域或数组之间的相关性。如果 y = FISHER(x)，则 FISHERINV(y) = x。
FISHERINV(y)
Y   要对其进行反变换的数值。
若 y 为非数值型，则 FISHERINV 返回错误值 #VALUE!。 
Fisher 变换反函数的计算公式为： 
</t>
  </si>
  <si>
    <t>在点 0.8291140383 进行 Fisher 变换的反函数值 (0.68)</t>
  </si>
  <si>
    <t>WPS公式（函数）大全——finv</t>
  </si>
  <si>
    <t xml:space="preserve">语法：
返回 F 概率分布的反函数值。如果 p = FDIST(x,…)，则 FINV(p,…) = x。
在 F 检验中，可以使用 F 分布比较两个数据集的变化程度。例如，可以分析美国、加拿大的收入分布，判断两个国家/地区是否有相似的收入变化程度。
FINV(probability,degrees_freedom1,degrees_freedom2)
Probability   与 F 累积分布相关的概率值。
Degrees_freedom1   分子的自由度。
Degrees_freedom2   分母的自由度。
若任何参数都为非数值型，则 FINV 返回错误值 #VALUE!。 
若出现以下任一情况 ，则 FINV 返回错误值 #NUM!。 
         1、 probability &lt; 0 或 probability &gt; 1
         2、 degrees_freedom1 &lt; 1 或 degrees_freedom1 ≥ 10^10
         3、 degrees_freedom2 &lt; 1 或 degrees_freedom2 ≥ 10^10
若 degrees_freedom1 或 degrees_freedom2 不是整数，将被截尾取整。 </t>
  </si>
  <si>
    <t>累积 F 分布的概率值</t>
  </si>
  <si>
    <t>分子的自由度</t>
  </si>
  <si>
    <t>分母的自由度</t>
  </si>
  <si>
    <t>在上述条件下 F 概率分布的反函数值 (19)</t>
  </si>
  <si>
    <t>WPS公式（函数）大全——gammainv</t>
  </si>
  <si>
    <t>语法：
返回伽玛累积分布函数的反函数。若 P = GAMMADIST(x,...)，则 GAMMAINV(p,...) = x。
使用此函数可研究可能出现偏态分布的变量。
GAMMAINV(probability,alpha,beta)
Probability     与伽玛分布相关的概率。
Alpha     分布参数。
Beta     分布参数。若 beta = 1，则 GAMMAINV 返回标准伽玛分布。
若任一参数为非数值型，则 GAMMAINV 返回错误值 #VALUE!。 
若 probability &lt; 0，probability &gt; 1，则 GAMMAINV 返回错误值 #NUM!。 
若 alpha ≤ 0 或 beta ≤ 0，则 GAMMAINV 返回错误值 #NUM!。 
若已给定概率值，则 GAMMAINV 使用 GAMMADIST(x, alpha, beta, TRUE) = probability 求解数值 x。因此，GAMMAINV 的精度取决于 GAMMADIST 的精度。GAMMAINV 使用迭代搜索技术。若搜索在 100 次迭代之后没有收敛，则函数返回错误值 #N/A。</t>
  </si>
  <si>
    <t>伽玛分布的概率值</t>
  </si>
  <si>
    <t>Alpha 分布参数</t>
  </si>
  <si>
    <t>Beta 分布参数</t>
  </si>
  <si>
    <t>在上述条件下伽玛累积分布函数的反函数 (5.2484204129)</t>
  </si>
  <si>
    <t>WPS公式（函数）大全——gammaln</t>
  </si>
  <si>
    <t xml:space="preserve">语法：
返回伽玛函数的自然对数，Γ(x)。
GAMMALN(x)
X     用于进行 GAMMALN 函数计算的数值。
若 x 为非数值型，则 GAMMALN 返回错误值 #VALUE!。 
若 x ≤ 0，则 GAMMALN 返回错误值 #NUM!。 
数字 e 的 GAMMALN(i) 次幂等于 (i-1)!，其中 i 为整数。 
函数 GAMMALN 的计算公式如下： 
式中：
</t>
  </si>
  <si>
    <t>6 的伽玛函数的自然对数 (4.7874917428)</t>
  </si>
  <si>
    <t>WPS公式（函数）大全——gammaln.precise</t>
  </si>
  <si>
    <t xml:space="preserve">语法：
返回伽玛函数的自然对数，Γ(x)。
GAMMALN.PRECISE(x)
X     用于进行 GAMMALN.PRECISE 函数计算的数值。
若 x 为非数值型，则 GAMMALN.PRECISE 返回错误值 #VALUE!。 
若 x ≤ 0，则 GAMMALN.PRECISE 返回错误值 #NUM!。 
数字 e 的 GAMMALN.PRECISE(i) 次幂等于 (i-1)!，其中 i 为整数。 
函数 GAMMALN.PRECISE 的计算公式如下： 
          GAMMALN.PRECISE = LN(Γ(x)) 
          式中：
</t>
  </si>
  <si>
    <t>WPS公式（函数）大全——nper</t>
  </si>
  <si>
    <t xml:space="preserve">语法：
基于固定利率及等额分期付款方式，返回某项投资的总期数。
NPER(rate,pmt,pv,fv,type)
有关函数 NPER 中参数的详细说明，请参阅函数 PV。
rate 为各期利率，是一固定值。
pmt 为各期所应支付的金额，其数值在整个年金期间保持不变。通常，pmt 包括本金和利息，但不包括其他的费用及税款。
pv 为现值，即从该项投资开始计算时已经入帐的款项，或一系列未来付款的当前值的累积和，也称为本金。
fv 为未来值，或在最后一次付款后希望得到的现金余额，如果省略 fv，则假设其值为零，也就是一笔贷款的未来值为零。
type 数字 0 或 1，用以指定各期的付款时间是在期初还是期末。
 Type 值 支付时间 
 0 或省略 期末 
 1 期初  </t>
  </si>
  <si>
    <t>各期所付的金额</t>
  </si>
  <si>
    <t>未来值</t>
  </si>
  <si>
    <t>在上述条件下投资的总期数 (27)</t>
  </si>
  <si>
    <t>在上述条件下投资的总期数，不包括在期初的支付 (27)</t>
  </si>
  <si>
    <t>在上述条件下投资的总期数，不包括未来值 (-4.87)</t>
  </si>
  <si>
    <t>WPS公式（函数）大全——permut</t>
  </si>
  <si>
    <t xml:space="preserve">语法：
返回从给定数目的对象集合中选取的若干对象的排列数。排列为有内部顺序的对象或事件的任意集合或子集。排列与组合不同，组合的内部顺序无意义。此函数可用于概率计算。  
PERMUT(number,number_chosen) 
Number 表示对象个数的正整数。 
Number_chosen 表示每个排列中对象个数的正整数。 
• 如两个参数为非整数，将被截尾取整。 
• 如果 number 或 number_chosen 为非数值类型，函数 PERMUT 将返回错误值 #VALUE!。 
• 如果 number ≤ 0 或 number_chosen &lt; 0，函数 PERMUT 将返回错误值 #NUM!。 
• 如果 number &lt; number_chosen，函数 PERMUT 将返回错误值 #NUM!。 </t>
  </si>
  <si>
    <t>对象总数</t>
  </si>
  <si>
    <t>每个排列中的对象数</t>
  </si>
  <si>
    <t>在上述条件下所有可能的排列数量 (5527200)</t>
  </si>
  <si>
    <t>语法：
AVEDEV 用于评测这组数据的离散度。返回一组数据与其均值的绝对偏差的平均值。  
AVEDEV(number1, number2, ...) 
Number1, number2, ... 用于计算绝对偏差平均值的一组参数，参数的个数可以为 1 到 30 个。也可以用单一数组或对某个数组的引用来代替用逗号分隔的参数。 
参数可以是数值、数组、名称、或者是数组的引用。
若数组或引用参数包含 文本、逻辑值或空白单元格，则这些值将被忽略；但包含零值的单元格将计算在内。 
逻辑值和直接键入到参数列表中代表数字的文本被计算在内。
输入数据所使用的计量单位将会影响函数 AVEDEV 的计算结果。</t>
  </si>
  <si>
    <t>数据 </t>
  </si>
  <si>
    <t>0 </t>
  </si>
  <si>
    <t>=AVEDEV(A2:A6) </t>
  </si>
  <si>
    <t>上面一组数据与其均值的绝对偏差的平均值 (2.4) </t>
  </si>
  <si>
    <t>WPS公式（函数）大全——minverse</t>
  </si>
  <si>
    <t xml:space="preserve">语法：
返回数组矩阵的逆距阵。  
MINVERSE(array) 
Array 是具有相等行数和列数的数值数组。 
• Array 可以是单元格区域，例如 B2: D4；数组常量如{1,2,3;4,5,6;7,8,9}；或区域和数组常量的名称。 
• 如果在 Array 中单元格是非数值类型，则函数 MINVERSE 返回错误值 #VALUE!。 
• 如果 Array 的行和列的数目不相等，则函数 MINVERSE 也返回错误值 #VALUE!。 
• 对于返回结果为数组的公式，必须以数组公式的形式输入。 </t>
  </si>
  <si>
    <t>结果为单值（0.4）</t>
  </si>
  <si>
    <t>WPS公式（函数）大全——devsq</t>
  </si>
  <si>
    <t>语法：
返回数据点与各自样本平均值偏差的平方和。 
DEVSQ(number1, number2, ...)
Number1, number2, ... 用于计算偏差平方和的一组参数，参数的个数可以为 1 到 30 个。也可以用单一数组或对某个数组的引用来代替用逗号分隔的参数。 
说明 
参数可以是数字或者是包含数字的名称、数组或引用。
逻辑值和直接键入到参数列表中代表数字的文本被计算在内。
若参数为错误值或为不能转换为数字的文本，将会导致错误。</t>
  </si>
  <si>
    <t>计算上面数据点与各自样本平均值偏差的平方和 (46)</t>
  </si>
  <si>
    <t>WPS公式（函数）大全——normdist</t>
  </si>
  <si>
    <t>语法：
返回指定平均值和标准偏差的正态分布函数。此函数在统计方面应用范围广泛（包括假设检验）。 
NORMDIST(x,mean,standard_dev,cumulative) 
X 需要计算其分布的数值。 
Mean 分布的算术平均值。 
Standard_dev 分布的标准偏差。 
Cumulative 决定函数形式的逻辑值。如果 cumulative 为 TRUE，函数 NORMDIST 返回累积分布函数；如果为 FALSE，返回概率密度函数。  
若 mean 或 stand_dev 为非数值型，则 NORMDIST 返回错误值 #VALUE!。
若 standard_dev ≤ 0，则 NORMDIST 返回错误值 #NUM!。
若 mean = 0，standard_dev = 1，且 cumulative = TRUE，则 NORMDIST 返回标准正态分布，即函数 NORMSDIST。</t>
  </si>
  <si>
    <t>需要计算其分布的数值 </t>
  </si>
  <si>
    <t>分布的算术平均值 </t>
  </si>
  <si>
    <r>
      <rPr>
        <sz val="9"/>
        <color rgb="FF000000"/>
        <rFont val="微软雅黑"/>
        <charset val="134"/>
      </rPr>
      <t>公式</t>
    </r>
    <r>
      <rPr>
        <sz val="10.5"/>
        <color rgb="FF000000"/>
        <rFont val="Arial"/>
        <charset val="134"/>
      </rPr>
      <t> </t>
    </r>
  </si>
  <si>
    <t>在上述条件下的累积分布函数值 (0.999911583)</t>
  </si>
  <si>
    <t>在上述条件下的概率密度函数值 (0.000220372)</t>
  </si>
  <si>
    <t>WPS公式（函数）大全——normsdist</t>
  </si>
  <si>
    <t>语法：
返回标准正态累积分布函数，该分布的平均值为 0，标准偏差为 1。可以使用该函数代替标准正态曲线面积表。 
NORMSDIST(z) 
Z 需要计算其分布的数值。 
说明 
若 z 为非数值型，则 NORMSDIST 返回错误值 #VALUE!。</t>
  </si>
  <si>
    <t>2.568 的正态累积分布函数值 (0.9948856422)</t>
  </si>
  <si>
    <t>WPS公式（函数）大全——stdeva</t>
  </si>
  <si>
    <t>语法：
估算基于给定样本的标准偏差。标准偏差反映数值相对于平均值 (mean) 的离散程度。 
STDEVA(value1,value2,...) 
Value1,value2,... 对应于总体样本的一组值，数值的个数可以为 1 到 30 个。也可以用单一数组或对某个数组的引用来代替用逗号分隔的参数。 
包含 TRUE 的参数作为 1 来计算；包含文本或 FALSE 的参数作为 0 来计算。若在计算中不能包含文本值或逻辑值，请使用 STDEV 工作表函数来代替。
函数 STDEVA 假设参数为总体的一个样本。若数据代表的是样本总体，则必须使用函数 STDEVPA 来计算标准偏差。
此处标准偏差的计算使用“无偏差”或“n-1”方法。</t>
  </si>
  <si>
    <r>
      <rPr>
        <b/>
        <sz val="9"/>
        <color rgb="FF000000"/>
        <rFont val="微软雅黑"/>
        <charset val="134"/>
      </rPr>
      <t>强度</t>
    </r>
    <r>
      <rPr>
        <sz val="9"/>
        <color rgb="FF000000"/>
        <rFont val="微软雅黑"/>
        <charset val="134"/>
      </rPr>
      <t> </t>
    </r>
  </si>
  <si>
    <t>全部工具抗断强度的标准偏差 (54.012858551)</t>
  </si>
  <si>
    <t>WPS公式（函数）大全——stdevp</t>
  </si>
  <si>
    <t xml:space="preserve">语法：
返回以参数形式给出的整个样本总体的标准偏差。标准偏差反映相对于平均值 (mean) 的离散程度。
STDEVP(number1,number2,...)
Number1,number2,... 为对应于样本总体的 1 到 30 个参数。也可以不使用这种用逗号分隔参数的形式，而用单个数组或对数组的引用。 
文本和逻辑值（TRUE 或 FALSE）将被忽略。如果不能忽略逻辑值和文本，则请使用 Stdevpa 工作表函数。 
函数 STDEVP 假设其参数为整个样本总体。如果数据代表样本总体中的样本，应使用函数 STDEV 来计算标准偏差。 
对于大样本容量，函数 STDEV 和 STDEVP 计算结果大致相等。 
此处标准偏差的计算使用“有偏差”和“n”方法。 
函数 STDEVP 的计算公式如下： 
</t>
  </si>
  <si>
    <t>假定仅生产了 10 件工具，其抗断强度的标准偏差 (26.05455814)</t>
  </si>
  <si>
    <t>WPS公式（函数）大全——stdevpa</t>
  </si>
  <si>
    <t>语法：
返回以参数形式给出的整个样本总体的标准偏差，包含文本和逻辑值。标准偏差反映数值相对于平均值 (mean) 的离散程度。 
STDEVPA(value1,value2,...) 
Value1,value2,... 对应于样本总体的一组值，数值的个数可以为 1 到 30 个。也可以用单一数组或对某个数组的引用来代替用逗号分隔的参数。 
包含 TRUE 的参数作为 1 计算；包含文本或 FALSE 的参数作为 0 计算。若在计算中不能包含文本值或逻辑值，请使用 STDEVP 工作表函数来代替。
函数 STDEVPA 假设参数即为样本总体。若数据代表的是总体的一个样本，则必须使用函数 STDEVA 来估算标准偏差。
对于大样本容量，函数 STDEVA 和函数 STDEVPA 的返回值大致相等。
此处标准偏差的计算使用“有偏差”和“n”方法。</t>
  </si>
  <si>
    <t>假定仅生产了 10 件工具，其抗断强度的标准偏差 (51.241096788)</t>
  </si>
  <si>
    <t>WPS公式（函数）大全——percentile</t>
  </si>
  <si>
    <t>语法：
返回区域中数值的第 K 个百分点的值。可以使用此函数来建立接受阈值。例如，可以确定得分排名在第 90 个百分点之上的检测侯选人。  
PERCENTILE(array,k) 
Array 为定义相对位置的数组或数据区域。 
K 0 到 1 之间的百分点值，包含 0 和 1。 
若 array 为空或其数据点超过 8,191 个，则 PERCENTILE 返回错误值 #NUM!。
若 k 为非数字型，则 PERCENTILE 返回错误值 #VALUE!。
若 k &lt; 0 或 k &gt; 1，则 PERCENTILE 返回错误值 #NUM!。
若 k 不是 1/(n-1) 的倍数，则 PERCENTILE 使用插值法来确定第 k 个百分点的值。</t>
  </si>
  <si>
    <r>
      <rPr>
        <sz val="9"/>
        <color rgb="FF000000"/>
        <rFont val="微软雅黑"/>
        <charset val="134"/>
      </rPr>
      <t>数据</t>
    </r>
    <r>
      <rPr>
        <sz val="10.5"/>
        <color rgb="FF000000"/>
        <rFont val="Arial"/>
        <charset val="134"/>
      </rPr>
      <t> </t>
    </r>
  </si>
  <si>
    <t>上面列表中的数据在第 30 个百分点的值 (1.9)</t>
  </si>
  <si>
    <t>语法：
返回到期一次性付息有价证券的应计利息。 
ACCRINTM(issue,maturity,rate,par,basis) 
注意：应使用 DATE 函数来输入日期，或者将日期作为其他公式或函数的结果输入。例如，使用函数 DATE(2009,7,23) 输入 2009 年 7 月 23 日。如果日期以文本形式输入，则会出现问题。 
Issue 有价证券的发行日。 
Maturity 有价证券的到期日。 
Rate 有价证券的年息票利率。 
Par 有价证券的票面价值，如果省略 par，函数 ACCRINTM 视 par 为 $1000。 
Basis 日计数基准类型。 
Basis 日计数基准
0 或省略 美国（美国证券交易商协会）30/360
1 实际天数/实际天数
2 实际天数/360
3 实际天数/365
4 欧洲 30/360</t>
  </si>
  <si>
    <t>WPS公式（函数）大全——varp</t>
  </si>
  <si>
    <t xml:space="preserve">语法：
算基于整个样本总体的方差。
VARP(number1,number2,...)
Number1, number2, ...   为对应于样本总体的 1 到 30 个参数。
函数 VARP 假设其参数为样本总体。如果数据只是代表样本总体中的一个样本，请使用函数 VAR 计算方差。 
函数 VARP 的计算公式如下： 
逻辑值（TRUE 和 FALSE）和文本将被忽略。如果不能忽略逻辑值和文本，请使用 Varpa 工作表函数。 　 </t>
  </si>
  <si>
    <t>全部工具抗断强度的方差（假定仅生产了 10 件工具）(678.84)</t>
  </si>
  <si>
    <t>WPS公式（函数）大全——sln</t>
  </si>
  <si>
    <t>语法：
返回某项资产在一个期间中的线性折旧值。
SLN(cost,salvage,life)
cost 为资产原值。
salvage 为资产在折旧期末的价值（也称为资产残值）。
life 为折旧期限（有时也称作资产的使用寿命）。</t>
  </si>
  <si>
    <t>资产残值</t>
  </si>
  <si>
    <t>使用寿命</t>
  </si>
  <si>
    <t>每年的折旧值 (266,666.67)</t>
  </si>
  <si>
    <t>WPS公式（函数）大全——npv</t>
  </si>
  <si>
    <t xml:space="preserve">语法：
通过使用贴现率以及一系列未来支出（负值）和收入（正值），返回一项投资的净现值。
NPV(rate,value1,value2,...)
rate 为某一期间的贴现率，是一固定值。
Value1, value2, ... 为 1 到 29 个参数，代表支出及收入。
Value1, value2, ...在时间上必须具有相等间隔，并且都发生在期末。 
NPV 使用 Value1,Value2, ... 的顺序来解释现金流的顺序。所以务必保证支出和收入的数额按正确的顺序键入。 
如果参数为数值、空白单元格、逻辑值或数字的文本表达式，则都会计算在内；如果参数是错误值或不能转化为数值的文本，则被忽略。 
如果参数是一个数组或引用，则只计算其中的数字。数组或引用中的空白单元格、逻辑值、文字及错误值将被忽略。 </t>
  </si>
  <si>
    <t xml:space="preserve">函数 NPV 假定投资开始于 value1 现金流所在日期的前一期，并结束于最后一笔现金流的当期。函数 NPV 依据未来的现金流来进行计算。如果第一笔现金流发生在第一个周期的期初，则第一笔现金必须添加到 函数 NPV 的结果中，而不应包含在 values 参数中。有关详细信息，请参阅下面的示例。 
如果 n 是数值参数表中的现金流的次数，则 NPV 的公式如下： 
函数 NPV 与函数 PV（现值）相似。PV 与 NPV 之间的主要差别在于：函数 PV 允许现金流在期初或期末开始。与可变的 NPV 的现金流数值不同，PV 的每一笔现金流在整个投资中必须是固定的。有关年金与财务函数的详细信息，请参阅函数 PV。 
函数 NPV 与函数 IRR（内部收益率）也有关，函数 IRR 是使 NPV 等于零的比率：NPV(IRR(...), ...) = 0。 
</t>
  </si>
  <si>
    <t>年贴现率</t>
  </si>
  <si>
    <t>一年前的初期投资</t>
  </si>
  <si>
    <t>该投资的净现值 (4,243.11)</t>
  </si>
  <si>
    <t>在上例中，将开始投资的 $8，000 作为数值参数中的一个。这是因为付款发生在第一个周期的期末。</t>
  </si>
  <si>
    <t>年贴现率。可表示整个投资的通货膨胀率或利率。</t>
  </si>
  <si>
    <t>初期投资</t>
  </si>
  <si>
    <t>该投资的净现值 (3,272.02)</t>
  </si>
  <si>
    <t>该投资的净现值，包括第六年中 9000 的赔付 (-1,769.34)</t>
  </si>
  <si>
    <t>在上例中，一开始投资的 $48,000 并不包含在数值参数中，因为此项付款发生在第一期的期初。</t>
  </si>
  <si>
    <t>WPS公式（函数）大全——varpa</t>
  </si>
  <si>
    <t xml:space="preserve">语法：
计算基于整个样本总体的方差。不仅数字，文本值和逻辑值（如 TRUE 和 FALSE）也将计算在内。
VARPA(value1,value2,...)
Value1, value2,...     为对应于样本总体的 1 到 30 个参数。
函数 VARPA 假设参数即为样本总体。若数据代表的是总体的一个样本，则必须使用函数 VARA 来估计方差。 
包含 TRUE 的参数作为 1 计算；包含文本或 FALSE 的参数作为 0 计算。若在计算中不能包含文本值或逻辑值，请使用 VARP 工作表函数来代替。 
函数 VARPA 的计算公式如下： 
其中 x 是样本平均值 AVERAGE(value1,value2,…) 且 n 是样本大小。
</t>
  </si>
  <si>
    <t>全部工具抗断强度的方差（假定仅生产了 10 件工具）(2625.65)</t>
  </si>
  <si>
    <t>WPS公式（函数）大全——chidist</t>
  </si>
  <si>
    <t xml:space="preserve">语法：
返回 χ2 分布的单尾概率。χ2 分布与 χ2 检验相关。使用 χ2 检验可以比较观察值和期望值。例如，某项遗传学实验假设下一代植物将呈现出某一组颜色。使用此函数比较观测结果和期望值，可以确定初始假设是否有效。
CHIDIST(x,degrees_freedom)
X   用来计算分布的数值。
Degrees_freedom   自由度的数值。
若x为负数，则 CHIDIST 返回错误值 #NUM!。 
若任一参数为非数值型，则 CHIDIST 返回错误值 #VALUE!。 
若degrees_freedom &lt; 1 或 degrees_freedom≥ 10^10，则函数 CHIDIST 返回错误值 #NUM!。 
若degrees_freedom 不是整数，将被截尾取整。 
函数 CHIDIST 按 CHIDTST=P(X&gt;x) 计算，式中 X 为 χ2 随机变量。 </t>
  </si>
  <si>
    <t>用来计算分布的数值</t>
  </si>
  <si>
    <t>满足上述条件的 χ2 分布的单尾概率 (0.000320192)</t>
  </si>
  <si>
    <t>WPS公式（函数）大全——chiinv</t>
  </si>
  <si>
    <t xml:space="preserve">语法：
返回 χ2 分布单尾概率的反函数值。如果 probability = CHIDIST(x,...)，则 CHIINV(probability,...) = x。使用此函数可比较观测结果和期望值，可确定初始假设是否有效。
CHIINV(probability,degrees_freedom)
Probability   与 χ2 分布相关的概率。
Degrees_freedom   自由度的数值。
若任一参数为非数字型，则 CHIINV 返回错误值 #VALUE!。 
若 probability &lt; 0 或 probability &gt; 1，则 CHIINV 返回错误值 #NUM!。 
若 degrees_freedom &lt; 1 或 degrees_freedom ≥ 10^10，则 CHIINV 返回错误值 #NUM!。 
若 degrees_freedom 不是整数，将被截尾取整。 
若已给定概率值，则 CHIINV 使用 CHIDIST(x, degrees_freedom) = probability 求解数值 x。因此，CHIINV 的精度取决于 CHIDIST 的精度。CHIINV 使用迭代搜索技术。如果搜索在 100 次迭代之后没有收敛，则函数返回错误值 #N/A。 </t>
  </si>
  <si>
    <t>与 χ2 分布相关的概率</t>
  </si>
  <si>
    <t>满足上述条件的 χ2 分布的单尾概率的反函数值 (23.12000257)</t>
  </si>
  <si>
    <t>WPS公式（函数）大全——ttest</t>
  </si>
  <si>
    <t>语法：
返回与学生 t 检验相关的概率。可以使用函数 TTEST 判断两个样本是否可能来自两个具有相同平均值的总体。
TTEST(array1,array2,tails,type)
Array1     第一个数据集。
Array2     第二个数据集。
Tails     指示分布曲线的尾数。若 tails = 1，函数 TTEST 使用单尾分布。若 tails = 2，函数 TTEST 使用双尾分布。</t>
  </si>
  <si>
    <t>Type      t 检验的类型。</t>
  </si>
  <si>
    <t>如果 type 等于</t>
  </si>
  <si>
    <t>检验方法</t>
  </si>
  <si>
    <t>成对</t>
  </si>
  <si>
    <t>等方差双样本检验</t>
  </si>
  <si>
    <t>异方差双样本检验</t>
  </si>
  <si>
    <t xml:space="preserve">参数 tails 和 type 将被截尾取整。 
若 array1 和 array2 的数据点个数不同，且 type = 1（成对），则 TTEST 返回错误值 #N/A。 
若 tails 或 type 为非数值型，则 TTEST 返回错误值 #VALUE!。 
若 tails 不为 1 或 2，则 TTEST 返回错误值 #NUM!。 
TTEST 使用 array1 和 array2 中的数据计算非负值 t 统计。若 tails=1，假设 array1 和 array2 为来自具有相同平均值的总体的样本，则 TTEST 返回 t 统计的较高值的概率。假设“总体平均值相同”，则当 tails=2 时返回的值是当 tails=1 时返回的值的两倍，且符合 t 统计的较高绝对值的概率。 
</t>
  </si>
  <si>
    <t>数据 1</t>
  </si>
  <si>
    <t>数据 2</t>
  </si>
  <si>
    <t>对应于学生的成对 t 检验的概率（双尾分布）(0.3249724)</t>
  </si>
  <si>
    <t>WPS公式（函数）大全——linest</t>
  </si>
  <si>
    <t>语法：
使用最小二乘法对已知数据进行最佳直线拟合，并返回描述此直线的数组。因为此函数返回数值数组，所以必须以数组公式的形式键入。
直线的公式为：
y = mx + b 或者
y = m1x1 + m2x2 + ... + b（如果有多个区域的 x 值）
式中，因变量 y 是自变量 x 的函数值。M 值是与每个 x 值相对应的系数，b 为常量。注意 y、x 和 m 可以是向量。LINEST 函数返回的数组为 {mn,mn-1,...,m1,b}。LINEST 函数还可返回附加回归统计值。</t>
  </si>
  <si>
    <t xml:space="preserve">LINEST(known_y's,known_x's,const,stats)
Known_y's   是关系表达式 y = mx + b 中已知的 y 值集合。 
如果数组 known_y's 在单独一列中，则 known_x's 的每一列被视为一个独立的变量。 
如果数组 known-y's 在单独一行中，则 known-x's 的每一行被视为一个独立的变量。 
Known_x's   是关系表达式 y = mx + b 中已知的可选 x 值集合。 
数组 known_x's 可以包含一组或多组变量。如果只用到一个变量，只要 known_y's 和 known_x's 维数相同，它们可以是任何形状的区域。如果用到多个变量，则 known_y's 必须为向量（即必须为一行或一列）。 
如果省略 known_x's，则假设该数组为 {1,2,3,...}，其大小与 known_y's 相同。 
Const   为一逻辑值，用于指定是否将常量 b 强制设为 0。 
如果 const 为 TRUE 或省略，b 将按正常计算。 
如果 const 为 FALSE，b 将被设为 0，并同时调整 m 值使 y = mx。 
Stats   为一逻辑值，指定是否返回附加回归统计值。 
如果 stats 为 TRUE，则 LINEST 函数返回附加回归统计值，这时返回的数组为 {mn,mn-1,...,m1,b;sen,sen-1,...,se1,seb;r2,sey;F,df;ssreg,ssresid}。 
如果 stats 为 FALSE 或省略，LINEST 函数只返回系数 m 和常量 b。 </t>
  </si>
  <si>
    <t>附加回归统计值如下：</t>
  </si>
  <si>
    <t>统计值</t>
  </si>
  <si>
    <t>se1,se2,...,sen</t>
  </si>
  <si>
    <t>系数 m1,m2,...,mn 的标准误差值。</t>
  </si>
  <si>
    <t>Seb</t>
  </si>
  <si>
    <t>常量 b 的标准误差值（当 const 为 FALSE时，seb = #N/A）</t>
  </si>
  <si>
    <t>r2</t>
  </si>
  <si>
    <t>判定系数。Y 的估计值与实际值之比，范围在 0 到 1 之间。如果为 1，则样本有很好的相关性，Y 的估计值与实际值之间没有差别。如果判定系数为 0，则回归公式不能用来预测 Y 值。有关计算 r2 的方法的详细信息，请参阅本主题后面的“说明”。</t>
  </si>
  <si>
    <t>sey</t>
  </si>
  <si>
    <t>Y 估计值的标准误差。</t>
  </si>
  <si>
    <t>F</t>
  </si>
  <si>
    <t>F 统计或 F 观察值。使用 F 统计可以判断因变量和自变量之间是否偶尔发生过可观察到的关系。</t>
  </si>
  <si>
    <t>df</t>
  </si>
  <si>
    <t>自由度。用于在统计表上查找 F 临界值。所查得的值和 LINEST 函数返回的 F 统计值的比值可用来判断模型的置信度。</t>
  </si>
  <si>
    <t>ssreg</t>
  </si>
  <si>
    <t>回归平方和。</t>
  </si>
  <si>
    <t>ssresid</t>
  </si>
  <si>
    <t>残差平方和。</t>
  </si>
  <si>
    <t>下面的图示显示了附加回归统计值返回的顺序。</t>
  </si>
  <si>
    <t>可以使用斜率和 y 轴截距描述任何直线：</t>
  </si>
  <si>
    <t>斜率 (m)：</t>
  </si>
  <si>
    <t>通常记为 m，如果需要计算斜率，则选择直线上的两点，(x1,y1) 和 (x2,y2)；斜率等于 (y2 - y1)/(x2 - x1)。</t>
  </si>
  <si>
    <t>Y 轴截距 (b)：</t>
  </si>
  <si>
    <t>通常记为 b，直线的 y 轴的截距为直线通过 y 轴时与 y 轴交点的数值。</t>
  </si>
  <si>
    <t>直线的公式为 y = mx + b。如果知道了 m 和 b 的值，将 y 或 x 的值代入公式就可计算出直线上的任意一点。</t>
  </si>
  <si>
    <t>当只有一个自变量 x 时，可直接利用下面公式得到斜率和 y 轴截距值：</t>
  </si>
  <si>
    <t>斜率：</t>
  </si>
  <si>
    <t>=INDEX(LINEST(known_y's,known_x's),1)</t>
  </si>
  <si>
    <t>Y 轴截距：</t>
  </si>
  <si>
    <t>=INDEX(LINEST(known_y's,known_x's),2)</t>
  </si>
  <si>
    <t>数据的离散程度决定了 LINEST 函数计算的精确度。数据越接近线性，LINEST 模型就越精确。LINEST 函数使用最小二乘法来判定最适合数据的模型。当只有一个自变量 x 时，m 和 b 是根据下面的公式计算出的：</t>
  </si>
  <si>
    <t>直线和 LINEST 可用来计算与给定数据拟合程度最高的直线。这些不带参数 new_x's 的函数可在实际数据点上根据直线来返回 y 的数组值，然后可以将预测值与实际值进行比较。还可以用图表方式来直观地比较二者。</t>
  </si>
  <si>
    <t>回归分析时，WPS表格 计算每一点的 y 的估计值和实际值的平方差。这些平方差之和称为残差平方和。然后 WPS表格 计算 y 的实际值和平均值的平方差之和。称为总平方和（回归平方和 + 残差平方和）。残差平方和与总平方和的比值越小，判定系数 r2 的值就越大，r2 是表示回归分析公式的结果反映变量间关系的程度的标志。</t>
  </si>
  <si>
    <t>对于返回结果为数组的公式，必须以数组公式的形式键入。</t>
  </si>
  <si>
    <r>
      <rPr>
        <sz val="10"/>
        <color theme="1"/>
        <rFont val="宋体"/>
        <charset val="134"/>
        <scheme val="minor"/>
      </rPr>
      <t>当需要键入一个数组常量（如 known_x's）作为参数时，以逗号作为同一行中数据的分隔符，以分号作为不同行数据的分隔符。分隔符可能因“</t>
    </r>
    <r>
      <rPr>
        <b/>
        <sz val="10"/>
        <color theme="1"/>
        <rFont val="宋体"/>
        <charset val="134"/>
        <scheme val="minor"/>
      </rPr>
      <t>区域设置</t>
    </r>
    <r>
      <rPr>
        <sz val="10"/>
        <color theme="1"/>
        <rFont val="宋体"/>
        <charset val="134"/>
        <scheme val="minor"/>
      </rPr>
      <t>”中或“</t>
    </r>
    <r>
      <rPr>
        <b/>
        <sz val="10"/>
        <color theme="1"/>
        <rFont val="宋体"/>
        <charset val="134"/>
        <scheme val="minor"/>
      </rPr>
      <t>控制面板</t>
    </r>
    <r>
      <rPr>
        <sz val="10"/>
        <color theme="1"/>
        <rFont val="宋体"/>
        <charset val="134"/>
        <scheme val="minor"/>
      </rPr>
      <t>”的“</t>
    </r>
    <r>
      <rPr>
        <b/>
        <sz val="10"/>
        <color theme="1"/>
        <rFont val="宋体"/>
        <charset val="134"/>
        <scheme val="minor"/>
      </rPr>
      <t>区域选项</t>
    </r>
    <r>
      <rPr>
        <sz val="10"/>
        <color theme="1"/>
        <rFont val="宋体"/>
        <charset val="134"/>
        <scheme val="minor"/>
      </rPr>
      <t>”中区域设置的不同而有所不同。</t>
    </r>
  </si>
  <si>
    <t>注意，如果 y 的回归分析预测值超出了用来计算公式的 y 值的范围，它们可能是无效的。</t>
  </si>
  <si>
    <t>示例 1   斜率和 Y 轴截距</t>
  </si>
  <si>
    <t>返回斜率 (2)</t>
  </si>
  <si>
    <t>返回截距 (1)</t>
  </si>
  <si>
    <r>
      <rPr>
        <b/>
        <sz val="10"/>
        <color theme="1"/>
        <rFont val="宋体"/>
        <charset val="134"/>
        <scheme val="minor"/>
      </rPr>
      <t xml:space="preserve">提示   </t>
    </r>
    <r>
      <rPr>
        <sz val="10"/>
        <color theme="1"/>
        <rFont val="宋体"/>
        <charset val="134"/>
        <scheme val="minor"/>
      </rPr>
      <t>示例中的公式也可以以数组公式键入。在将公式复制到一张空白工作表的A7单元格后，选择以公式单元格开始的区域 A7:B7。按 F2，再按 Ctrl+Shift+Enter。</t>
    </r>
  </si>
  <si>
    <t>示例 2   简单线性回归</t>
  </si>
  <si>
    <t>销售</t>
  </si>
  <si>
    <t>估算第 9 个月的销售值 (11000)</t>
  </si>
  <si>
    <t>通常，SUM({m,b}*{x,1}) 等于 mx + b，即给定 x 值的 y 的估计值。</t>
  </si>
  <si>
    <t>示例 3   多重线性回归</t>
  </si>
  <si>
    <t>假设有开发商正在考虑购买商业区里的一组小型办公楼。</t>
  </si>
  <si>
    <t>开发商可以根据下列变量，采用多重线性回归的方法来估算给定地区内的办公楼的价值。</t>
  </si>
  <si>
    <t>变量</t>
  </si>
  <si>
    <t>代表</t>
  </si>
  <si>
    <t>办公楼的评估值</t>
  </si>
  <si>
    <t>x1</t>
  </si>
  <si>
    <t>底层面积（平方英尺）</t>
  </si>
  <si>
    <t>x2</t>
  </si>
  <si>
    <t>办公室的个数</t>
  </si>
  <si>
    <t>x3</t>
  </si>
  <si>
    <t>入口个数</t>
  </si>
  <si>
    <t>x4</t>
  </si>
  <si>
    <t>办公楼的使用年数</t>
  </si>
  <si>
    <t>本示例假设在自变量（x1、x2、x3 和 x4）和因变量 (y) 之间存在线性关系。其中 y 是办公楼的价值。</t>
  </si>
  <si>
    <t>开发商从 1,500 个可选的办公楼里随机选择了 11 个办公楼作为样本，得到下列数据。“半个入口”指的是运输专用入口。</t>
  </si>
  <si>
    <t>C</t>
  </si>
  <si>
    <t>D</t>
  </si>
  <si>
    <t>E</t>
  </si>
  <si>
    <t>底层面积 (x1)</t>
  </si>
  <si>
    <t>办公室的个数 (x2)</t>
  </si>
  <si>
    <t>入口个数 (x3)</t>
  </si>
  <si>
    <t>办公楼的使用年数 (x4)</t>
  </si>
  <si>
    <t>办公楼的评估值 (y)</t>
  </si>
  <si>
    <r>
      <rPr>
        <b/>
        <sz val="10"/>
        <color theme="1"/>
        <rFont val="宋体"/>
        <charset val="134"/>
        <scheme val="minor"/>
      </rPr>
      <t xml:space="preserve">注意   </t>
    </r>
    <r>
      <rPr>
        <sz val="10"/>
        <color theme="1"/>
        <rFont val="宋体"/>
        <charset val="134"/>
        <scheme val="minor"/>
      </rPr>
      <t>示例中的公式必须以数组公式键入。在将公式复制到一张空白工作表后，选择以公式单元格开始的区域 A14:E18。按 F2，再按 Ctrl+Shift+Enter。如果公式不是以数组公式键入，则返回单个结果值 -234.2371645。</t>
    </r>
  </si>
  <si>
    <t>当作为数组键入时，将返回下面的回归统计值，可用该值可识别所需的统计值。</t>
  </si>
  <si>
    <t>WPS公式（函数）大全——intercept</t>
  </si>
  <si>
    <t xml:space="preserve">语法：利用现有的 x 值与 y 值计算直线与 y 轴的截距。截距为穿过已知的 known_x's 和 known_y's 数据点的线性回归线与 y 轴的交点。当自变量为 0（零）时，使用 INTERCEPT 函数可以决定因变量的值。例如，当所有的数据点都是在室温或更高的温度下取得的，可以用 INTERCEPT 函数预测在 0°C 时金属的电阻。
INTERCEPT(known_y's,known_x's)
Known_y's     因变的观察值或数据的集合。
Known_x's     自变的观察值或数据的集合。
参数可以是数字，或者是包含数字的名称、数组或引用。 
若数组或引用参数包含文本、逻辑值或空白单元格，则这些值将被忽略；但包含零值的单元格将计算在内。 
若 known_y's 和 known_x's 所包含的数据点个数不相等或不包含任何数据点，则 INTERCEPT 返回错误值 #N/A。 
回归线 a 的截距公式为： 
         公式中斜率 b 计算如下：
         其中 x 和 y 为样本平均数 AVERAGE(known_x's) 和 AVERAGE(known_y's)。
</t>
  </si>
  <si>
    <t>已知y</t>
  </si>
  <si>
    <t>已知x</t>
  </si>
  <si>
    <t>利用上面已知的 x 值与 y 值计算直线与 y 轴的截距 (3.7808219178)</t>
  </si>
  <si>
    <t>WPS公式（函数）大全——ftest</t>
  </si>
  <si>
    <t xml:space="preserve">语法：
返回 F 检验的结果。F 检验返回的是当数组 1 和数组 2 的方差无明显差异时的单尾概率。可以使用此函数来判断两个样本的方差是否不同。例如，给定公立和私立学校的测试成绩，可以检验各学校间测试成绩的差别程度。
FTEST(array1,array2)
Array1   第一个数组或数据区域。
Array2   第二个数组或数据区域。
参数可以是数字，或是包含数字的名称、数组或引用。 
若数组或引用参数包含文本、逻辑值或空白单元格，则这些值将被忽略；但包含零值的单元格将计算在内。 
若数组 1 或数组 2 中数据点的个数小于 2 个，或者数组 1 或数组 2 的方差为零，则 FTEST 返回错误值 #DIV/0!。 </t>
  </si>
  <si>
    <t>数据1</t>
  </si>
  <si>
    <t>数据2</t>
  </si>
  <si>
    <t>返回上述数据集的 F 检验结果 (0.0039894255434)</t>
  </si>
  <si>
    <t>WPS公式（函数）大全——lognormdist</t>
  </si>
  <si>
    <t xml:space="preserve">语法：
返回 x 的对数累积分布函数，其中 ln(x) 是服从参数 mean 和 standard_dev 的正态分布。使用此函数可以分析经过对数变换的数据。
LOGNORMDIST(x,mean,standard_dev)
X     用来进行函数计算的值。 
Mean     ln(x) 的平均值。
Standard_dev     ln(x) 的标准偏差。
若任一参数为非数值型，则 LOGNORMDIST 返回错误值 #VALUE!。 
若 x ≤ 0 或 standard_dev ≤ 0，则 LOGNORMDIST 返回错误值 #NUM!。 
对数累积分布函数的计算公式如下： </t>
  </si>
  <si>
    <t>参数值 (x)</t>
  </si>
  <si>
    <t>ln(x) 的平均值</t>
  </si>
  <si>
    <t>ln(x) 的标准偏差</t>
  </si>
  <si>
    <t>在上述条件下 3 的对数累积分布函数值 (0.022703345)</t>
  </si>
  <si>
    <t>WPS公式（函数）大全——loginv</t>
  </si>
  <si>
    <t xml:space="preserve">语法：
返回 x 的对数累积分布函数的反函数，此处的 ln(x) 是含有 mean 与 standard-dev 参数的正态分布。如果 p=LOGNORMDIST(x,...)，则 LOGINV（p,...）=x。
使用对数分布可分析经过对数变换的数据。
LOGINV(probability,mean,standard_dev)
Probability     与对数分布相关的概率。
Mean     ln(x) 的平均值。
Standard_dev     ln(x) 的标准偏差。
若变量为非数值参数，则 LOGINV 返回错误值 #VALUE!。 
若出现以下任一情况，则 LOGINV 返回错误值 #NUM!。 
         1、 probability &lt; 0 或 probability &gt; 1 
         2、 standard_dev &lt; = 0
对数分布函数的反函数为： 
</t>
  </si>
  <si>
    <t>与对数分布相关的概率</t>
  </si>
  <si>
    <t>在上述条件下对数累积分布函数的反函数值 (3.8057467461)</t>
  </si>
  <si>
    <t>WPS公式（函数）大全——rate</t>
  </si>
  <si>
    <t xml:space="preserve">语法：
返回年金的各期利率。函数 RATE 通过迭代法计算得出，并且可能无解或有多个解。如果在进行 20 次迭代计算后，函数 RATE 的相邻两次结果没有收敛于 0.0000001，函数 RATE 将返回错误值 #NUM!。 
RATE(nper,pmt,pv,fv,type,guess) 
有关函数 RATE 中参数的详细说明，请参阅函数PV。 
nper 为总投资期，即该项投资的付款期总数。 
pmt 为各期付款额，其数值在整个投资期内保持不变。通常 pmt 包括本金和利息，但不包括其他费用或税金。如果忽略了 pmt，则必须包含 fv 参数。 
pv 为现值，即从该项投资开始计算时已经入帐的款项，或一系列未来付款当前值的累积和，也称为本金。 
fv 为未来值，或在最后一次付款后希望得到的现金余额，如果省略 fv，则假设其值为零，也就是一笔贷款的未来值为零。 
type 数字 0 或 1，用以指定各期的付款时间是在期初还是期末。 
Type值 支付时间
0或省略 期末
1 期初
guess 为预期利率。 
• 如果省略预期利率，则假设该值为 10%。 
• 如果函数 RATE 不收敛，请改变 guess 的值。通常当 guess 位于 0 到 1 之间时，函数 RATE 是收敛的。 
应确认所指定的 guess 和 nper 单位的一致性，对于年利率为 12% 的 6 年期贷款，如果按月支付，guess 为 12%/12，nper 为 6*12；如果按年支付，guess 为 12%，nper 为 6。 
</t>
  </si>
  <si>
    <t>每月支付</t>
  </si>
  <si>
    <t>在上述条件下贷款的月利率(1%)</t>
  </si>
  <si>
    <t>在上述条件下贷款的年利率（8%</t>
  </si>
  <si>
    <t>WPS公式（函数）大全——harmean</t>
  </si>
  <si>
    <t xml:space="preserve">语法：
返回数据集合的调和平均值。调和平均值与倒数的算术平均值互为倒数。 
HARMEAN(number1,number2,...) 
Number1, number2, ... 可用于计算平均值的 1 至 30 个参数，也可不使用这种用逗号分隔参数的形式，而用单个数组或数组引用的形式。 
说明 
• 参数可以是数字，或者是包含数字的名称、数组或引用。 
• 如果数组或引用参数包含文本、逻辑值或空白单元格，则这些值将被忽略；但包含零值的单元格将被计算在内。 
• 如果任何数据点小于等于 0，函数 HARMEAN 返回错误值 #NUM!。 
• 调和平均值总小于几何平均值，而几何平均值总小于算术平均值。 </t>
  </si>
  <si>
    <t>计算上面数据集合的调和平均值(13.70978393)</t>
  </si>
  <si>
    <t>WPS公式（函数）大全——mutinomial</t>
  </si>
  <si>
    <t>语法：
返回参数和的阶乘与各参数阶乘乘积的比值。 
MULTINOMIAL(number1,number2, ...) 
Number1,number2, ... 可用于进行函数 Multinomial 运算的 1 至 255 个值。 
注解 
如果有参数为非数值型，函数 MULTINOMIAL 返回错误值 #VALUE!。
如果有小于 0 的参数，函数 MULTINOMIAL 返回错误值 #NUM!。</t>
  </si>
  <si>
    <r>
      <rPr>
        <b/>
        <sz val="9"/>
        <color rgb="FF000000"/>
        <rFont val="微软雅黑"/>
        <charset val="134"/>
      </rPr>
      <t>5</t>
    </r>
    <r>
      <rPr>
        <sz val="9"/>
        <color rgb="FF000000"/>
        <rFont val="微软雅黑"/>
        <charset val="134"/>
      </rPr>
      <t>、6、7之和的阶乘与各阶乘乘积的比值(14702688)</t>
    </r>
  </si>
  <si>
    <t>WPS公式（函数）大全——ln</t>
  </si>
  <si>
    <t xml:space="preserve">语法：
返回一个数的自然对数。自然对数以常数项 e 为底。 
LN（number） 
Number 是用于计算其自然对数的正实数。 
说明 
LN 函数是 EXP 函数的反函数。 </t>
  </si>
  <si>
    <t>86的自然对数(4.454347)</t>
  </si>
  <si>
    <t>常数项e的自然对数(1)</t>
  </si>
  <si>
    <t>e的3次幂的自然对数(3)</t>
  </si>
  <si>
    <t>WPS公式（函数）大全——log</t>
  </si>
  <si>
    <t xml:space="preserve">语法：
按所指定的底数，返回一个数的对数。 
LOG（number,base） 
Number 为用于计算对数的正实数。 
base 为对数的底数。如果省略底数，则假定其值为10。 </t>
  </si>
  <si>
    <t>10的对数(1)</t>
  </si>
  <si>
    <t>以2为底时，8的对数(3)</t>
  </si>
  <si>
    <t>以e为底时，86的对数(4.454347)</t>
  </si>
  <si>
    <t>WPS公式（函数）大全——log10</t>
  </si>
  <si>
    <t xml:space="preserve">语法：
返回以 10 为底的对数。 
LOG10（number） 
数值 用于常用对数计算的正实数。 </t>
  </si>
  <si>
    <t>以10为底时，86的对数(1.934498451)</t>
  </si>
  <si>
    <t>以10为底时，10的对数(1)</t>
  </si>
  <si>
    <t>以10为底时，1E5的对数(5)</t>
  </si>
  <si>
    <t>以10为底时，10^5的对数(5)</t>
  </si>
  <si>
    <t>WPS公式（函数）大全——product</t>
  </si>
  <si>
    <t xml:space="preserve">语法：
将所有以参数形式给出的数字相乘，并返回乘积值。 
PRODUCT（number1,number2.....） 
Number1,Number2...... 为 1 到 30 个需要相乘的数字参数。 
说明 
• 当参数为数字、逻辑值或数字的文字型表达式时可以被计算；当参数为错误值或是不能转换成数字的文字时，将导致错误。 
• 如果参数为数组或引用，只有其中的数字将被计算。数组或引用中的空白单元格、逻辑值、文本或错误值将被忽略。 </t>
  </si>
  <si>
    <t>将以上数字相乘(2250)</t>
  </si>
  <si>
    <t>将以上数字及2相乘(4500)</t>
  </si>
  <si>
    <t>WPS公式（函数）大全——sign</t>
  </si>
  <si>
    <t xml:space="preserve">语法：
返回数字的符号。当数字为正数时返回 1，为零时返回 0，为负数时返回 -1。
SIGN（number）
Number    为任意实数。
</t>
  </si>
  <si>
    <t>正数的符号 (1)</t>
  </si>
  <si>
    <t>0 的符号 (0)</t>
  </si>
  <si>
    <t>负数的符号 (-1）</t>
  </si>
  <si>
    <t>WPS公式（函数）大全——sin</t>
  </si>
  <si>
    <t xml:space="preserve">语法：
返回给定角度的正弦值。
SIN（number）
Number    为需要求正弦的角度，以弧度表示。
如果参数的单位是度，则可以乘以 PI()/180 或使用 RADIANS 函数将其转换为弧度。
</t>
  </si>
  <si>
    <t>pi 弧度的正弦值（0，近似）</t>
  </si>
  <si>
    <t>pi/2 弧度的正弦值 (1)</t>
  </si>
  <si>
    <t>30 度的正弦值 (0.5)</t>
  </si>
  <si>
    <t>WPS公式（函数）大全——seriessum</t>
  </si>
  <si>
    <t>语法：
许多函数可由幂级数展开式近似地得到。SERIESSUM返回基于以下公式的幂级数之和：       
SERIESSUM (x, n, m, coefficients)
X   幂级数的键入值。
N   x 的首项乘幂。
M   级数中每一项的乘幂 n 的步长增加值。
Coefficients   一系列与 x 各级乘幂相乘的系数。coefficients 值的数目决定了幂级数的项数。例如，如果 coefficients 中有三个值，则幂级数中将有三项。
如果任一参数为非数值型，函数 SERIESSUM 返回错误值 #VALUE!。</t>
  </si>
  <si>
    <t>pi/4 弧度或 45 度的余弦值的近似值 (0.707103)</t>
  </si>
  <si>
    <t>WPS公式（函数）大全——stdev</t>
  </si>
  <si>
    <t xml:space="preserve">语法：
估算样本的标准偏差。标准偏差反映相对于平均值 (mean) 的离散程度。 
STDEV(number1,number2,...) 
Number1,number2,... 为对应于总体样本的 1 到 30 个参数。也可以不使用这种用逗号分隔参数的形式，而用单个数组或对数组的引用。 
• 函数 STDEV 假设其参数是总体中的样本。如果数据代表全部样本总体，则应该使用函数 Stdeva 来计算标准偏差。 
• 此处标准偏差的计算使用“无偏差”或“n-1”方法。 
• 函数 STDEV 的计算公式如下：
 </t>
  </si>
  <si>
    <t>抗断强度的标准偏差(27.46391572)</t>
  </si>
  <si>
    <t>WPS公式（函数）大全——betadist</t>
  </si>
  <si>
    <t>语法：
返回 Beta 累积分布函数。Beta 累积分布函数通常用于研究样本中一定部分的变化情况。例如，人们一天中看电视的时间比率。 
BETADIST(x,alpha,beta,A,B) 
X 用来进行函数计算的值，居于可选性上下界（A 和 B）之间。 
Alpha 分布参数。 
Beta 分布参数。 
A 数值 x 所属区间的可选下界。 
B 数值 x 所属区间的可选上界。  
若任意参数为非数值型，则 BETADIST 返回错误值 #VALVE!。
若 alpha ≤ 0 或 beta ≤ 0，则 BETADIST 返回错误值 #NUM!。
若 x &lt; A、x &gt; B 或 A = B，则 BETADIST 返回错误值 #NUM!。
若省略 A 或 B 值，则 BETADIST 使用标准 beta 分布的累积函数，即 A = 0，B = 1。</t>
  </si>
  <si>
    <t>进行函数计算的参数</t>
  </si>
  <si>
    <t>分布参数</t>
  </si>
  <si>
    <t>下界</t>
  </si>
  <si>
    <t>上界</t>
  </si>
  <si>
    <t>上述参数的 Beta 分布累积函数的函数值 (0.98405451138)</t>
  </si>
  <si>
    <t>WPS公式（函数）大全——sqrt</t>
  </si>
  <si>
    <t xml:space="preserve">语法：
返回正平方根。 
语法 
SQRT（number） 
Number 要计算平方根的数。 
说明 
如果参数 Number 为负值，函数 SQRT 返回错误值 #Num!。 </t>
  </si>
  <si>
    <t>16的平方根(4)</t>
  </si>
  <si>
    <t>上面数的平方根。因为该数是负数，所以返回一个错误值(#Num!)</t>
  </si>
  <si>
    <t>上面数的绝对值的平方根(4)</t>
  </si>
  <si>
    <t>WPS公式（函数）大全——sqrpi</t>
  </si>
  <si>
    <t xml:space="preserve">语法：
返回某数与 pi 的乘积的平方根。 
SQRTPI（number） 
Number 用来与π相乘的数。 
如果 number&lt;0，则函数 SQRTPI 返回错误值 #Num!。 </t>
  </si>
  <si>
    <t>PI的平方根(1.772454)</t>
  </si>
  <si>
    <t>2*PI的平方根(2.506628)</t>
  </si>
  <si>
    <t>WPS公式（函数）大全——tdist</t>
  </si>
  <si>
    <t>语法：
返回学生的 t 分布。t 分布用于小样本数据集合的假设检验。使用此函数可以代替 t 分布的临界值表。 
TDIST(x,degrees_freedom,tails) 
X 用于计算分布的数值。 
Degrees_freedom 一个表示自由度数的整数。 
Tails 指明返回的分布函数是单尾分布还是双尾分布。如果 tails = 1，函数 TDIST 返回单尾分布。如果 tails = 2，函数 TDIST 返回双尾分布。 
若任一参数为非数值型，则 TDIST 返回错误值 #VALUE!。
若出现以下任一情况，则 TDIST 返回错误值 #NUM!。
1、 degrees_freedom &lt; 1 
2、 tails 不为 1 或 2 
3、 x &lt; 0 
参数 degrees_freedom 和 tails 将被截尾取整。
如果 tails = 1，TDIST 的计算公式为 TDIST = P( X &gt; x )，其中 X 为服从 t 分布的随机变量。如果 tails = 2，TDIST 的计算公式为 TDIST = P(|X| &gt; x) = P(X &gt; x or X &lt; -x)。
因为不允许 x &lt; 0，当 x &lt; 0 时要使用 TDIST，应该注意 TDIST(-x,df,1) = 1 – TDIST(x,df,1) = P(X &gt; -x) 和 TDIST(-x,df,2) = TDIST(x df,2) = P(|X| &gt; x)。</t>
  </si>
  <si>
    <t>为需要计算分布的数值 </t>
  </si>
  <si>
    <t>自由度 </t>
  </si>
  <si>
    <t>单尾分布（0.014872102798 或 1.49%）</t>
  </si>
  <si>
    <t>双尾分布（0.029744205595 或 2.97%）</t>
  </si>
  <si>
    <t>注释 若要将数字显示为百分比，请选择单元格，并单击“格式”菜单上的“单元格”，再单击“数字”选项卡，然后单击“分类”框中的“百分比”。 </t>
  </si>
  <si>
    <t>WPS公式（函数）大全——trend</t>
  </si>
  <si>
    <t>语法：
返回一条线性回归拟合线的值。即找到适合已知数组 known_y's 和 known_x's 的直线（用最小二乘法），并返回指定数组 new_x's 在直线上对应的 y 值。 
TREND(known_y's,known_x's,new_x's,const) 
Known_y's 关系表达式 y = mx + b 中已知的 y 值集合。 
若数组 known_y's 在单独一列中，则 known_x's 的每一列被视为一个独立的变量。
若数组 known-y's 在单独一行中，则 known-x's 的每一行被视为一个独立的变量。
Known_x's 关系表达式 y = mx + b 中已知的可选 x 值集合。 
数组 known_x's 可以包含一组或多组变量。若只用到一个变量，只要 known_y's 和 known_x's 维数相同，它们可以是任何形状的区域。若用到多个变量，known_y's 必须为向量（即必须为一行或一列）。
若省略 known_x's，则假设该数组为 {1,2,3,...}，其大小与 known_y's 相同。
New_x's 需要函数 TREND 返回对应 y 值的新 x 值。 
New_x's 与 known_x's 一样，每个独立变量必须为单独的一行（或一列）。因此，若 known_y's 是单列的，known_x's 和 new_x's 应该有同样的列数。若 known_y's 是单行的，known_x's 和 new_x's 应该有同样的行数。
若省略 new_x's，将假设它和 known_x's 一样。
若 known_x's 和 new_x's 都省略，将假设它们为数组 {1,2,3,...}，大小与 known_y's 相同。
Const 一逻辑值，用于指定是否将常量 b 强制设为 0。 
若 const 为 TRUE 或省略，b 将按正常计算。
若 const 为 FALSE，b 将被设为 0（零），m 将被调整以使 y = mx。
对于返回结果为数组的公式，必须以数组公式的形式输入。
可以使用 TREND 函数计算同一变量的不同乘方的回归值来拟合多项式曲线。例如，假设 A 列包含 y 值，B 列含有 x 值。可以在 C 列中输入 x^2，在 D 列中输入 x^3，等等，然后根据 A 列，对 B 列到 D 列进行回归计算。
当为参数（如 known_x's）输入数组常量时，应当使用逗号分隔同一行中的数据，用分号分隔不同行中的数据。</t>
  </si>
  <si>
    <r>
      <rPr>
        <b/>
        <sz val="9"/>
        <color rgb="FF000000"/>
        <rFont val="微软雅黑"/>
        <charset val="134"/>
      </rPr>
      <t>月份</t>
    </r>
    <r>
      <rPr>
        <sz val="9"/>
        <color rgb="FF000000"/>
        <rFont val="微软雅黑"/>
        <charset val="134"/>
      </rPr>
      <t> </t>
    </r>
  </si>
  <si>
    <r>
      <rPr>
        <b/>
        <sz val="9"/>
        <color rgb="FF000000"/>
        <rFont val="微软雅黑"/>
        <charset val="134"/>
      </rPr>
      <t>成本</t>
    </r>
    <r>
      <rPr>
        <sz val="9"/>
        <color rgb="FF000000"/>
        <rFont val="微软雅黑"/>
        <charset val="134"/>
      </rPr>
      <t> </t>
    </r>
  </si>
  <si>
    <r>
      <rPr>
        <b/>
        <sz val="9"/>
        <color rgb="FF000000"/>
        <rFont val="微软雅黑"/>
        <charset val="134"/>
      </rPr>
      <t>公式 1</t>
    </r>
    <r>
      <rPr>
        <sz val="9"/>
        <color rgb="FF000000"/>
        <rFont val="微软雅黑"/>
        <charset val="134"/>
      </rPr>
      <t> </t>
    </r>
  </si>
  <si>
    <r>
      <rPr>
        <b/>
        <sz val="9"/>
        <color rgb="FF000000"/>
        <rFont val="微软雅黑"/>
        <charset val="134"/>
      </rPr>
      <t>（对应的成本）</t>
    </r>
    <r>
      <rPr>
        <sz val="9"/>
        <color rgb="FF000000"/>
        <rFont val="微软雅黑"/>
        <charset val="134"/>
      </rPr>
      <t> </t>
    </r>
  </si>
  <si>
    <t>公式 2 </t>
  </si>
  <si>
    <r>
      <rPr>
        <b/>
        <sz val="9"/>
        <color rgb="FF000000"/>
        <rFont val="微软雅黑"/>
        <charset val="134"/>
      </rPr>
      <t>（预测的成本）</t>
    </r>
    <r>
      <rPr>
        <sz val="9"/>
        <color rgb="FF000000"/>
        <rFont val="微软雅黑"/>
        <charset val="134"/>
      </rPr>
      <t> </t>
    </r>
  </si>
  <si>
    <t xml:space="preserve">注释 示例中的公式必须以数组公式输入。将示例复制到空白工作表后，请选中以公式单元格开始的区域 C2:C13 或 B15:B19。按 F2，再按 Ctrl+Shift+Enter。如果公式不是以数组公式的形式输入的，则单个结果为 145164.74359 和 139938.0303 。 </t>
  </si>
  <si>
    <t>WPS公式（函数）大全——mdeterm</t>
  </si>
  <si>
    <t xml:space="preserve">语法：
返回一个数组的矩阵行列式的值。 
MDETERM(array) 
Array 行数和列数相等的数值数组。 
说明 
• Array 可以是单元格区域，例如 A2:C4；或是一个数组常量，如{1,2,3;4,5,6;7,8,9}；或是区域或数组常量的名称。 
• 如果 Array 中单元格是非数值类型，则函数 MDETERM 返回错误值 #VALUE!。 
• 如果 Array 的行和列的数目不相等，则函数 MDETERM 也返回错误值 #VALUE!。 </t>
  </si>
  <si>
    <t>上面矩阵的行列式值(336)</t>
  </si>
  <si>
    <t>数组常量的矩阵行列式值(32)</t>
  </si>
  <si>
    <t>数组常量的矩阵行列式值(-27)</t>
  </si>
  <si>
    <t>因为数组中行和列的数目不相等，所以返回错误值(#VALUE!)</t>
  </si>
  <si>
    <t>WPS公式（函数）大全——correl</t>
  </si>
  <si>
    <t>语法：
返回单元格区域 array1 和 array2 之间的相关系数。使用相关系数可以确定两种属性之间的关系。例如，可以检测某地的平均温度和空调使用情况之间的关系。 
CORREL(array1,array2) 
Array1 第一组数值单元格区域。 
Array2 第二组数值单元格区域。 
说明 
若 array1 和 array2 的数据点的个数不同，则 CORREL 返回错误值 #N/A。
若 array1 或 array2 为空，或者其数值的 s（标准偏差）等于零，则 CORREL 返回错误值 #DIV/0!。
若数组或引用参数包含文本、逻辑值以及空白单元格，则这些值将被忽略； 但包含零值的单元格将计算在内。</t>
  </si>
  <si>
    <r>
      <rPr>
        <b/>
        <sz val="9"/>
        <color rgb="FF000000"/>
        <rFont val="微软雅黑"/>
        <charset val="134"/>
      </rPr>
      <t>数据1</t>
    </r>
    <r>
      <rPr>
        <sz val="10.5"/>
        <color rgb="FF000000"/>
        <rFont val="Arial"/>
        <charset val="134"/>
      </rPr>
      <t> </t>
    </r>
  </si>
  <si>
    <r>
      <rPr>
        <b/>
        <sz val="9"/>
        <color rgb="FF000000"/>
        <rFont val="微软雅黑"/>
        <charset val="134"/>
      </rPr>
      <t>公式</t>
    </r>
    <r>
      <rPr>
        <sz val="10.5"/>
        <color rgb="FF000000"/>
        <rFont val="Arial"/>
        <charset val="134"/>
      </rPr>
      <t> </t>
    </r>
  </si>
  <si>
    <t>上述两个数据集合的相关系数 (0.935173726) </t>
  </si>
  <si>
    <t>WPS公式（函数）大全——negbinomdist</t>
  </si>
  <si>
    <t>语法：
返回负二项式分布。当成功概率为常量 probability_s 时，函数 NEGBINOMDIST 返回在到达 number_s 次成功之前，出现 number_f 次失败的概率。此函数与二项式分布相似，只是它的成功次数固定，试验总数为变量。与二项式分布类似的是，试验次数被假设为自变量。 
例如，如果要找 10 个反应敏捷的人，且已知具有这种特征的候选人的概率为 0.3。函数 NEGBINOMDIST 将计算出在找到 10 个合格候选人之前，需要对给定数目的不合格候选人进行面视的概率。 
NEGBINOMDIST(number_f,number_s,probability_s) 
Number_f 失败次数。 
Number_s 成功的极限次数。 
Probability_s 成功的概率。 
Number_f 和 number_s 将被截尾取整。
若任一参数为非数值型，则 NEGBINOMDIST 返回错误值 #VALUE!。
若 probability_s &lt; 0 或 probability &gt; 1，则 NEGBINOMDIST 返回错误值 #NUM!。
若 number_f &lt; 0 或 number_s &lt; 1，则 NEGBINOMDIST 返回错误值 #NUM!。</t>
  </si>
  <si>
    <t>失败次数 </t>
  </si>
  <si>
    <t>成功的极限次数 </t>
  </si>
  <si>
    <t>成功的概率</t>
  </si>
  <si>
    <t>在上述条件下的负二项式分布值 (0.109375)</t>
  </si>
  <si>
    <t>WPS公式（函数）大全——betainv</t>
  </si>
  <si>
    <t xml:space="preserve">语法：
返回指定的 beta 分布累积分布函数的反函数值。即，如果 probability = BETADIST(x,...)，则 BETAINV(probability,...) = x。beta 分布函数可用于项目设计，在给定期望的完成时间和变化参数后，模拟可能的完成时间。  
BETAINV(probability,alpha,beta,A,B) 
Probability Beta 分布的概率值。 
Alpha 分布参数。 
Beta 分布参数。 
A 数值 x 所属区间的可选下界。 
B 数值 x 所属区间的可选上界。 
若任意参数为非数值型，则 BETAINV 返回错误值 #VALVE!。
若 alpha ≤ 0 或 beta ≤ 0，则 BETAINV 返回错误值 #NUM!。
若 probability ≤ 0 或 probability &gt; 1，则 BETAINV 返回错误值 #NUM!。
若省略 A 或 B 值，则 BETAINV 使用标准的累积 beta 分布，即 A = 0，B = 1。
若已给定概率值，则 BETAINV 使用 BETADIST(x, alpha, beta, A, B) = probability 求解数值 x。因此，BETAINV 的精度取决于 BETADIST 的精度。BETAINV 使用迭代搜索技术。若搜索在 100 次迭代之后没有收敛，则函数返回错误值 #N/A。 </t>
  </si>
  <si>
    <t>beta 分布的概率值</t>
  </si>
  <si>
    <t>上述参数的 Beta 分布累积函数的的反函数值 (3)</t>
  </si>
  <si>
    <t>WPS公式（函数）大全——binomdist</t>
  </si>
  <si>
    <t xml:space="preserve">语法：
返回一元二项式分布的概率值。 BINOMDIST 函数适用于固定次数的独立 实验，实验的结果只包含成功或失败二种 情况，且成功的概率在实验期间固定不变。 例如，它可以计算掷10 次硬币时正面朝上 6 次的概率。 
BINOMDIST(number_s，trials， probability_s，cumulative) 
参数：Number_s为实验成功的次数，Trials 为独立实验的次数，Probability_s为一次 实验中成功的概率，Cumulative 是一个逻 辑值，用于确定函数的形式。如果 cumulative 为TRUE，则BINOMDIST 函数返 回累积分布函数，即至多number_s 次成功 的概率；如果为FALSE，返回概率密 度函数，即number_s 次成功的概率。 </t>
  </si>
  <si>
    <t>实例：抛硬币的结果不是正面就是反面， 第一次抛硬币为正面的概率是0.5。则掷 硬币10 次中6 次的计算公式为 “=BINOMDIST(6，10，0.5，FALSE)”， 计算的结果等于0.205078.</t>
  </si>
  <si>
    <t>WPS公式（函数）大全——CRITBINOM</t>
  </si>
  <si>
    <t xml:space="preserve">语法：
返回使累积二项式分布大于等于临界值的最小值。此函数可以用于质量检验。例如，使用函数 CRITBINOM 来决定最多允许出现多少个有缺陷的部件，才可以保证当整个产品在离开装配线时检验合格。 
CRITBINOM(trials,probability_s,alpha) 
Trials 伯努利试验次数。 
Probability_s 每次试验中成功的概率。 
Alpha 临界值。 
若 trials 不是整数，将被截尾取整。
若任意参数为非数值型，则 CRITBINOM 返回错误值 #VALUE!。
若出现以下任一情况 ，则 CRITBINOM 返回错误值 #NUM!。
1、 trial &lt; 0 
2、 probability_s &lt; 0 或 probability_s &gt; 1 
3、 alpha &lt; 0 或 alpha &gt; 1 </t>
  </si>
  <si>
    <t>伯努利试验次数 </t>
  </si>
  <si>
    <t>每次试验成功的概率 </t>
  </si>
  <si>
    <t>临界值</t>
  </si>
  <si>
    <t>返回累积二项式分布大于等于临界值的最小值 (6) </t>
  </si>
  <si>
    <t>WPS公式（函数）大全——geomean</t>
  </si>
  <si>
    <t xml:space="preserve">语法：
返回正数数组或区域的几何平均值。 
GEOMEAN(number1,number2,...) 
Number1, number2, ... 可用于计算平均数的 1 至 30 个参数，也可以不使用这种用逗号分隔参数的形式，而用单个数组或数组引用的形式。 
说明 
• 参数可以是数字，或者是包含数字的名称、数组或引用。 
• 如果数组或引用参数包含文本、逻辑值或空白单元格，则这些值将被忽略；但包含零值的单元格将计算在内。 
• 如果任何数据点小于 0，函数 GEOMEAN 返回错误值 #NUM!。 </t>
  </si>
  <si>
    <t>计算上述数据集的几何平均值(13.85527241)</t>
  </si>
  <si>
    <t>WPS公式（函数）大全——kurt</t>
  </si>
  <si>
    <t>语法：
返回数据集的峰值。峰值反映与正态分布相比某一分布的尖锐度或平坦度。正峰值表示相对尖锐的分布。负峰值表示相对平坦的分布。 
语法 
KURT(number1,number2,...) 
Number1,number2, ... 这是用于计算峰值的一组参数，参数的个数可以为 1 到 30 个。也可以用单一数组或对某个数组的引用来代替用逗号分隔的参数。 
说明 
参数可以是数字，或者是包含数字的名称、数组或引用。
逻辑值和直接键入到参数列表中代表数字的文本被计算在内。
若数组或引用参数包含文本、 逻辑值或空白单元格，则这些值将被忽略；但包含零值的单元格将计算在内。
若数据点少于 4 个，或样本标准偏差等于 0，则 KURT 返回错误值 #DIV/0!。</t>
  </si>
  <si>
    <t>上述数据集的峰值 (-1.8736455766)</t>
  </si>
  <si>
    <t>WPS公式（函数）大全——standardize</t>
  </si>
  <si>
    <t>语法：
返回以 mean 为平均值，以 standard-dev 为标准偏差的分布的正态化数值。 
STANDARDIZE(x,mean,standard_dev) 
X 需要进行正态化的数值。 
Mean 分布的算术平均值。 
Standard_dev 分布的标准偏差。 
说明 
若 standard_dev ≤ 0，则 STANDARDIZE 返回错误值 #NUM!。</t>
  </si>
  <si>
    <t>要正态化的数值 </t>
  </si>
  <si>
    <t>符合上述条件的 32 的正态化数值 (12)</t>
  </si>
  <si>
    <t>WPS公式（函数）大全——ztest</t>
  </si>
  <si>
    <t>语法：
返回 z 检验的单尾概率值。对于给定的假设总体平均值 μ0，ZTEST 返回样本平均值大于数据集（数组）中观察平均值的概率，即观察样本平均值。 
若要了解如何在公式中使用 ZTEST 计算双尾概率值的有关信息，请参阅下面的“说明”部分。 
ZTEST(array,μ0,sigma) 
Array 用来检验 μ0 的数组或数据区域。 
μ0 待检验的值。 
Sigma 样本总体（已知）的标准偏差，如果省略，则使用样本标准偏差。 
说明 
若 array 为空，则 ZTEST 返回错误值 #N/A。</t>
  </si>
  <si>
    <t>假设总体平均值为 4，以上数据集的 z 检验单尾概率值 (0.254655143)</t>
  </si>
  <si>
    <t>假设总体平均值为 4，以上数据集的 z 检验双尾概率值 (0.509310287)</t>
  </si>
  <si>
    <t>假设总体平均值为 6，以上数据集的 z 检验单尾概率值 (0.938194801)</t>
  </si>
  <si>
    <t>假设总体平均值为 6，以上数据集的 z 检验双尾概率值 (0.123610398)</t>
  </si>
  <si>
    <t>WPS公式（函数）大全——syd</t>
  </si>
  <si>
    <t xml:space="preserve">语法：
返回某项资产按年限总和折旧法计算的指定期间的折旧值。 
SYD(cost,salvage,life,per) 
cost 为资产原值。 
salvage 为资产在折旧期末的价值（也称为资产残值）。 
life 为折旧期限（有时也称作资产的使用寿命）。 
per 为期间，其单位与 life 相同。 
说明 
函数 SYD 计算公式如下： 
</t>
  </si>
  <si>
    <t>第一年的折旧值(457,142.86)</t>
  </si>
  <si>
    <t>第六年的折旧值(76,190.48)</t>
  </si>
  <si>
    <t>WPS公式（函数）大全——expondist</t>
  </si>
  <si>
    <t xml:space="preserve">语法：
返回指数分布。使用函数 EXPONDIST 可以建立事件之间的时间间隔模型，例如，在计算银行自动提款机支付一次现金所花费的时间时，可通过函数 EXPONDIST 来确定这一过程最长持续 1 分钟的发生概率。  
EXPONDIST(x,lambda,cumulative) 
X 函数的值。 
Lambda 参数值。 
Cumulative 一逻辑值，指定要提供的指数函数的形式。如果 cumulative 为 TRUE，函数 EXPONDIST 返回累积分布函数；如果 cumulative 为 FALSE，返回概率密度函数。  
若 x 或 lambda 为非数值型，则 EXPONDIST 返回错误值 #VALUE!。
若出现以下任一情况 ，则 EXPONDIST 返回错误值 #NUM!。 
1、x &lt; 0 
2、lambda ≤ 0 </t>
  </si>
  <si>
    <r>
      <rPr>
        <sz val="9"/>
        <color rgb="FF000000"/>
        <rFont val="微软雅黑"/>
        <charset val="134"/>
      </rPr>
      <t>函数的值</t>
    </r>
    <r>
      <rPr>
        <sz val="10.5"/>
        <color rgb="FF000000"/>
        <rFont val="Arial"/>
        <charset val="134"/>
      </rPr>
      <t> </t>
    </r>
  </si>
  <si>
    <r>
      <rPr>
        <sz val="9"/>
        <color rgb="FF000000"/>
        <rFont val="微软雅黑"/>
        <charset val="134"/>
      </rPr>
      <t>参数值</t>
    </r>
    <r>
      <rPr>
        <sz val="10.5"/>
        <color rgb="FF000000"/>
        <rFont val="Arial"/>
        <charset val="134"/>
      </rPr>
      <t> </t>
    </r>
  </si>
  <si>
    <r>
      <rPr>
        <sz val="9"/>
        <color rgb="FF000000"/>
        <rFont val="微软雅黑"/>
        <charset val="134"/>
      </rPr>
      <t>累积指数分布函数 （0.999993856)</t>
    </r>
    <r>
      <rPr>
        <sz val="10.5"/>
        <color rgb="FF000000"/>
        <rFont val="Arial"/>
        <charset val="134"/>
      </rPr>
      <t> </t>
    </r>
  </si>
  <si>
    <r>
      <rPr>
        <sz val="9"/>
        <color rgb="FF000000"/>
        <rFont val="微软雅黑"/>
        <charset val="134"/>
      </rPr>
      <t>概率指数分布函数（0.000122884）</t>
    </r>
    <r>
      <rPr>
        <sz val="10.5"/>
        <color rgb="FF000000"/>
        <rFont val="Arial"/>
        <charset val="134"/>
      </rPr>
      <t> </t>
    </r>
  </si>
  <si>
    <t>WPS公式（函数）大全——hypgeomdist</t>
  </si>
  <si>
    <t xml:space="preserve">语法：
返回超几何分布。给定样本容量、样本总体容量和样本总体中成功的次数，函数 HYPGEOMDIST 返回样本取得给定成功次数的概率。使用函数 HYPGEOMDIST 可以解决有限总体的问题，其中每个观察值或者为成功或者为失败，且给定样本容量的每一个子集有相等的发生概率。 
HYPGEOMDIST(sample_s,number_sample,population_s,number_population) 
Sample_s 样本中成功的次数。 
Number_sample 样本容量。 
Population_s 样本总体中成功的次数。 
Number_population 样本总体的容量。 
所有参数将被截尾取整。
若任一参数为非数值型，则 HYPGEOMDIST 返回错误值 #VALUE!。
若出现以下任一情况，则 HYPGEOMDIST 返回错误值 #NUM!。
1、 sample_s &lt; 0 或 sample_s 大于 number_sample 和 population_s 中的较小值 
2、 sample_s 小于 0 或 (number_sample - number_population + population_s) 中的较大值 
3、 number_sample ≤ 0 或 number_sample &gt; number_population 
4、 population_s ≤ 0 或 population_s &gt; number_population 
5、 number_population ≤ 0 </t>
  </si>
  <si>
    <t>样本中成功的次数 </t>
  </si>
  <si>
    <t>样本容量 </t>
  </si>
  <si>
    <t>样本总体中成功的次数</t>
  </si>
  <si>
    <t>样本总体的容量</t>
  </si>
  <si>
    <t>返回上述样本和样本总体的超几何分布 (0.363261094)</t>
  </si>
  <si>
    <t>WPS公式（函数）大全——power</t>
  </si>
  <si>
    <t xml:space="preserve">语法：
返回给定数字的乘幂。 
POWER（number,power） 
Number 底数，可以为任意实数。 
POWER 指数，底数按该指数次幂乘方。 
说明 
可以用“^”运算符代替函数 POWER 来表示对底数乘方的幂次，例如 5^2。 </t>
  </si>
  <si>
    <t>5的平方(25)</t>
  </si>
  <si>
    <t>98.6的3.2次方(2401077)</t>
  </si>
  <si>
    <t>4的5/4次方(5.656854)</t>
  </si>
  <si>
    <t>语法：
返回韦伯分布。使用此函数可以进行可靠性分析，比如计算设备的平均故障时间。 
WEIBULL(x,alpha,beta,cumulative) 
X 参数值。 
Alpha 分布参数。 
Beta 分布参数。 
Cumulative 确定函数的形式。 
若 alpha ≤ 0 或 beta ≤ 0，则 WEIBULL 返回错误值 #NUM!。
若 x &lt; 0，则 WEIBULL 返回错误值 #NUM!。
若 x、alpha 或 beta 为非数值型，则 WEIBULL 返回错误值 #VALUE!。</t>
  </si>
  <si>
    <t>参数值 </t>
  </si>
  <si>
    <t>Beta 分布参数 </t>
  </si>
  <si>
    <t>在上述条件下使用韦伯累积分布函数的结果 (0.487764992)</t>
  </si>
  <si>
    <t>在上述条件下使用韦伯概率密度函数的结果 (0.069226415)</t>
  </si>
  <si>
    <t>语法：
返回两个数组的矩阵乘积。结果矩阵的行数与 array1 的行数相同，矩阵的列数与 array2 的列数相同。 
MMULT (array1, array2) 
array1, array2 要进行矩阵乘法运算的两个数组。 
array1 和 array2 可以是单元格区域、引用或数组常量。
array1 的列数必须与 array2 的行数相同，而且两个数组中都只能包含数值。
对于返回结果为数组的公式，必须以数组公式的形式输入。
在以下情况下，MMULT 返回错误值 #VALUE!：
1、任意单元格为空或包含文字。
2、array1 的列数与 array2 的行数不相等。
3、结果数组的容量等于或大于总计 5,461 个单元格。</t>
  </si>
  <si>
    <t>array1 </t>
  </si>
  <si>
    <t>array1</t>
  </si>
  <si>
    <t>array2 </t>
  </si>
  <si>
    <t>array2</t>
  </si>
  <si>
    <t>WPS公式（函数）大全——lcm</t>
  </si>
  <si>
    <t>语法：
返回整数参数的最小公倍数。最小公倍数是所有整数参数 number1、number2 等等的最小正整数倍数。用函数 LCM 可以将分母不同的分数相加。 
LCM(number1,number2, ...) 
Number1, number2,... 可计算最小公倍数的 1 至 255 个参数。如果参数不是整数，则截尾取整。 
注解 
如果参数为非数值型，函数 LCM 返回错误值 #VALUE!。
如果有任何参数小于 0，函数 LCM 返回错误值 #NUM!。</t>
  </si>
  <si>
    <t>6和3的最小公倍数(6)</t>
  </si>
  <si>
    <t>32和48的最小公倍数(96)</t>
  </si>
  <si>
    <t>WPS公式（函数）大全——slope</t>
  </si>
  <si>
    <t>语法：
返回根据 known_y's 和 known_x's 中的数据点拟合的线性回归直线的斜率。斜率为直线上任意两点的重直距离与水平距离的比值，也就是回归直线的变化率。 
SLOPE(known_y's,known_x's) 
Known_y's 数字型因变量数据点数组或单元格区域。 
Known_x's 自变量数据点集合。  
参数可以是数字，或是包含数字的名称、数组或引用。
若数组或引用参数包含文本、逻辑值或空白单元格，则这些值将被忽略；但包含零值的单元格将计算在内。
若 known_y's 和 known_x's 为空或其数据点个数不同，则 SLOPE 返回错误值 #N/A。</t>
  </si>
  <si>
    <r>
      <rPr>
        <b/>
        <sz val="9"/>
        <color rgb="FF000000"/>
        <rFont val="微软雅黑"/>
        <charset val="134"/>
      </rPr>
      <t>已知 y</t>
    </r>
    <r>
      <rPr>
        <sz val="9"/>
        <color rgb="FF000000"/>
        <rFont val="微软雅黑"/>
        <charset val="134"/>
      </rPr>
      <t> </t>
    </r>
  </si>
  <si>
    <t>通过上面数据点的线性回归拟合线的斜率 (0.79646017699)</t>
  </si>
  <si>
    <t>WPS公式（函数）大全——gammadist</t>
  </si>
  <si>
    <t>语法：
返回伽玛分布。可以使用此函数来研究具有偏态分布的变量。伽玛分布通常用于排队分析。 
语法 
GAMMADIST(x,alpha,beta,cumulative) 
X 用来计算分布的值。 
Alpha 分布参数。 
Beta 分布参数。若 beta = 1，则 GAMMADIST 返回标准伽玛分布。 
Cumulative 一逻辑值，决定函数的形式。若 cumulative 为 TRUE，则 GAMMADIST 返回累积分布函数；若为 FALSE，则返回概率密度函数。 
说明 
若 x、alpha 或 beta 为非数值型，则 GAMMADIST 返回错误值 #VALUE!。
若 x &lt; 0，则 GAMMADIST 返回错误值 #NUM!。
若 alpha ≤ 0 或 beta ≤ 0，则 GAMMADIST 返回错误值 #NUM!。</t>
  </si>
  <si>
    <t>用来计算分布的值 </t>
  </si>
  <si>
    <t>Alpha 分布参数 </t>
  </si>
  <si>
    <t>在上述条件下的概率伽玛分布 (0.045801830796)</t>
  </si>
  <si>
    <t>在上述条件下的累积伽玛分布 (0.80876393792) </t>
  </si>
  <si>
    <t>WPS公式（函数）大全——trunc</t>
  </si>
  <si>
    <t xml:space="preserve">语法：
将数字的小数部分截去，返回整数。 
TRUNC（number,num_digits） 
Number 需要截尾取整的数字。 
Num_digits 用于指定取整精度的数字。Num_digits 的默认值为 0。 
说明 
函数 TRUNC 和函数 INT 类似，都返回整数。函数 TRUNC 直接去除数字的小数部分，而函数 INT 则是依照给定数的小数部分的值，将其四舍五入到最接近的整数。 </t>
  </si>
  <si>
    <t>8.9的整数部分(8)</t>
  </si>
  <si>
    <t>-8.9的整数部分(-8)</t>
  </si>
  <si>
    <t>pi的整数部分(3)</t>
  </si>
  <si>
    <t>WPS公式（函数）大全——fdist</t>
  </si>
  <si>
    <t>语法：
返回 F 概率分布。使用此函数可以确定两个数据系列是否存在变化程度上的不同。例如，分析进入高校的男生、女生的考试分数，确定女生分数的变化程度是否与男生不同。 
FDIST(x,degrees_freedom1,degrees_freedom2) 
X 用来进行函数计算的值。 
Degrees_freedom1 分子的自由度。 
Degrees_freedom2 分母的自由度。 
若任一参数为非数值型，则 FDIST 返回错误值 #VALUE!。
若出现以下任一情况，则 FDIST 返回错误值 #NUM!。
1、 x 为负数 
2、 degrees_freedom1 &lt; 1 或 degrees_freedom1 ≥ 10^10 
3、 degrees_freedom2 &lt; 1 或 degrees_freedom2 ≥ 10^10 
若 degrees_freedom1 或 degrees_freedom2 不是整数，将被截尾取整。
函数 FDIST 的计算公式为 FDIST=P( F&gt;x )，其中 F 为呈 F 分布且带有 degrees_freedom1 和 degrees_freedom2 自由度的随机变量。</t>
  </si>
  <si>
    <t>分子的自由度 </t>
  </si>
  <si>
    <t>在上述条件下的 F 概率分布 (0.050837468) </t>
  </si>
  <si>
    <t>WPS公式（函数）大全——chitest</t>
  </si>
  <si>
    <t>语法：
返回独立性检验值。函数 CHITEST 返回 (χ2) 分布的统计值及相应的自由度。可以使用 (χ2) 检验值确定假设值是否被实验所证实。 
CHITEST(actual_range,expected_range) 
Actual_range 包含观察值的数据区域，将对期望值作检验。 
Expected_range 包含行列汇总的乘积与总计值之比率的数据区域。 
若 actual_range 和 expected_range 数据点的个数不同，则 CHITEST 返回错误值 #N/A。</t>
  </si>
  <si>
    <r>
      <rPr>
        <b/>
        <sz val="9"/>
        <color rgb="FF000000"/>
        <rFont val="微软雅黑"/>
        <charset val="134"/>
      </rPr>
      <t>女士（实际数）</t>
    </r>
    <r>
      <rPr>
        <sz val="9"/>
        <color rgb="FF000000"/>
        <rFont val="微软雅黑"/>
        <charset val="134"/>
      </rPr>
      <t> </t>
    </r>
  </si>
  <si>
    <t>男士（实际数）</t>
  </si>
  <si>
    <t>同意</t>
  </si>
  <si>
    <t>中立</t>
  </si>
  <si>
    <t>不同意 </t>
  </si>
  <si>
    <r>
      <rPr>
        <b/>
        <sz val="9"/>
        <color rgb="FF000000"/>
        <rFont val="微软雅黑"/>
        <charset val="134"/>
      </rPr>
      <t>女士（期望数）</t>
    </r>
    <r>
      <rPr>
        <sz val="9"/>
        <color rgb="FF000000"/>
        <rFont val="微软雅黑"/>
        <charset val="134"/>
      </rPr>
      <t> </t>
    </r>
  </si>
  <si>
    <t>男士（期望数）</t>
  </si>
  <si>
    <t>上述数据的独立性检验值 (0.000236785) </t>
  </si>
  <si>
    <t>WPS公式（函数）大全——odd</t>
  </si>
  <si>
    <t xml:space="preserve">语法：
返回对指定数值进行向上舍入后的奇数。 
ODD（number） 
Number 是将进行四舍五入的数值。 
说明 
• 如果 Number 为非数值参数，函数 ODD 将返回错误值 #VALUE!。 
• 不论正负号如何，数值都朝着远离 0 的方向舍入。如果 Number 恰好是奇数，则不须进行任何舍入处理。 </t>
  </si>
  <si>
    <t>将1.5向上舍入到最近的奇数</t>
  </si>
  <si>
    <t>将3向上舍入到最近的奇数(3)</t>
  </si>
  <si>
    <t>将2向上舍入到最近的奇数(3)</t>
  </si>
  <si>
    <t>WPS公式（函数）大全——db</t>
  </si>
  <si>
    <t xml:space="preserve">语法：
使用固定余额递减法，计算一笔资产在给定期间内的折旧值。 
DB(cost,salvage,life,period,month) 
cost 为资产原值。 
salvage 为资产在折旧期末的价值（也称为资产残值）。 
life 为折旧期限（有时也称作资产的使用寿命）。 
period 为需要计算折旧值的期间。Period 必须使用与 life 相同的单位。 
month 为第一年的月份数，如省略，则假设为 12。 
• 固定余额递减法用于计算固定利率下的资产折旧值，函数 DB 使用下列计算公式来计算一个期间的折旧值： 
(cost - 前期折旧总值 ) * rate 
式中： 
rate = 1 - ((salvage / cost) ^ (1 / life))，保留 3 位小数 
• 第一个周期和最后一个周期的折旧属于特例。对于第一个周期，函数 DB 的计算公式为： 
cost * rate * month / 12 
• 对于最后一个周期，函数 DB 的计算公式为： 
((cost - 前期折旧总值) * rate * (12 - month)) / 12 </t>
  </si>
  <si>
    <t>计算第一年7个月内的折旧值(322,350.00)</t>
  </si>
  <si>
    <t>计算第二年的折旧值(453,638.55)</t>
  </si>
  <si>
    <t>计算第三年的折旧值(314,371.52)</t>
  </si>
  <si>
    <t>计算第四年的折旧值(217,859.46)</t>
  </si>
  <si>
    <t>计算第五年的折旧值(150,976.61)</t>
  </si>
  <si>
    <t>计算第六年的折旧值(104,626.79)</t>
  </si>
  <si>
    <t>计算第七年5个月内的折旧值(30,210.98)</t>
  </si>
  <si>
    <t>WPS公式（函数）大全——ddb</t>
  </si>
  <si>
    <t xml:space="preserve">语法：
使用双倍余额递减法或其他指定方法，计算一笔资产在给定期间内的折旧值。 
DDB(cost,salvage,life,period,factor) 
cost 为资产原值。 
salvage 为资产在折旧期末的价值（也称为资产残值）。 
life 为折旧期限（有时也称作资产的使用寿命）。 
period 为需要计算折旧值的期间。Period 必须使用与 life 相同的单位。 
factor 为余额递减速率。如果 factor 被省略，则假设为 2（双倍余额递减法）。 
注意 这五个参数都必须为正数。 
说明 
• 双倍余额递减法以加速的比率计算折旧。折旧在第一阶段是最高的，在后继阶段中会减少。DDB 使用下面的公式计算一个阶段的折旧值： 
((资产原值-资产残值) - 前面阶段的折旧总值) * (余额递减速率/生命周期) 
• 如果不想使用双倍余额递减法，更改余额递减速率。 
• 当折旧大于余额递减计算值时，如果希望转换到直线余额递减法，请使用 VDB 函数。 </t>
  </si>
  <si>
    <t>计算第一天的折旧值。WPS表格自动将factor设置为2。(1,643.84)</t>
  </si>
  <si>
    <t>计算第一个月的折旧值(50,000.00)</t>
  </si>
  <si>
    <t>计算第一年的折旧值(600,000.00)</t>
  </si>
  <si>
    <t>计算第二年的折旧值，使用了1.5的余额递减速率，而不用双倍余额递减法(337,500.00)</t>
  </si>
  <si>
    <t>计算第六年的折旧值，WPS表格自动将factor设置为2(37,037.04)</t>
  </si>
  <si>
    <t>注意 结果将四舍五入到两位小数。 </t>
  </si>
  <si>
    <t>WPS公式（函数）大全——vdb</t>
  </si>
  <si>
    <t xml:space="preserve">语法：
使用双倍余额递减法或其他指定的方法，返回指定的任何期间内（包括部分期间）的资产折旧值。函数 VDB 代表可变余额递减法。 
语法 
VDB(cost,salvage,life,start_period,end_period,factor,no_switch) 
cost 为资产原值。 
salvage 为资产在折旧期末的价值（也称为资产残值）。 
life 为折旧期限（有时也称作资产的使用寿命）。 
start_period 为进行折旧计算的起始期间，Start_period 必须与 life 的单位相同。 
end_period 为进行折旧计算的截止期间，End_period 必须与 life 的单位相同。 
factor 为余额递减速率（折旧因子），如果省略参数 factor，则函数假设 factor 为 2（双倍余额递减法）。如果不想使用双倍余额递减法，可改变参数 factor 的值。有关双倍余额递减法的详细说明，请参阅函数DDB。 
no_switch 为一逻辑值，指定当折旧值大于余额递减计算值时，是否转用直线折旧法。 
• 如果 no_switch 为 TRUE，即使折旧值大于余额递减计算值，WPS表格 也不转用直线折旧法。 
• 如果 no_switch 为 FALSE 或被忽略，且折旧值大于余额递减计算值时，WPS表格 将转用线性折旧法。 
注意 除 no_switch 外的所有参数必须为正数。 </t>
  </si>
  <si>
    <t>第一天的折旧值。</t>
  </si>
  <si>
    <t>第一个月的折旧值(50,000.00)</t>
  </si>
  <si>
    <t>第一年的折旧值(600,000.00)</t>
  </si>
  <si>
    <t>在第六个月与第十八个月之间的折旧值(436,020.20)</t>
  </si>
  <si>
    <t>在第六个月与第十八个月之间的折旧值（用折旧因子1.5代替双倍余额法）(354,168.56)</t>
  </si>
  <si>
    <t>WPS公式（函数）大全——prob</t>
  </si>
  <si>
    <t xml:space="preserve">语法：
返回区域中的数值落在指定区间内的对应概率。如果没有给出上限 upper_limit，则返回区间 x_range 内的值等于下限 lower_limit 的概率。
PROB(x_range,prob_range,lower_limit,upper_limit) 
X_range 具有各自相应概率值的 x 数值区域。 
Prob_range 与 x_range 中的各个值相对应的一组概率值。 
Lower_limit 用于函数计算概率的数值下界。 
Upper_limit 用于函数计算概率的可选数值上界。 
• 如果 prob_range 中的任意值 ≤ 0 或 &gt; 1，函数 PROB 返回错误值 #NUM!。 
• 如果 prob_range 中所有值之和大于1，函数 PROB 返回错误值 #NUM!。 
• 如果省略 upper_limit，函数 PROB 返回值等于 lower_limit 时的概率。 
• 如果 x_range 和 prob_range 中的数据点对应的个数不同，函数 PROB 返回错误值 #N/A。
</t>
  </si>
  <si>
    <t>X</t>
  </si>
  <si>
    <t>概率</t>
  </si>
  <si>
    <t>x为5的概率(0.4)</t>
  </si>
  <si>
    <t>x在4到6之间的概率(0.7)</t>
  </si>
  <si>
    <t>WPS公式（函数）大全——BETADIST</t>
  </si>
  <si>
    <t>WPS公式（函数）大全——var</t>
  </si>
  <si>
    <t xml:space="preserve">语法：
计算基于给定样本的方差。 
VAR(number1,number2,...) 
Number1,number2,... 为对应于总体样本的 1 到 30 个参数。 
说明 
• 函数 VAR 假设其参数是样本总体中的一个样本。如果数据为样本总体，则应使用函数 VARP 来计算方差。 
• 逻辑值（TRUE 和 FALSE）和文本将被忽略。如果不能忽略逻辑值和文本，请使用 Vara 工作表函数。 
• 函数 VAR 的计算公式如下 
</t>
  </si>
  <si>
    <t>假设有 10 件工具在制造过程中是由同一台机器制造出来的，并取样为随机样本进行抗断强度检验。 </t>
  </si>
  <si>
    <t>工具抗断强度的方差(754.2666667)</t>
  </si>
  <si>
    <t>WPS公式（函数）大全——forecast</t>
  </si>
  <si>
    <t xml:space="preserve">语法：
根据已有的数值计算或预测未来值。此预测值为基于给定的 x 值推导出的 y 值。已知的数值为已有的 x 值和 y 值，再利用线性回归对新值进行预测。可以使用该函数对未来销售额、库存需求或消费趋势进行预测。 
FORECAST(x,known_y's,known_x's) 
x 为需要进行预测的数据点。 
known_y's 为因变量数组或数据区域。 
known_x's 为自变量数组或数据区域。 
• 如果 x 为非数值型，函数 FORECAST 返回错误值 #VALUE!。 
• 如果 known_y's 和 known_x's 为空或含有不同个数的数据点，函数 FORECAST 返回错误值 #N/A。 
• 如果 known_x's 的方差为零，函数 FORECAST 返回错误值 #DIV/0!。 
• 函数 FORECAST 的计算公式为 a+bx，式中： </t>
  </si>
  <si>
    <t>已知Y</t>
  </si>
  <si>
    <t>已知X</t>
  </si>
  <si>
    <t>基于给定的x值30为y预测一个值(9.74792)</t>
  </si>
  <si>
    <t>WPS公式（函数）大全——covar</t>
  </si>
  <si>
    <t xml:space="preserve">语法：
返回协方差，即每对数据点的偏差乘积的平均数，利用协方差可以决定两个数据集之间的关系。例如，可利用它来检验教育程度与收入档次之间的关系。 
COVAR(array1,array2) 
Array1 第一个所含数据为整数的单元格区域。 
Array2 第二个所含数据为整数的单元格区域。 
说明 
参数必须是数字，或者是包含数字的名称、数组或引用。
若 array1 和 array2 当中有一个为空，则 COVAR 返回错误值#DIV/0!。
若 array1 和 array2 所含数据点的个数不等，则 COVAR 返回错误值 #N/A。
若数组或引用参数包含文本、逻辑值以及空白单元格，则这些值将被忽略；但包含零值的单元格将计算在内。
</t>
  </si>
  <si>
    <t>数据1 </t>
  </si>
  <si>
    <t>协方差，即上述每对数据点的偏差乘积的平均数 (83.3333333) </t>
  </si>
  <si>
    <t>WPS公式（函数）大全——phonetic</t>
  </si>
  <si>
    <t xml:space="preserve">语法：
PHONETIC函数是一个连接文本的函数。此函数作用是提取文本字符串中的拼音 (furigana) 字符。也就是说此函数是一个获取代表拼音信息的字符串的函数。
 PHONETIC(reference)
PHONETIC 函数语法具有下列参数：
Reference 必需。文本字符串或对单个单元格或包含 furigana 文本字符串的单元格区域的引用。
如果 reference 为单元格区域，则返回区域左上角单元格中的 furigana 文本字符串。
如果 reference 为不相邻单元格的区域，将返回错误值 #N/A。
PHONETIC函数会忽略空白单元格。
PHONETIC函数不支持数字、日期、时间、逻辑值、错误值等。
PHONETIC函数不支持任何公式生成的值。
</t>
  </si>
  <si>
    <t>合并文本</t>
  </si>
  <si>
    <t>我们</t>
  </si>
  <si>
    <t>住在</t>
  </si>
  <si>
    <t>北京</t>
  </si>
  <si>
    <t>的金山上</t>
  </si>
  <si>
    <t>合并后的文本</t>
  </si>
  <si>
    <t>WPS公式（函数）大全——fisher</t>
  </si>
  <si>
    <t>语法：
返回点 x 的 Fisher 变换。该变换生成一个正态分布而非偏斜的函数。使用此函数可以完成相关系数的假设检验。 
FISHER(x) 
X 要对其进行变换的数值。 
说明 
若 x 为非数值型，则 FISHER 返回错误值 #VALUE!。
若 x ≤ -1 或 x ≥ 1，则 FISHER 返回错误值 #NUM!。</t>
  </si>
  <si>
    <t>0.68 的 Fisher 变换值 (0.8291140383) </t>
  </si>
  <si>
    <t>WPS公式（函数）大全——growth</t>
  </si>
  <si>
    <t xml:space="preserve">语法：
根据现有的数据预测指数增长值。根据现有的 x 值和 y 值，GROWTH 函数返回一组新的 x 值对应的 y 值。可以使用 GROWTH 工作表函数来拟合满足现有 x 值和 y 值的指数曲线。 
GROWTH(known_y's,known_x's,new_x's,const) 
known_y's 满足指数回归拟合曲线 y=b*m^x 的一组已知的 y 值。 
• 如果数组 known_y's 在单独一列中，则 known_x's 的每一列被视为一个独立的变量。 
• 如果数组 known-y's 在单独一行中，则 known-x's 的每一行被视为一个独立的变量。 
• 如果 known_y*s 中的任何数为零或为负数，GROWTH 函数将返回错误值 #NUM!。 
known_x's 满足指数回归拟合曲线 y=b*m^x 的一组已知的 x 值，为可选参数。 
• 数组 known_x's 可以包含一组或多组变量。如果只用到一个变量，只要 known_y's 和 known_x's 维数相同，它们可以是任何形状的区域。如果用到多个变量，known_y's 必须为向量（即必须为一行或一列的区域）。 
• 如果省略 known_x's，则假设该数组为 {1,2,3,...}，其大小与 known_y's 相同。 
new_x's 为需要通过 GROWTH 函数返回的对应 y 值的一组新 x 值。 
• New_x's 与 known_x's 一样，对每个独立变量必须包括单独的一列（或一行）。因此，如果 known_y's 是单列的，known_x's 和 new_x's 应该有同样的列数。如果 known_y's 是单行的，known_x's 和 new_x's 应该有同样的行数。 
• 如果省略 new_x's，则假设它和 known_x's 相同。 
• 如果 known_x's 与 new_x's 都被省略，则假设它们为数组 {1,2,3,...}，其大小与 known_y's 相同。 
const 为一逻辑值，用于指定是否将常数 b 强制设为 1。 
• 如果 const 为 TRUE 或省略，b 将按正常计算。 
• 如果 const 为 FALSE，b 将设为 1，m 值将被调整以满足 y = m^x。 
说明 
• 对于返回结果为数组的公式，在选定正确的单元格个数后，必须以数组公式的形式输入。 
• 当为参数（如 known_x's）输入数组常量时，应当使用逗号分隔同一行中的数据，用分号分隔不同行中的数据。 </t>
  </si>
  <si>
    <t>WPS公式（函数）大全——hyperlink</t>
  </si>
  <si>
    <t xml:space="preserve">语法：
HYPERLINK(link_location, friendly_name) 
Link_location 为要打开的文件名称或完整路径。可以是本地硬盘、UNC 路径或 URL 路径。 
Link_location 可以为括在引号中的文本字符串，或是包含文本字符串链接的单元格。
如果在 link_location 中指定的跳转不存在或不能访问，则当单击单元格时将出现错误信息。
Friendly_name 为单元格中显示的跳转文本值或数字值。单元格的内容为蓝色并带有下划线。如果省略 Friendly_name，单元格将 link_location 显示为跳转文本。 
Friendly_name 可以为数值、文本字符串、名称或包含跳转文本或数值的单元格。
如果 Friendly_name 返回错误值（例如，#VALUE!），单元格将显示错误值以替代跳转文本。
若要选定一个包含超链接的单元格并且不跳往超链接的目标文件，请单击单元格区域并按住鼠标按钮直到光标变成十字，然后释放鼠标按钮。 
</t>
  </si>
  <si>
    <t>=HYPERLINK("c:/","打开C盘")</t>
  </si>
  <si>
    <t>=HYPERLINK("D:/下载/","打开D盘下载文件夹")</t>
  </si>
  <si>
    <t>=HYPERLINK("D:/下载/照片 018.jpg","打开D盘下载文件夹中照片 018")</t>
  </si>
  <si>
    <t>=HYPERLINK("#K3","跳转单元格")，地址前加“#”</t>
  </si>
  <si>
    <t>需要使用#[表名]！[单元格]</t>
  </si>
  <si>
    <t xml:space="preserve">使用[本地文件全路径][表名]![单元格]
如F盘学习资料中的公众号素材.xlsx中sheet2表的F1单元格
=HYPERLINK("[F:\学习资料\公众号素材.xlsx]sheet2!F1","跳至公众号素材sheet2的F1")
</t>
  </si>
  <si>
    <t>注意要打上http://</t>
  </si>
  <si>
    <t>编号</t>
  </si>
  <si>
    <t>内容</t>
  </si>
  <si>
    <t>所用函数和公式</t>
  </si>
  <si>
    <t>链接地址</t>
  </si>
  <si>
    <t>案例1</t>
  </si>
  <si>
    <t>从身份证计算出岁数、生日、性别</t>
  </si>
  <si>
    <t>mid datedif</t>
  </si>
  <si>
    <t>案例2</t>
  </si>
  <si>
    <t>提取QQ号码</t>
  </si>
  <si>
    <t>mid left</t>
  </si>
  <si>
    <t xml:space="preserve">首先建立了名称管理器，然后进行跳转#[名称]
如在hyperlink详解表格里面建立了一个名称为数据源，引用的E:F列
利用函数快速链接过去
=HYPERLINK("#数据源","打开数据源")
</t>
  </si>
  <si>
    <t xml:space="preserve">当工作表中存在宏时，可以对宏编程跳转#[宏名]
=HYPERLINK("#宏1","打开宏")
</t>
  </si>
  <si>
    <t xml:space="preserve">10特别说明：如果引用的表中有特殊符号如表名为1-1
需要在1-1前后加上单引号，否则会出现错误！
=HYPERLINK("#'1-1'!F1","表格")
</t>
  </si>
  <si>
    <t>WPS公式（函数）大全——isodd</t>
  </si>
  <si>
    <t>语法：
ISODD函数用于判断数字是否为奇数，如果是，则返回TRUE；否则返回FALSE。
ISODD(number)
number：表示需要判断是否为奇数的数字
①如果该函数中的参数为文本格式，则该函数将会返回#VALUE!错误值。
②如果参数number为小数，则该函数将会忽略小数点后面的数字，截尾取整返回结果。</t>
  </si>
  <si>
    <t>根据身份证判断性别</t>
  </si>
  <si>
    <t>身份证号</t>
  </si>
  <si>
    <t>判断性别</t>
  </si>
  <si>
    <t>张三丰</t>
  </si>
  <si>
    <t>132960163502250053</t>
  </si>
  <si>
    <t>李英爱</t>
  </si>
  <si>
    <t>189526158211241022</t>
  </si>
  <si>
    <t>说明：18位身份证的第17位代表性别，为偶数时，代表女性，为奇数时，代表男性。</t>
  </si>
  <si>
    <t>WPS公式（函数）大全——SUMX2MY2</t>
  </si>
  <si>
    <t>语法：
计算两数组中对应数值的平方差之和。 
SUMX2MY2 (array_x, array_y) 
Array_x 第一个数组或数值区域。 
Array_y 第二个数组或数值区域。  
参数可以是数值、数组、名称、或者是数组的引用。
若数组或引用参数包含 文本、逻辑值以及空白单元格，则这些值将被忽略；但包含零值的单元格将计算在内。
若 array_x 和 array_y 的元素数目不同， 则 SUMX2MY2 将返回错误值 #N/A。</t>
  </si>
  <si>
    <t>第一个数组 </t>
  </si>
  <si>
    <t>第二个数组</t>
  </si>
  <si>
    <t>上面两数组常量的平方差之和 (-23) </t>
  </si>
  <si>
    <t>上面两数组的平方差之和 (-23) </t>
  </si>
  <si>
    <t>WPS公式（函数）大全——sumx2py2</t>
  </si>
  <si>
    <t>语法：
计算两数组中对应数值的平方和之和。 
SUMX2PY2 (array_x, array_y) 
Array_x 第一个数组或数值区域。 
Array_y 第二个数组或数值区域。
参数可以是数值、数组、名称、或者是数组的引用。
若数组或引用参数包含文本、逻辑值以及空白单元格，则这些值将被忽略；但包含零值的单元格将计算在内。
若 array_x 和 array_y 的元素数目不同， 则 SUMX2PY2 将返回错误值 #N/A。
若 array_x 和 array_y 的元素数目不同， 则 SUMX2MY2 将返回错误值 #N/A。</t>
  </si>
  <si>
    <t xml:space="preserve">上面两数组常量的平方和之和 (147) </t>
  </si>
  <si>
    <t xml:space="preserve">上面两数组的平方和之和 (147) </t>
  </si>
  <si>
    <t>WPS公式（函数）大全——sumxmy2</t>
  </si>
  <si>
    <t>语法：
计算两数组中对应数值之差的平方和。 
SUMXMY2 (array_x, array_y) 
Array_x 第一个数组或数值区域。 
Array_y 第二个数组或数值区域。 
参数可以是数值、数组、名称、或者是数组的引用。
若数组或引用参数包含文本、逻辑值以及空白单元格，则这些值将被忽略；但包含零值的单元格将计算在内。 
若 array_x 和 array_y 的元素数目不同， 则 SUMXMY2 将返回错误值 #N/A。</t>
  </si>
  <si>
    <t xml:space="preserve">上面两数组常量的平方差之和 (53) </t>
  </si>
  <si>
    <t>上面两数组的平方差之和 (53)</t>
  </si>
  <si>
    <t>WPS公式（函数）大全——exp</t>
  </si>
  <si>
    <t xml:space="preserve">语法：
返回 e 的 n 次幂。常数 e 等于 2.71828182845904，是自然对数的底数。 
EXP（number） 
Number 为底数 e 的指数。 
• 若要计算以其他常数为底的幂，请使用指数操作符 (^)。 
• EXP 函数是计算自然对数的 LN 函数的反函数。 </t>
  </si>
  <si>
    <t>e的近似值(2.718282)</t>
  </si>
  <si>
    <t>此函数表示自然对数的底数e的2次幂(7.389056)</t>
  </si>
  <si>
    <t>WPS公式（函数）大全——acosh</t>
  </si>
  <si>
    <t xml:space="preserve">语法：
返回 number 参数的反双曲余弦值。参数必须大于或等于 1。反双曲余弦值的双曲余弦即为 number，因此 ACOSH(COSH(number)) 等于 number。 
ACOSH（number） 
Number 大于等于 1 的任意实数。 </t>
  </si>
  <si>
    <t>1 的反双曲余弦值 (0)</t>
  </si>
  <si>
    <t>15的反双曲余弦值 (3.4000844141)</t>
  </si>
  <si>
    <t>WPS公式（函数）大全——acos</t>
  </si>
  <si>
    <t xml:space="preserve">语法：
返回数字的反余弦值。反余弦值是角度，它的余弦值为数字。返回的角度值以弧度表示，范围是 0 到 pi。 
ACOS（number） 
Number 角度的余弦值，必须介于 -1 到 1 之间。 
如果要用度表示反余弦值，请将结果再乘以 180/PI() 或用 DEGREES 函数。 </t>
  </si>
  <si>
    <t>以弧度表示-0.5，即2*pi/3的反余弦值(2.094395)</t>
  </si>
  <si>
    <t>以度数表示-0.5的反余弦值（120）</t>
  </si>
  <si>
    <t>WPS公式（函数）大全——asin</t>
  </si>
  <si>
    <t xml:space="preserve">语法：
返回参数的反正弦值。反正弦值为一个角度，该角度的正弦值等于此函数的 Number 参数的值。返回的角度值将以弧度表示，范围为 -pi/2 到 pi/2。 
ASIN（Number） 
Number 角度的正弦值，必须介于 -1 到 1 之间。 
若要用度表示反正弦值，请将结果再乘以 180/PI( ) 或用 DEGREES 函数表示。 </t>
  </si>
  <si>
    <t>以弧度表示-0.5的反正弦值，即-pi/6(-0.5236)</t>
  </si>
  <si>
    <t>以度表示-0.5的反正弦值(-30)</t>
  </si>
  <si>
    <t>WPS公式（函数）大全——asinh</t>
  </si>
  <si>
    <t xml:space="preserve">语法：
返回参数的反双曲正弦值。反双曲正弦值的双曲正弦即等于此函数的 number 参数值，因此 ASINH(SINH(number)) 等于 number 参数值。 
ASINH（number） 
Number 任意实数。 </t>
  </si>
  <si>
    <t>3 的反双曲正弦值 (1.818446459) </t>
  </si>
  <si>
    <t xml:space="preserve"> -1.7 的反双曲正弦值 (-1.300820427) </t>
  </si>
  <si>
    <t>WPS公式（函数）大全——atan</t>
  </si>
  <si>
    <t xml:space="preserve">语法：
返回反正切值。反正切值为角度，其正切值即等于 Number 参数的值。返回的角度值将以弧度表示，范围为 -pi/2 到 pi/2。 
ATAN（number） 
Number 角度的正切值。 
若要用度表示反正切值，请将结果再乘以 180/PI() 或用 DEGREES 函数表示。　 </t>
  </si>
  <si>
    <t>以弧度表示1的反正切值，即pi/4(0.785398)</t>
  </si>
  <si>
    <t>以度表示1的反正切值(45)</t>
  </si>
  <si>
    <t>WPS公式（函数）大全——atan2</t>
  </si>
  <si>
    <t xml:space="preserve">语法：
返回给定的 X 及 Y 坐标值的反正切值。反正切的角度值等于 X 轴与通过原点和给定坐标点 (X坐标, Y坐标) 的直线之间的夹角。结果以弧度表示并介于 -pi 到 pi 之间（不包括 -pi）。 
ATAN2（X坐标,Y坐标） 
X坐标 点的 X 坐标。 
Y坐标 点的 Y 坐标。 
• 结果为正表示从 X 轴逆时针旋转的角度，结果为负表示从 X 轴顺时针旋转的角度。 
• ATAN2(a, b) 等于 ATAN(b/a)，除非 a 为零。 
• 如果 X坐标 和 Y坐标 都为零，ATAN2 返回错误值 #Div/0!。 
• 若要用度表示反正切值，请将结果再乘以 180/PI( ) 或使用 DEGREES 函数。  </t>
  </si>
  <si>
    <t>以弧度表示点(1,1)的反正切值，即pi/4(0.785398)</t>
  </si>
  <si>
    <t>以弧度表示点(-1,-1)的反正切值，即-3*pi/4(-2.35619)</t>
  </si>
  <si>
    <t>以度表示点(1,1)的反正切值(-135)</t>
  </si>
  <si>
    <t>WPS公式（函数）大全——atanh</t>
  </si>
  <si>
    <t xml:space="preserve">语法：
返回参数的反双曲正切值，参数必须介于 -1 到 1 之间（除去 -1 和 1）。反双曲正切值的双曲正切即为该函数的 number 参数值，因此 ATANH(TANH(number)) 等于 number。 
ATANH（number） 
Number -1 到 1 之间的任意实数。   </t>
  </si>
  <si>
    <t>WPS公式（函数）大全——cosh</t>
  </si>
  <si>
    <t xml:space="preserve">语法：
返回数字的双曲余弦值。 
COSH（number） 
number 表示要求双曲余弦的任意实数。 
双曲余弦的公式为： 
</t>
  </si>
  <si>
    <t>4的双曲余弦值(27.30823)</t>
  </si>
  <si>
    <t>自然对数的底数的双曲余弦值(7.610125)</t>
  </si>
  <si>
    <t>WPS公式（函数）大全——sinh</t>
  </si>
  <si>
    <t xml:space="preserve">语法：
返回某一数字的双曲正弦值。 
SINH（number） 
Number 为任意实数。 
双曲正弦的计算公式如下： </t>
  </si>
  <si>
    <t>1的双曲正弦值(1.175201194)</t>
  </si>
  <si>
    <t>-1的双曲正弦值(-1.175201194)</t>
  </si>
  <si>
    <t>WPS公式（函数）大全——tanh</t>
  </si>
  <si>
    <t>语法：
返回某一数字的双曲正切。 
TANH（number） 
Number 为任意实数。</t>
  </si>
  <si>
    <t>`</t>
  </si>
  <si>
    <t>WPS公式（函数）大全——fact</t>
  </si>
  <si>
    <t xml:space="preserve">语法：
返回数的阶乘，一个数的阶乘等于 1*2*3*…* 该数。 
FACT（number） 
Number 要计算其阶乘的非负数。如果输入的 Number 不是整数，则截尾取整。   </t>
  </si>
  <si>
    <t>5的阶乘,即1*2*3*4*5的值(120)</t>
  </si>
  <si>
    <t>1.9截尾取整后的阶乘(1)</t>
  </si>
  <si>
    <t>0的阶乘(1)</t>
  </si>
  <si>
    <t>负数导致错误值(#NUM!)</t>
  </si>
  <si>
    <t>1的阶乘(1)</t>
  </si>
  <si>
    <t>WPS公式（函数）大全——DEGREES</t>
  </si>
  <si>
    <t xml:space="preserve">语法：
将弧度转换为度。 
DEGREES（angle） 
angle 待转换的弧度角。  </t>
  </si>
  <si>
    <t>PI弧度转换为度数(180)</t>
  </si>
  <si>
    <t>WPS公式（函数）大全——cos</t>
  </si>
  <si>
    <t xml:space="preserve">语法：
返回给定角度的余弦值。 
COS（number） 
number 需要求余弦的角度，以弧度表示。 
如果参数的单位是度，则可以乘以 PI()/180 或使用 RADIANS 函数将其转换成弧度。 </t>
  </si>
  <si>
    <t>1.047弧度的余弦值(0.500171)</t>
  </si>
  <si>
    <t>60度的余弦值(0.5)</t>
  </si>
  <si>
    <t>WPS公式（函数）大全——RADIANS</t>
  </si>
  <si>
    <t xml:space="preserve">语法：
将角度转换为弧度。 
RADIANS（angle） 
Angle 为需要转换成弧度的角度。 </t>
  </si>
  <si>
    <t>将角度270度转换为弧度（4.712389或3π/2弧度）</t>
  </si>
  <si>
    <t>WPS公式（函数）大全——confidence</t>
  </si>
  <si>
    <t>语法：
返回一个值，您可使用该值构建总体平均值的置信区间。置信区间为一个值区域。样本平均值 x 位于该区域的中间，区域范围为 x ± CONFIDENCE。 
CONFIDENCE(alpha,standard_dev,size) 
Alpha 是用于计算置信度的显著水平参数。置信度等于 100*(1 - alpha)%，亦即，如果 alpha 为 0.05，则置信度为 95%。 
Standard_dev 数据区域的总体标准偏差，假设为已知。 
Size 样本容量。 
若出现以下任一情况 ，则 CONFIDENCE 返回错误值 #NUM!。
1、alpha ≤ 0 或 alpha ≥ 1 
2、standard_dev ≤ 0 
3、size &lt; 1 
若任意参数为非数值型，则 CONFIDENCE 返回错误值 #VALUE!。
若 size 不是整数，将被截尾取整。
若假设 alpha 等于 0.05，则需要计算等于 (1 - alpha) 或 95% 的标准正态分布曲线之下的面积。其面积值为 ±1.96。因此置信区间为：</t>
  </si>
  <si>
    <t>假设样本取自 50 名乘车上班的旅客，他们花在路上的平均时间为 30 分钟，总体标准偏差为 2.5 分钟。假设 alpha = 0.05，计算 CONFIDENCE(0.05, 2.5, 50) 的返回值为 0.69291。那么，相应的置信区间为 30 ± 0.69291 = 约为 [29.3, 30.7]。对于任何包含在本区间中的总体平均值 μ0，从 μ0 到 30，获取样本平均值的概率大于 0.05。同样地，对于任何未包含在本区间中的总体平均值 μ0，从 μ0 到 30，获取样本平均值的概率小于 0.05。 </t>
  </si>
  <si>
    <t>如果您将示例复制到空白工作表中，可能会更易于理解该示例。 </t>
  </si>
  <si>
    <t>显著水平参数 </t>
  </si>
  <si>
    <t>总体标准偏差 </t>
  </si>
  <si>
    <t>样本容量</t>
  </si>
  <si>
    <t>总体平均值的置信区间。即花在上班路上的基础总体平均值的置信区间为 30±0.692951912 分钟，或 29.3 到 30.7 分钟。(0.692951912) </t>
  </si>
  <si>
    <t>语法：
将数字从一个度量系统转换到另一个度量系统中。例如，函数 CONVERT 可以将一个以“英里”为单位的距离表转换成一个以“公里”为单位的距离表。 
CONVERT(number,from_unit,to_unit) 
Number 以 from_units 为单位的需要进行转换的数值。 
From_unit 数值 number 的单位。 
To_unit 为结果的单位。</t>
  </si>
  <si>
    <t>WPS公式（函数）大全——substitute</t>
  </si>
  <si>
    <t>语法：
在文本字符串中用 new_text 替代 old_text。如果需要在某一文本字符串中替换指定的文本，请使用函数 SUBSTITUTE；如果需要在某一文本字符串中替换指定位置处的任意文本，请使用函数 REPLACE。
SUBSTITUTE(text,old_text,new_text,instance_num)
Text   为需要替换其中字符的文本，或对含有文本的单元格的引用。
Old_text   为需要替换的旧文本。
New_text   用于替换 old_text 的文本。
Instance_num   为一数值，用来指定以 new_text 替换第几次出现的 old_text。如果指定了 instance_num，则只有满足要求的 old_text 被替换；否则将用 new_text 替换 TEXT 中出现的所有 old_text。</t>
  </si>
  <si>
    <t>销售数据</t>
  </si>
  <si>
    <r>
      <rPr>
        <sz val="9"/>
        <color theme="1"/>
        <rFont val="微软雅黑"/>
        <charset val="134"/>
      </rPr>
      <t>“</t>
    </r>
    <r>
      <rPr>
        <sz val="10"/>
        <color theme="1"/>
        <rFont val="宋体"/>
        <charset val="134"/>
        <scheme val="minor"/>
      </rPr>
      <t>成本</t>
    </r>
    <r>
      <rPr>
        <sz val="10"/>
        <color theme="1"/>
        <rFont val="宋体"/>
        <charset val="134"/>
        <scheme val="minor"/>
      </rPr>
      <t>”</t>
    </r>
    <r>
      <rPr>
        <sz val="10"/>
        <color theme="1"/>
        <rFont val="宋体"/>
        <charset val="134"/>
        <scheme val="minor"/>
      </rPr>
      <t>替代</t>
    </r>
    <r>
      <rPr>
        <sz val="10"/>
        <color theme="1"/>
        <rFont val="宋体"/>
        <charset val="134"/>
        <scheme val="minor"/>
      </rPr>
      <t>“</t>
    </r>
    <r>
      <rPr>
        <sz val="10"/>
        <color theme="1"/>
        <rFont val="宋体"/>
        <charset val="134"/>
        <scheme val="minor"/>
      </rPr>
      <t>销售</t>
    </r>
    <r>
      <rPr>
        <sz val="10"/>
        <color theme="1"/>
        <rFont val="宋体"/>
        <charset val="134"/>
        <scheme val="minor"/>
      </rPr>
      <t>”</t>
    </r>
    <r>
      <rPr>
        <sz val="10"/>
        <color theme="1"/>
        <rFont val="宋体"/>
        <charset val="134"/>
        <scheme val="minor"/>
      </rPr>
      <t>（成本数据）</t>
    </r>
  </si>
  <si>
    <t>2008 年第一季度</t>
  </si>
  <si>
    <r>
      <rPr>
        <sz val="9"/>
        <color theme="1"/>
        <rFont val="微软雅黑"/>
        <charset val="134"/>
      </rPr>
      <t>用</t>
    </r>
    <r>
      <rPr>
        <sz val="10"/>
        <color theme="1"/>
        <rFont val="宋体"/>
        <charset val="134"/>
        <scheme val="minor"/>
      </rPr>
      <t>“</t>
    </r>
    <r>
      <rPr>
        <sz val="10"/>
        <color theme="1"/>
        <rFont val="宋体"/>
        <charset val="134"/>
        <scheme val="minor"/>
      </rPr>
      <t>二”代替 示例中第一次出现的“一”（2008 年第二季度）</t>
    </r>
  </si>
  <si>
    <t>2011 年第一季度</t>
  </si>
  <si>
    <t>用“2”代替示例中第二次出现的“1”（2012 年第一季度）</t>
  </si>
  <si>
    <t>WPS公式（函数）大全——large</t>
  </si>
  <si>
    <t>语法：
返回数据集中第 k 个最大值。使用此函数可以根据相对标准来选择数值。例如，可以使用函数 LARGE 得到第一名、第二名或第三名的得分。 
LARGE(array,k) 
Array 为需要从中选择第 k 个最大值的数组或数据区域。 
K 为返回值在数组或数据单元格区域中的位置（从大到小排）。 
• 如果数组为空，函数 LARGE 返回错误值 #NUM!。 
• 如果 k ≤ 0 或 k 大于数据点的个数，函数 LARGE 返回错误值 #NUM!。 
如果区域中数据点的个数为 n，则函数 LARGE(array,1) 返回最大值，函数 LARGE(array,n) 返回最小值。</t>
  </si>
  <si>
    <t>WPS公式（函数）大全——small</t>
  </si>
  <si>
    <t xml:space="preserve">语法：
返回数据集中第 k 个最小值。使用此函数可以返回数据集中特定位置上的数值。 
SMALL(array,k) 
Array 为需要找到第 k 个最小值的数组或数字型数据区域。 
K 为返回的数据在数组或数据区域里的位置（从小到大）。 
• 如果 array 为空，函数 SMALL 返回错误值 #NUM!。 
• 如果 k ≤ 0 或 k 超过了数据点个数，函数 SMALL 返回错误值 #NUM!。 
• 如果 n 为数组中的数据点个数，则 SMALL(array,1) 等于最小值，SMALL(array,n) 等于最大值。 </t>
  </si>
  <si>
    <t>WPS公式（函数）大全——rank</t>
  </si>
  <si>
    <t xml:space="preserve">语法：
返回一个数字在数字列表中的排位。数字的排位是其大小与列表中其他值的比值（如果列表已排过序，则数字的排位就是它当前的位置）。 
RANK(number,ref,order) 
Number 为需要找到排位的数字。 
Ref 为数字列表数组或对数字列表的引用。Ref 中的非数值型参数将被忽略。 
Order 为一数字，指明排位的方式。 
• 如果 order 为 0（零）或省略，WPS表格 对数字的排位是基于 ref 为按照降序排列的列表。 
• 如果 order 不为零，WPS表格 对数字的排位是基于 ref 为按照升序排列的列表。 
函数 RANK 对重复数的排位相同。但重复数的存在将影响后续数值的排位。例如，在一列整数里，如果整数 10 出现两次，其排位为 5，则 11 的排位为 7（没有排位为 6 的数值）。 </t>
  </si>
  <si>
    <t>排位</t>
  </si>
  <si>
    <t>排序方式为1，降序排列</t>
  </si>
  <si>
    <t>WPS公式（函数）大全——rank.eq</t>
  </si>
  <si>
    <t xml:space="preserve">语法：
Rank函数被拆分成2个函数：Rank.EQ保留原来的作用，而新增Rank.AVG能提高对重复值的排名精度。
Rank.EQ和原来的Rank函数功能完全一样，没有差异。
但Rank.AVG得到不同的结果：
1. 返回一个数字在数字列表中的排位
2. 数字的排位是其大小与列表中其他值的比值
3. 如果多个值具有相同的排位，则将返回平均排位。而不是Rank和Rank.EQ中的首次排名。 </t>
  </si>
  <si>
    <t>rank、rank.eq和rank.avg的区别</t>
  </si>
  <si>
    <t>rank倒序排位</t>
  </si>
  <si>
    <t>rank正序排位</t>
  </si>
  <si>
    <t>rank.eq倒序排位</t>
  </si>
  <si>
    <t>rank.avg倒序排位</t>
  </si>
  <si>
    <t>WPS公式（函数）大全——rank.avg</t>
  </si>
  <si>
    <t>WPS公式（函数）大全——t</t>
  </si>
  <si>
    <t xml:space="preserve">语法：
返回 value 引用的文本。
T(value)
Value     需要进行测试的数值。
若值是文本或引用文本，T 返回值。如果值不引用文本，T 返回空文本 ("")。 
通常不需在公式中使用函数 T，因为 WPS 表格可以自动按需要转换数值的类型，该函数用于与其他电子表格程序兼容。 
</t>
  </si>
  <si>
    <r>
      <rPr>
        <sz val="9"/>
        <color theme="1"/>
        <rFont val="微软雅黑"/>
        <charset val="134"/>
      </rPr>
      <t>因</t>
    </r>
    <r>
      <rPr>
        <sz val="10"/>
        <color theme="1"/>
        <rFont val="宋体"/>
        <charset val="134"/>
        <scheme val="minor"/>
      </rPr>
      <t>为第</t>
    </r>
    <r>
      <rPr>
        <sz val="10"/>
        <color theme="1"/>
        <rFont val="宋体"/>
        <charset val="134"/>
        <scheme val="minor"/>
      </rPr>
      <t>一</t>
    </r>
    <r>
      <rPr>
        <sz val="10"/>
        <color theme="1"/>
        <rFont val="宋体"/>
        <charset val="134"/>
        <scheme val="minor"/>
      </rPr>
      <t xml:space="preserve">个 </t>
    </r>
    <r>
      <rPr>
        <sz val="10"/>
        <color theme="1"/>
        <rFont val="宋体"/>
        <charset val="134"/>
        <scheme val="minor"/>
      </rPr>
      <t>v</t>
    </r>
    <r>
      <rPr>
        <sz val="10"/>
        <color theme="1"/>
        <rFont val="宋体"/>
        <charset val="134"/>
        <scheme val="minor"/>
      </rPr>
      <t>al</t>
    </r>
    <r>
      <rPr>
        <sz val="10"/>
        <color theme="1"/>
        <rFont val="宋体"/>
        <charset val="134"/>
        <scheme val="minor"/>
      </rPr>
      <t>u</t>
    </r>
    <r>
      <rPr>
        <sz val="10"/>
        <color theme="1"/>
        <rFont val="宋体"/>
        <charset val="134"/>
        <scheme val="minor"/>
      </rPr>
      <t>e 是数字，所以返回空文本 ( )</t>
    </r>
  </si>
  <si>
    <t>开花</t>
  </si>
  <si>
    <r>
      <rPr>
        <sz val="9"/>
        <color theme="1"/>
        <rFont val="微软雅黑"/>
        <charset val="134"/>
      </rPr>
      <t>因</t>
    </r>
    <r>
      <rPr>
        <sz val="10"/>
        <color theme="1"/>
        <rFont val="宋体"/>
        <charset val="134"/>
        <scheme val="minor"/>
      </rPr>
      <t>为</t>
    </r>
    <r>
      <rPr>
        <sz val="10"/>
        <color theme="1"/>
        <rFont val="宋体"/>
        <charset val="134"/>
        <scheme val="minor"/>
      </rPr>
      <t>第二个 value 是文本，所以返回文本 (开花)</t>
    </r>
  </si>
  <si>
    <t>因为第三个 value 是逻辑值，所以返回空文本 ( )</t>
  </si>
  <si>
    <t>WPS公式（函数）大全——n</t>
  </si>
  <si>
    <t>语法：
返回转化为数值后的值。 
N(value) 
Value 为要转化的值。函数 N 可以转化下表列出的值： 
• 一般情况下不必在公式中使用函数 N，因为 WPS表格 将根据需要自动对值进行转换。提供此函数是为了与其他电子表格程序兼容。 
• WPS表格 可将日期存储为可用于计算的序列号。</t>
  </si>
  <si>
    <t>数值或引用</t>
  </si>
  <si>
    <t>返回值</t>
  </si>
  <si>
    <t>数字</t>
  </si>
  <si>
    <t>该数字</t>
  </si>
  <si>
    <t>日期（WPS表格的一种内部日期格式）</t>
  </si>
  <si>
    <t>该日期的序列号</t>
  </si>
  <si>
    <t>错误值，例如#DIV/0!</t>
  </si>
  <si>
    <t>错误值</t>
  </si>
  <si>
    <t>其他值</t>
  </si>
  <si>
    <t>因为A2包含的是数字，所以返回该数字(7)</t>
  </si>
  <si>
    <t>十三</t>
  </si>
  <si>
    <t>因为A3包含的是文本，所以返回0</t>
  </si>
  <si>
    <t>因为A4是逻辑值TRUE，所以返回1</t>
  </si>
  <si>
    <t>因为A5是日期，所以返回该日期的序列号（39555）</t>
  </si>
  <si>
    <t>因为“7”是文本，所以返回0</t>
  </si>
  <si>
    <t>WPS公式（函数）大全——na</t>
  </si>
  <si>
    <t xml:space="preserve">语法：
返回错误值 #N/A。错误值 #N/A 表示“无法得到有效值”。请使用 NA 标志空白单元格。在没有内容的单元格中输入 #N/A，可以避免不小心将空白单元格计算在内而产生的问题（当公式引用到含有 #N/A 的单元格时，会返回错误值 #N/A）。 
NA() 
• 在函数名后面必须包括圆括号，否则，WPS表格 无法识别该函数。 
• 也可直接在单元格中键入 #N/A。提供 NA 函数是为了与其他电子表格程序兼容。 </t>
  </si>
  <si>
    <t>WPS公式（函数）大全——transpose</t>
  </si>
  <si>
    <t xml:space="preserve">语法：
返回转置单元格区域，即将一行单元格区域转置成一列单元格区域，反之亦然。在行列数分别与[url=]数组[/url]的行列数相同的区域中，必须将 TRANSPOSE 输入为[url=]数组公式中[/url]。使用 TRANSPOSE 可在工作表中转置数组的垂直和水平方向。 
TRANSPOSE(array) 
Array 需要进行转置的数组或工作表中的单元格区域。所谓数组的转置就是，将数组的第一行作为新数组的第一列，数组的第二行作为新数组的第二列，以此类推。 
</t>
  </si>
  <si>
    <t>转置后显示</t>
  </si>
  <si>
    <t>WPS公式（函数）大全——rows</t>
  </si>
  <si>
    <t xml:space="preserve">语法：
返回引用或数组的行数。 
ROWS(array) 
Array 为需要得到其行数的数组、数组公式或对单元格区域的引用。 
</t>
  </si>
  <si>
    <r>
      <rPr>
        <sz val="9"/>
        <color theme="1"/>
        <rFont val="微软雅黑"/>
        <charset val="134"/>
      </rPr>
      <t>引</t>
    </r>
    <r>
      <rPr>
        <sz val="10"/>
        <color theme="1"/>
        <rFont val="微软雅黑"/>
        <charset val="134"/>
      </rPr>
      <t>用中的行数(4)</t>
    </r>
  </si>
  <si>
    <r>
      <rPr>
        <sz val="9"/>
        <color theme="1"/>
        <rFont val="微软雅黑"/>
        <charset val="134"/>
      </rPr>
      <t>数</t>
    </r>
    <r>
      <rPr>
        <sz val="10"/>
        <color theme="1"/>
        <rFont val="微软雅黑"/>
        <charset val="134"/>
      </rPr>
      <t>组常量中的行数(2)</t>
    </r>
  </si>
  <si>
    <t>WPS公式（函数）大全——columns</t>
  </si>
  <si>
    <t xml:space="preserve">语法：
返回数组或引用的列数。 
COLUMNS(array) 
Array 为需要得到其列数的数组或数组公式，或对单元格区域的引用。  
</t>
  </si>
  <si>
    <t>引用中的列数(3)</t>
  </si>
  <si>
    <t>数组常量中的列数(3)</t>
  </si>
  <si>
    <t>WPS公式（函数）大全——areas</t>
  </si>
  <si>
    <t xml:space="preserve">语法：
返回引用中包含的区域个数。区域表示连续的单元格区域或某个单元格。 
AREAS(reference) 
Reference 对某个单元格或单元格区域的引用，也可以引用多个区域。如果需要将几个引用指定为一个参数，则必须用括号括起来，以免 WPS表格 将逗号作为参数间的分隔符。 </t>
  </si>
  <si>
    <t>引用中包含的区域个数(1)</t>
  </si>
  <si>
    <t>引用中包含的区域个数(3)</t>
  </si>
  <si>
    <t>WPS公式（函数）大全——address</t>
  </si>
  <si>
    <t xml:space="preserve">语法：
按照给定的行号和列标，建立文本类型的单元格地址。 
ADDRESS(row_num,column_num,abs_num,a1,sheet_text) 
Row_num 在单元格引用中使用的行号。 
Column_num 在单元格引用中使用的列标。 
ABS_num 返回的引用类型
1或省略 绝对引用;2 绝对行号，相对列标;3 相对行号，绝对列标;4 相对引用
A1 用以指定 A1 或 R1C1 引用样式的逻辑值。如果 A1 为 TRUE 或省略，函数 ADDRESS 返回 A1 样式的引用；如果 A1 为 FALSE，函数 ADDRESS 返回 R1C1 样式的引用。 
Sheet_text 为一文本，指定作为外部引用的工作表的名称，如果省略 sheet_text，则不使用任何工作表名。  
</t>
  </si>
  <si>
    <t>绝对引用($C$2)</t>
  </si>
  <si>
    <t>绝对行号，相对列标(C$2)</t>
  </si>
  <si>
    <t>在R1C1引用样式中的绝对行号，相对列标(R2C[3])</t>
  </si>
  <si>
    <t>对其他工作表的绝对引用([Book1]Sheet1!R2C3)</t>
  </si>
  <si>
    <t>对其他工作表的绝对引用('ETSHEET'!R2C3)</t>
  </si>
  <si>
    <t>WPS公式（函数）大全——isblank</t>
  </si>
  <si>
    <t>语法：
如果数值为对空白单元格的引用，函数 ISBLANK 返回逻辑值 TRUE，否则返回 FALSE。 
IS 类函数的参数 value 是不可转换的。例如，在其他大多数需要数字的函数中，文本值“19”会被转换成数字 19。然而在公式 ISNUMBER("19") 中，“19”并不由文本值转换成别的类型的值，函数 ISNUMBER 返回 FALSE。
IS 类函数在用公式检验计算结果时十分有用。当它与函数 IF 结合在一起使用时，可以提供一种方法用来在公式中查出错误值</t>
  </si>
  <si>
    <t>is函数的作用</t>
  </si>
  <si>
    <t>值为空白单元格。</t>
  </si>
  <si>
    <t>值为任意错误值（除去#N/A）。</t>
  </si>
  <si>
    <t>值为任意错误值（#N/A、#VALUE!、#REF!、#DIV/0!、#NUM!、#NAME?或#NULL!）。</t>
  </si>
  <si>
    <t>值为逻辑值。</t>
  </si>
  <si>
    <t>值为错误值#N/A（值不存在）。</t>
  </si>
  <si>
    <t>值为不是文本的任意项（注意此函数在值为空白单元格时返回TRUE）。</t>
  </si>
  <si>
    <t>值为数字。</t>
  </si>
  <si>
    <t>值为引用。</t>
  </si>
  <si>
    <t>值为文本。</t>
  </si>
  <si>
    <t>WPS公式（函数）大全——iserror</t>
  </si>
  <si>
    <t>WPS公式（函数）大全——iserr</t>
  </si>
  <si>
    <t>WPS公式（函数）大全——islogical</t>
  </si>
  <si>
    <t>WPS公式（函数）大全——isna</t>
  </si>
  <si>
    <t>WPS公式（函数）大全——isnontext</t>
  </si>
  <si>
    <t>WPS公式（函数）大全——isnumber</t>
  </si>
  <si>
    <t>WPS公式（函数）大全——isref</t>
  </si>
  <si>
    <t>WPS公式（函数）大全——istext</t>
  </si>
  <si>
    <t>WPS公式（函数）大全——cell</t>
  </si>
  <si>
    <t xml:space="preserve">语法：
返回某一引用区域的左上角单元格的格式、位置或内容等信息。 
CELL(info_type,reference) 
Info_type 一个文本值，指定所需要的单元格信息的类型。下面列出 info_type 的可能值及相应的结果。 
Reference 表示要获取其有关信息的单元格。若忽略，则在 info_type 中所指定的信息将返回给最后更改的单元格。
若 CELL 公式中的 info_type 参数为“format”，而且以后又用自定义格式设置了单元格，则必须重新计算工作表以更新 CELL 公式。
</t>
  </si>
  <si>
    <t>Info_type</t>
  </si>
  <si>
    <t>返回的值</t>
  </si>
  <si>
    <t>"address"</t>
  </si>
  <si>
    <t>引用中第一个单元格的引用，文本类型。</t>
  </si>
  <si>
    <t>"col"</t>
  </si>
  <si>
    <t>引用中单元格的列标。</t>
  </si>
  <si>
    <t>"color"</t>
  </si>
  <si>
    <t>如果单元格中的负值以不同颜色显示，则为 1，否则返回 0。</t>
  </si>
  <si>
    <t>"contents"</t>
  </si>
  <si>
    <t>引用中左上角单元格的值：不是公式。</t>
  </si>
  <si>
    <t>"filename"</t>
  </si>
  <si>
    <r>
      <rPr>
        <sz val="9"/>
        <color theme="1"/>
        <rFont val="微软雅黑"/>
        <charset val="134"/>
      </rPr>
      <t>包含引用的文件名（包括全部路径），文本类型。如果包含目标引用的工作表尚未保存，则返回空文本</t>
    </r>
    <r>
      <rPr>
        <sz val="9"/>
        <color rgb="FFFF0000"/>
        <rFont val="微软雅黑"/>
        <charset val="134"/>
      </rPr>
      <t xml:space="preserve"> (""</t>
    </r>
    <r>
      <rPr>
        <sz val="9"/>
        <color theme="1"/>
        <rFont val="微软雅黑"/>
        <charset val="134"/>
      </rPr>
      <t>)。</t>
    </r>
  </si>
  <si>
    <t>"format"</t>
  </si>
  <si>
    <t>与单元格中不同的数字格式相对应的文本值。下表列出不同格式的文本值。如果单元格中负值以不同颜色显示，则在返回的文本值的结尾处加“-”；如果单元格中为正值或所有单元格均加括号，则在文本值的结尾处返回“()”。</t>
  </si>
  <si>
    <t>"parentheses"</t>
  </si>
  <si>
    <t>如果单元格中为正值或全部单元格均加括号，则为 1，否则返回 0。</t>
  </si>
  <si>
    <t>"prefix"</t>
  </si>
  <si>
    <t>与单元格中不同的“标志前缀”相对应的文本值。如果单元格文本左对齐，则返回单引号 (')；如果单元格文本右对齐，则返回双引号 (")；如果单元格文本居中，则返回插入字符 (^)；如果单元格文本两端对齐，则返回反斜线 (\)；如果是其他情况，则返回空文本 ("")。</t>
  </si>
  <si>
    <t>"protect"</t>
  </si>
  <si>
    <t>如果单元格没有锁定，则为 0；如果单元格锁定，则为 1。</t>
  </si>
  <si>
    <t>"row"</t>
  </si>
  <si>
    <t>引用中单元格的行号。</t>
  </si>
  <si>
    <t>"type"</t>
  </si>
  <si>
    <t>与单元格中的数据类型相对应的文本值。如果单元格为空，则返回“b”。如果单元格包含文本常量，则返回“l”；如果单元格包含其他内容，则返回“v”。</t>
  </si>
  <si>
    <t>"width"</t>
  </si>
  <si>
    <t>取整后的单元格的列宽。列宽以默认字号的一个字符的宽度为单位。</t>
  </si>
  <si>
    <t>WPS公式（函数）大全——widechar</t>
  </si>
  <si>
    <t xml:space="preserve">语法：
该函数可将字符串中的半角（单字节）字母转换为全角（双字节）字符。函数的名称及其转换的字符取决于您的语言设置。 
对于日文，该函数将字符串中的半角（单字节）英文字母或片假名更改为全角（双字节）字符。 
WIDECHAR(text) 
Text 为文本或对包含要更改文本的单元格的引用。如果文本中不包含任何半角英文字母或片假名，则文本不会更改。 
</t>
  </si>
  <si>
    <t>WPS公式（函数）大全——value</t>
  </si>
  <si>
    <t xml:space="preserve">语法：
将代表数字的文本字符串转换成数字。 
VALUE(text) 
Text 为带引号的文本，或对需要进行文本转换的单元格的引用。 
• Text 可以是 WPS表格 中可识别的任意常数、日期或时间格式。如果 Text 不为这些格式，则函数 VALUE 返回错误值 #VALUE!。 
• 通常不需要在公式中使用函数 VALUE，WPS表格 可以自动在需要时将文本转换为数字。提供此函数是为了与其他电子表格程序兼容。 </t>
  </si>
  <si>
    <t>字符串的等价数字(1000)</t>
  </si>
  <si>
    <t>等价于4小时48分钟的序列号，由16:48:00减去12:00:00得到（0.2或4:48）</t>
  </si>
  <si>
    <t>若要将数字显示为时间，请选择单元格并单击“格式”菜单上的“单元格”，再单击“数字”选项卡，然后单击“分类”框中的“时间”。</t>
  </si>
  <si>
    <t>WPS公式（函数）大全——upper</t>
  </si>
  <si>
    <t xml:space="preserve">语法：
将文本转换成大写形式。 
UPPER(text) 
Text 为需要转换成大写形式的文本。Text 可以为引用或文本字符串。
</t>
  </si>
  <si>
    <t>Movies艺术</t>
  </si>
  <si>
    <r>
      <rPr>
        <sz val="9"/>
        <color theme="1"/>
        <rFont val="微软雅黑"/>
        <charset val="134"/>
      </rPr>
      <t>第</t>
    </r>
    <r>
      <rPr>
        <sz val="10"/>
        <color theme="1"/>
        <rFont val="微软雅黑"/>
        <charset val="134"/>
      </rPr>
      <t>一个字符串大写(MOVIES艺术)</t>
    </r>
  </si>
  <si>
    <t>java技术</t>
  </si>
  <si>
    <r>
      <rPr>
        <sz val="9"/>
        <color theme="1"/>
        <rFont val="微软雅黑"/>
        <charset val="134"/>
      </rPr>
      <t>第</t>
    </r>
    <r>
      <rPr>
        <sz val="10"/>
        <color theme="1"/>
        <rFont val="微软雅黑"/>
        <charset val="134"/>
      </rPr>
      <t>二个字符串大写(JAVA技术)</t>
    </r>
  </si>
  <si>
    <t>WPS公式（函数）大全——trim</t>
  </si>
  <si>
    <t xml:space="preserve">语法：
除了单词之间的单个空格外，清除文本中所有的空格。在从其他应用程序中获取带有不规则空格的文本时，可以使用函数 TRIM。 
TRIM(text) 
Text 需要清除其中空格的文本。 
</t>
  </si>
  <si>
    <t>长度</t>
  </si>
  <si>
    <t>荧 光 点 点</t>
  </si>
  <si>
    <t>文本间的单个空格不去除</t>
  </si>
  <si>
    <t xml:space="preserve">  开花  </t>
  </si>
  <si>
    <t>去除文本两侧的空格，“开花”两侧都有空格，都去除掉</t>
  </si>
  <si>
    <t>开   花</t>
  </si>
  <si>
    <t>去除文本间多余的空格，保留一个空格</t>
  </si>
  <si>
    <t>WPS公式（函数）大全——text</t>
  </si>
  <si>
    <t>format代码</t>
  </si>
  <si>
    <t>显示结果</t>
  </si>
  <si>
    <t>text(值,"G/通用格式")</t>
  </si>
  <si>
    <t>G/通用格式</t>
  </si>
  <si>
    <r>
      <rPr>
        <b/>
        <sz val="12"/>
        <color theme="1"/>
        <rFont val="微软雅黑"/>
        <charset val="134"/>
      </rPr>
      <t>常规格式(整数部分超过8位只显示整数</t>
    </r>
    <r>
      <rPr>
        <b/>
        <sz val="12"/>
        <color theme="1"/>
        <rFont val="Times New Roman"/>
        <charset val="134"/>
      </rPr>
      <t> </t>
    </r>
  </si>
  <si>
    <t>text(值,0)</t>
  </si>
  <si>
    <t>只显示整数部分</t>
  </si>
  <si>
    <t>text(值,“0000”)</t>
  </si>
  <si>
    <t>“0000”</t>
  </si>
  <si>
    <t>按规定位数显示，不足的部分用0补齐</t>
  </si>
  <si>
    <t>张三</t>
  </si>
  <si>
    <t>text(值,“宇宙第一@”)</t>
  </si>
  <si>
    <t>“宇宙第一@”</t>
  </si>
  <si>
    <t>添加固定前缀、后缀，@表示显示次数</t>
  </si>
  <si>
    <t>TEXT(B23,"yyyymmdd")</t>
  </si>
  <si>
    <t>"yyyymmdd"</t>
  </si>
  <si>
    <t>显示日期格式</t>
  </si>
  <si>
    <t>TEXT(B24,"yyyy年m月d日")</t>
  </si>
  <si>
    <t>"yyyy年m月d日"</t>
  </si>
  <si>
    <t>显示日期不同格式</t>
  </si>
  <si>
    <t>TEXT(B24,"ddd")</t>
  </si>
  <si>
    <t>ddd</t>
  </si>
  <si>
    <t>将日期缩写为Sun-Fri</t>
  </si>
  <si>
    <t>TEXT(B25,"dddd")</t>
  </si>
  <si>
    <t>dddd</t>
  </si>
  <si>
    <t>将日期写为星期的形式</t>
  </si>
  <si>
    <t>TEXT(B26,"aaa")</t>
  </si>
  <si>
    <t>"aaa"</t>
  </si>
  <si>
    <t>将日期写为星期，一、二  、日的缩写形式</t>
  </si>
  <si>
    <t>TEXT(B27,"aaaa")</t>
  </si>
  <si>
    <t>"aaaa"</t>
  </si>
  <si>
    <t>将日期写为星期一、二  、日的形式</t>
  </si>
  <si>
    <t>TEXT(B29,"mm")</t>
  </si>
  <si>
    <t>"mm"</t>
  </si>
  <si>
    <t>根据需要将月份显示为带前导零的数字</t>
  </si>
  <si>
    <t>TEXT(B30,"mmm")</t>
  </si>
  <si>
    <t>"mmm"</t>
  </si>
  <si>
    <t>将月份显示为缩写形式（Jan到DEc）</t>
  </si>
  <si>
    <t>TEXT(B31,"mmmm")</t>
  </si>
  <si>
    <t>"mmmm"</t>
  </si>
  <si>
    <t>TEXT(B32,"mmmmm")</t>
  </si>
  <si>
    <t>"mmmmm"</t>
  </si>
  <si>
    <t>将月份显示为缩写形式（J到D）</t>
  </si>
  <si>
    <t>TEXT(B33,"m")</t>
  </si>
  <si>
    <t>"m"</t>
  </si>
  <si>
    <t>将月份显示为数字</t>
  </si>
  <si>
    <t>WPS公式（函数）大全——search</t>
  </si>
  <si>
    <t xml:space="preserve">语法：
SEARCH 返回从 start_num 开始首次找到特定字符或文本字符串的位置上特定字符的编号。使用 SEARCH 可确定字符或文本字符串在其他文本字符串中的位置，这样就可使用 MID 或 REPLACE 函数更改文本。
SEARCH(find_text,within_text,start_num)
Find_text   是要查找的文本。可以在 find_text 中使用通配符，包括问号 (?) 和星号 (*)。问号可匹配任意的单个字符，星号可匹配任意一串字符。如果要查找真正的问号或星号，请在该字符前键入波形符 (~)。
Within_text   是要在其中查找 find_text 的文本。
Start_num   是 within_text 中开始查找的字符的编号。
SEARCH 在查找文本时不区分大小写。 
SEARCH 类似于 FIND ，但 FIND 区分大小写。 
如果没有找到 find_text，则返回错误值 #VALUE!。 如果忽略 start_num，则假定其为 1。 
如果 start_num 不大于 0（零）或大于 within_text，则返回错误值 #VALUE!。 </t>
  </si>
  <si>
    <t>岁月</t>
  </si>
  <si>
    <t>上面第一个字符串中的第一个 月 出现的位置，开始于第1个位置 (2)</t>
  </si>
  <si>
    <t>一本书</t>
  </si>
  <si>
    <t>书 在 一本书 中的位置 (3)</t>
  </si>
  <si>
    <t>书</t>
  </si>
  <si>
    <t>用 字典 替换 书（一本字典）</t>
  </si>
  <si>
    <t>WPS公式（函数）大全——searchb</t>
  </si>
  <si>
    <t xml:space="preserve">语法：
可在其他文本字符串 (within_text) 中查找文本字符串 (find_text)，并返回 find_text 的起始位置编号。此结果是基于每个字符所使用的字节数，并从 start_num 开始的。此函数用于双字节字符。此外，也可使用 FINDB 在其他文本字符串中查找文本字符串。
SEARCHB(find_text,within_text,start_num)
Find_text     要查找的文本。可以在 find_text 中使用通配符，包括问号 (?) 和星号 (*)。问号可匹配任意的单个字符，星号可匹配任意一串字符。如果要查找真正的问号或星号，请在该字符前键入波形符 (~)。
Within_text     要在其中查找 find_text 的文本。
Start_num      within_text 中开始查找的字符的编号。
SEARCHB 在查找文本时不区分大小写。 
SEARCHB 类似于 FIND 和 FINDB，但 FIND 和 FINDB 区分大小写。 
若没有找到 find_text，则返回错误值 #VALUE!。 若忽略 start_num，则假定其为 1。 
若 start_num 不大于 0（零）或大于 within_text，则返回错误值 #VALUE!。 
</t>
  </si>
  <si>
    <t>上面第一个字符串中的第一个 月 出现的位置，开始于第1个位置 (3)</t>
  </si>
  <si>
    <t>WPS公式（函数）大全——replace</t>
  </si>
  <si>
    <t>语法：
REPLACE 使用其他文本字符串并根据所指定的字符数替换某文本字符串中的部分文本。
REPLACE(old_text,start_num,num_chars,new_text)
Old_text   是要替换其部分字符的文本。
Start_num   是要用 new_text 替换的 old_text 中字符的位置。
Num_chars   是希望 REPLACE 使用 new_text 替换 old_text 中字符的个数。
New_text   是要用于替换 old_text 中字符的文本。</t>
  </si>
  <si>
    <t>替换后的字符</t>
  </si>
  <si>
    <t>他处在零状态中</t>
  </si>
  <si>
    <t>从第 4 个字符开始，替换 3 个字符 (他处在*中)</t>
  </si>
  <si>
    <t>用 10 替换 2009 的最后两位 (2010)</t>
  </si>
  <si>
    <t>用 @ 替换前三个字符 (@456)</t>
  </si>
  <si>
    <t>把电话号码第4-8位用"*"表示</t>
  </si>
  <si>
    <t>WPS公式（函数）大全——rmb</t>
  </si>
  <si>
    <t xml:space="preserve">语法：
该函数依照货币格式将小数四舍五入到指定的位数并转换成文本。使用的格式为 (￥#,##0.00_);(￥#,##0.00)。
RMB (number,decimals)
Number     数字、对包含数字的单元格引用，或是计算结果为数字的公式。
Decimals     十进制数小数点右边的位数。如果 Decimals 为负数，则参数 number 从小数点往左按相应位数取整。如果省略 Decimals，则假设其值为 2。
使用“格式”菜单中的“单元格”命令来设置包含数字的单元格的格式与使用 RMB 函数直接设置数字的格式之间的区别在于：RMB 函数将结果转换为文本，而使用“单元格”命令设置格式的数字仍为数字。但可以继续在公式中使用由 RMB 函数设置了格式的数字，因为 WPS 表格在计算公式时会将以文本值键入的数字转换为数字。
</t>
  </si>
  <si>
    <t>以货币格式及小数点右边 2 位数字的形式显示第一个数（￥456.79）</t>
  </si>
  <si>
    <t>以货币格式及小数点左边 2 位数字的形式显示第一个数（￥500）</t>
  </si>
  <si>
    <t>以货币格式及小数点左边 2 位数字的形式显示第二个数（-￥500）</t>
  </si>
  <si>
    <t>以货币格式及小数点右边 4 位数字的形式显示第三个数（-￥0.4560）</t>
  </si>
  <si>
    <t>以货币格式及小数点右边 2 位数字的形式显示第四个数（￥77.89）</t>
  </si>
  <si>
    <t>WPS公式（函数）大全——right</t>
  </si>
  <si>
    <t xml:space="preserve">语法：
Right根据所指定的字符数返回文本字符串中最后一个或多个字符。
RIGHT(text,num_chars)
Text   是包含要提取字符的文本字符串。
Num_chars   指定希望 RIGHT 提取的字符数。
Num_chars 必须大于或等于 0。 
如果 num_chars 大于文本长度，则 RIGHT 返回所有文本。 
如果忽略 num_chars，则假定其为 1。 </t>
  </si>
  <si>
    <t>销售价格</t>
  </si>
  <si>
    <t>第一个字符串的最后 2 个字符 (价格)</t>
  </si>
  <si>
    <t>股票数</t>
  </si>
  <si>
    <t>第二个字符串的最后一个字符 (数)</t>
  </si>
  <si>
    <t>WPS公式（函数）大全——rightb</t>
  </si>
  <si>
    <t xml:space="preserve">语法：
RightB 根据所指定的字节数返回文本串中最后一个或多个字符。此函数用于双字节字符。
RIGHTB(text,num_bytes)
Text   是包含要提取字符的文本字符串。
Num_bytes 指定希望RIGHT根据字节提取的字符数。
Num_bytes 必须大于或等于 0。 
如果 Num_bytes 大于文本长度，则 RIGHT 返回所有文本。 
如果忽略 Num_bytes，则假定其为 1。 </t>
  </si>
  <si>
    <t>C++</t>
  </si>
  <si>
    <t>返回第一个字符串的最后 2 个字节 (++)</t>
  </si>
  <si>
    <t>电脑爱好者</t>
  </si>
  <si>
    <t>返回第二个字符串的最后6个字节 (爱好者)</t>
  </si>
  <si>
    <t>WPS公式（函数）大全——replaceb</t>
  </si>
  <si>
    <t xml:space="preserve">语法：
REPLACEB(old_text,start_num,num_bytes,new_text)
Old_text     要替换其部分字符的文本。
Start_num     要用 new_text 替换的 old_text 中字符的位置。
Num_bytes     希望 REPLACEB 使用 new_text 替换 old_text 中字节的个数。
New_text     要用于替换 old_text 中字符的文本。
</t>
  </si>
  <si>
    <t>北风吹雪</t>
  </si>
  <si>
    <t>REPLACEB 返回“北 花飘”，因为每个字符按 2 计数；第二个参数指定第四个字节处的一个起点，即第二个字符，第三个参数指定四个字节的长度，即两个字符。</t>
  </si>
  <si>
    <t>WPS公式（函数）大全——clean</t>
  </si>
  <si>
    <t>语法：
删除文本中不能打印的字符。对从其他应用程序中键入的文本使用 CLEAN 函数，将删除其中含有的当前操作系统无法打印的字符。例如，可以删除通常出现在数据文件头部或尾部、无法打印的低级计算机代码。
CLEAN(text)
Text    要从中删除非打印字符的任何工作表信息。</t>
  </si>
  <si>
    <t>从上面字符串中删除不能打印的字符 CHAR(5) (text)</t>
  </si>
  <si>
    <t>WPS公式（函数）大全——fixed</t>
  </si>
  <si>
    <t xml:space="preserve">语法：
将数字按指定的小数位数进行取整，利用句号和逗号，以小数格式对该数进行格式设置，并以文本形式返回结果。
FIXED(number,decimals,no_commas)
Number     要进行四舍五入并转换为文本字符串的数。
Decimals     一数值，用以指定小数点右边的小数位数。
No_commas     一逻辑值，如果为 TRUE，则会禁止 FIXED 在返回的文本中包含逗号。
若 Decimals 为负数，则参数 number 舍入到小数点左边。 
若省略小数，则假设其值为 2。 
若其值为 FALSE 或被省略，则返回的文本中和往常一样包含逗号。 
该函数与使用“格式”菜单上的“单元格”命令格式化包含数字的单元格的主要区别在于：函数 FIXED 将其结果转换成文本，而“单元格”命令格式化的结果仍是数字。 
</t>
  </si>
  <si>
    <t>将第一个数四舍五入到小数点右边一位 (4,567.9)</t>
  </si>
  <si>
    <t>将第一个数四舍五入到小数点左边一位 (4,570)</t>
  </si>
  <si>
    <t>将第二个数四舍五入到小数点左边一位，并且返回的文本中不包含逗号 (-4570)</t>
  </si>
  <si>
    <t>将第三个数四舍五入到小数点右边二位 (77.89)</t>
  </si>
  <si>
    <t>WPS公式（函数）大全——proper</t>
  </si>
  <si>
    <t>语法：
将文本字符串的首字母及任何非字母字符之后的首字母转换成大写。将其余的字母转换成小写。
PROPER(text)
Text     用引号括起来的文本、返回文本值的公式或是对包含文本的单元格的引用。</t>
  </si>
  <si>
    <t>首字母大写</t>
  </si>
  <si>
    <t>today is MONDAY</t>
  </si>
  <si>
    <t>第一个字符串转换结果(Today Is Monday)</t>
  </si>
  <si>
    <t>57YearsOld</t>
  </si>
  <si>
    <t>第二个字符串转换结果(57Yearsold)</t>
  </si>
  <si>
    <t>5-cent's worth</t>
  </si>
  <si>
    <t>第三个字符串转换结果(5-Cent'S Worth)</t>
  </si>
  <si>
    <t>WPS公式（函数）大全——left</t>
  </si>
  <si>
    <t xml:space="preserve">语法：
LEFT 基于所指定的字符数返回文本字符串中的第一个或前几个字符。
LEFT(text,num_chars)
Text   是包含要提取字符的文本字符串。
Num_chars   指定要由 LEFT 所提取的字符数。 
Num_chars 必须大于或等于 0。 
如果 num_chars 大于文本长度，则 LEFT 返回所有文本。 
如果省略 num_chars，则假定其为 1。 </t>
  </si>
  <si>
    <t>一条鱼对我微笑</t>
  </si>
  <si>
    <t>第一个字符串中的前三个字符 (一条鱼)</t>
  </si>
  <si>
    <t>草原广阔</t>
  </si>
  <si>
    <t>第二个字符串中的第一个字符 (草)</t>
  </si>
  <si>
    <t>WPS公式（函数）大全——mid</t>
  </si>
  <si>
    <t xml:space="preserve">语法：
MID 返回文本字符串中从指定位置开始的特定数目的字符，该数目由用户指定。
MID(text,start_num,num_chars)
Text   是包含要提取字符的文本字符串。
Start_num   是文本中要提取的第一个字符的位置。文本中第一个字符的 start_num 为 1，以此类推。 
Num_chars   指定希望 MID 从文本中返回字符的个数。
如果 start_num 大于文本长度，则 MID 返回空文本 ("")。 
如果 start_num 小于文本长度，但 start_num 加上 num_chars 超过了文本的长度，则 MID 只返回至多直到文本末尾的字符。 
如果 start_num 小于 1，则 MID 返回错误值 #VALUE!。 
如果 num_chars 是负数，则 MID 返回错误值 #VALUE!。 
</t>
  </si>
  <si>
    <t>昙花一现</t>
  </si>
  <si>
    <t>上面字符串中的 2 个字符，从第一个字符开始 (昙花)</t>
  </si>
  <si>
    <t>提取上面字符串中的 10 个字符，从第三个字符开始 (一现)</t>
  </si>
  <si>
    <t>因为要提取的第一个字符的位置大于字符串的长度，所以返回空文本 ("")</t>
  </si>
  <si>
    <t>WPS公式（函数）大全——midb</t>
  </si>
  <si>
    <t xml:space="preserve">语法：
返回文本字符串中从指定位置开始的特定数目的字符，该数目由用户指定。此函数用于双字节字符。
MIDB(text,start_num,num_bytes)
Text     是包含要提取字符的文本字符串。
Start_num     是文本中要提取的第一个字符的位置。文本中第一个字符的 start_num 为 1，以此类推。
Num_bytes     指定希望 MIDB 从文本中返回字符的个数（按字节）。
若 num_bytes 是负数，则 MIDB 返回错误值 #VALUE!。 </t>
  </si>
  <si>
    <t>截取第一个字符</t>
  </si>
  <si>
    <t>雪花飘北风吹</t>
  </si>
  <si>
    <t>一个汉字2个字节</t>
  </si>
  <si>
    <t>WPS公式（函数）大全——len</t>
  </si>
  <si>
    <t>语法：
LEN 返回文本字符串中的字符数。
LEN(text)
Text   是要查找其长度的文本。空格将作为字符进行计数。</t>
  </si>
  <si>
    <t>云开日出</t>
  </si>
  <si>
    <t>第一个字符串的长度 (4)</t>
  </si>
  <si>
    <t>第二个字符串的长度 (0)</t>
  </si>
  <si>
    <t>雪花   北风</t>
  </si>
  <si>
    <t>第三个字符串（包含 3 个空格）的长度 (7)</t>
  </si>
  <si>
    <t>WPS公式（函数）大全——lenb</t>
  </si>
  <si>
    <t>语法：
返回文本字符串中用于代表字符的字节数。此函数用于双字节字符。
LENB(text)
Text     要查找其长度的文本。空格将作为字符进行计数。</t>
  </si>
  <si>
    <t>第一个字符串的长度 (8)</t>
  </si>
  <si>
    <t xml:space="preserve"> </t>
  </si>
  <si>
    <t>第三个字符串（包含 3 个空格,空格为1个字符）的长度 (11)</t>
  </si>
  <si>
    <t>WPS公式（函数）大全——lower</t>
  </si>
  <si>
    <t>语法：
将一个文本字符串中的所有大写字母转换为小写字母。
LOWER(text)
Text   是要转换为小写字母的文本。函数 LOWER 不改变文本中的非字母的字符。</t>
  </si>
  <si>
    <t>Java 技术力量</t>
  </si>
  <si>
    <t>将第一个字符串转换为小写 (java 技术力量)</t>
  </si>
  <si>
    <t>IE</t>
  </si>
  <si>
    <t>将最后一个字符串转换为小写 (ie)</t>
  </si>
  <si>
    <t>WPS公式（函数）大全——leftb</t>
  </si>
  <si>
    <t xml:space="preserve">语法：
LEFTB 基于所指定的字节数返回文本字符串中的第一个或前几个字符。此函数用于双字节字符。
LEFTB(text,num_bytes)
Text   是包含要提取字符的文本字符串。
Num_bytes  按字节数指定由LEFTB提取的字符数。 
Num_bytes 必须大于或等于0。
如果 Num_bytes  大于文本长度，则 LEFT 返回所有文本。
如果省略 Num_bytes ，则假定其为 1。 </t>
  </si>
  <si>
    <t>Sale Price</t>
  </si>
  <si>
    <t>WPS公式（函数）大全——and</t>
  </si>
  <si>
    <t xml:space="preserve">语法：
所有参数的逻辑值为真时，返回 TRUE；只要一个参数的逻辑值为假，即返回 FLASE。
AND(logical1,logical2, ...)
Logical1, logical2, ...   表示待检测的 1 到 30 个条件值，各条件值可为 TRUE 或 FALSE。 
参数必须是逻辑值 TRUE 或 FALSE, 或者包含逻辑值的数组（ 用于建立可生成多个结果或可对在行和列中排列的一组参数进行运算的单个公式。数组区域共用一个公式；数组常量是用作参数的一组常量）或引用。 
如果数组或引用参数中包含文本或空白单元格，则这些值将被忽略。 
如果指定的单元格区域内包括非逻辑值，则 AND 将返回错误值 #VALUE!。 </t>
  </si>
  <si>
    <t>所有参数的逻辑值为真 (TRUE)</t>
  </si>
  <si>
    <t>一个参数的逻辑值为假 (FALSE)</t>
  </si>
  <si>
    <t>所有参数的计算结果为真 (TRUE)</t>
  </si>
  <si>
    <t>WPS公式（函数）大全——not</t>
  </si>
  <si>
    <t>语法：
对参数值求反。当要确保一个值不等于某一特定值时，可以使用 NOT 函数。
NOT(logical)
Logical   为一个可以计算出 TRUE 或 FALSE 的逻辑值或逻辑表达式。
如果逻辑值为 FALSE，函数 NOT 返回 TRUE；如果逻辑值为 TRUE，函数 NOT 返回 FALSE。</t>
  </si>
  <si>
    <t>对 FALSE 求反 (TRUE)</t>
  </si>
  <si>
    <t>对逻辑值为 TRUE 的公式求反 (FALSE)</t>
  </si>
  <si>
    <t>WPS公式（函数）大全——or</t>
  </si>
  <si>
    <t xml:space="preserve">语法：
在其参数组中，任何一个参数逻辑值为 TRUE，即返回 TRUE；所有参数的逻辑值为 FALSE，才返回 FALSE。
OR(logical1,logical2,...)
Logical1,logical2,...   为需要进行检验的 1 到 30 个条件表达式。 
参数必须能计算为逻辑值，如 TRUE 或 FALSE，或者为包含逻辑值的数组（ 用于建立可生成多个结果或可对在行和列中排列的一组参数进行运算的单个公式。数组区域共用一个公式；数组常量是用作参数的一组常量）或引用。 
如果数组或引用参数中包含文本或空白单元格，则这些值将被忽略。 
如果指定的区域中不包含逻辑值，函数 OR 返回错误值 #VALUE!。 
可以使用 OR 数组公式来检验数组中是否包含特定的数值。若要键入数组公式，请按 Ctrl+Shift+Enter。 
</t>
  </si>
  <si>
    <t>参数为 TRUE (TRUE)</t>
  </si>
  <si>
    <t>所有参数的逻辑值为 FALSE (FALSE)</t>
  </si>
  <si>
    <t>至少一个参数为 TRUE (TRUE)</t>
  </si>
  <si>
    <t>WPS公式（函数）大全——workday</t>
  </si>
  <si>
    <t xml:space="preserve">语法：
返回某日期（起始日期）之前或之后相隔指定工作日的某一日期的日期值。工作日不包括周末和专门指定的假日。在计算发票到期日、预期交货时间或工作天数时，可以使用函数 WORKDAY 来扣除周末或假日。 
WORKDAY(start_date,days,holidays) 
Start_date 一个日期值，代表开始日期。 
Days start_date 之前或之后不含周末及节假日的天数。Days 为正值将生成未来日期；为负值生成过去日期。 
Holidays 其中包含需要从工作日历中排除的一个或多个日期，例如各种省\市\自治区和国家\地区的法定假日及非法定假日。该列表可以是包含日期的单元格区域，也可以是由代表日期的序列号所构成的数组常量。 
注意：应使用 DATE 函数来输入日期，或者将日期作为其他公式或函数的结果输入。例如，使用函数 DATE(2009,7,23) 输入 2009 年 7 月 23 日。如果日期以文本形式输入，则会出现问题。 </t>
  </si>
  <si>
    <t>起始日期</t>
  </si>
  <si>
    <t>从起始日期开始 25 个工作日的日期 (2009-3-23)</t>
  </si>
  <si>
    <t>完成所需天数</t>
  </si>
  <si>
    <t>除去假日，从起始日期开始 25 个工作日的日期(2009-3-24)</t>
  </si>
  <si>
    <t>假日</t>
  </si>
  <si>
    <t>WPS公式（函数）大全——second</t>
  </si>
  <si>
    <t xml:space="preserve">语法：
返回时间值的秒数。返回的秒数为 0 到 59 之间的整数。 
SECOND(serial_number) 
Serial_number 表示一个时间值，其中包含要查找的秒数。时间有多种输入方式：带引号的文本字符串（例如 "6:45 PM"）、十进制数（例如，0.78125 表示 6:45 PM）或其他公式或函数的结果（例如 TIMEVALUE("6:45 PM")）。 
WPS表格 的时间值为日期值的一部分，并用十进制数来表示（例如 12:00 PM 可表示为 0.5，因为此时是一天的一半）。 </t>
  </si>
  <si>
    <t>时间/序列号</t>
  </si>
  <si>
    <t>返回时间值的秒数（25）</t>
  </si>
  <si>
    <t>返回时间值的秒数（0）</t>
  </si>
  <si>
    <t>WPS公式（函数）大全——true</t>
  </si>
  <si>
    <t xml:space="preserve">语法：
返回逻辑值 TRUE。
TRUE( )
说明
可以直接在单元格或公式中键入值 TRUE，而可以不使用此函数。函数 TRUE 主要用于与其他电子表格程序兼容。
</t>
  </si>
  <si>
    <t>WPS公式（函数）大全——false</t>
  </si>
  <si>
    <t>语法：
返回逻辑值 FALSE。
FALSE( )
说明
也可以直接在工作表或公式中键入文字 FALSE，WPS表格 会自动将它解释成逻辑值 FALSE。</t>
  </si>
  <si>
    <t>WPS公式（函数）大全——time</t>
  </si>
  <si>
    <t xml:space="preserve">语法：
返回某一特定时间的小数值。函数 TIME 返回的小数值为 0（零）到 0.99999999 之间的数值，代表从 0:00:00 (12:00:00 AM) 到 23:59:59 (11:59:59 PM) 之间的时间。 
TIME(hour,minute,second) 
Hour 为 0（零）到 32767 之间的数值，代表小时。任何大于 23 的数值将除以 24，其余数将视为小时。例如，TIME(27,0,0) = TIME(3,0,0) = .125 或 3:00 AM。 
Minute 为 0 到 32767 之间的数值，代表分钟。任何大于 59 的数值将被转换为小时和分钟。例如，TIME(0,750,0) = TIME(12,30,0) = .520833 或 12:30 PM。 
Second 为 0 到 32767 之间的数值，代表秒。任何大于 59 的数值将被转换为小时、分钟和秒。例如，TIME(0,0,2000) = TIME(0,33,22) = .023148 或 12:33:20 AM。 </t>
  </si>
  <si>
    <t>小时</t>
  </si>
  <si>
    <t>分钟</t>
  </si>
  <si>
    <t>秒</t>
  </si>
  <si>
    <t>返回上述第一个时间的序列号12:00PM或0.5</t>
  </si>
  <si>
    <t>返回上述第二个时间的序列号4:48PM或0.700116</t>
  </si>
  <si>
    <t>WPS公式（函数）大全——timevalue</t>
  </si>
  <si>
    <t xml:space="preserve">语法：
返回由文本字符串所代表的时间的小数值。该小数值为 0 到 0.999999999 之间的数值，代表从 0:00:00 (12:00:00 AM) 到 23:59:59 (11:59:59 PM) 之间的时间。 
TIMEVALUE(time_text) 
Time_text 文本字符串，代表以 WPS表格 时间格式表示的时间（例如，代表时间的具有引号的文本字符串 "6:45 PM" 和 "18:45"）。 
• time_text 中的日期信息将被忽略。 
• WPS表格 的时间值为日期值的一部分，并用十进制数来表示（例如 12:00 PM 可表示为 0.5，因为此时是一天的一半）。 </t>
  </si>
  <si>
    <t>备注</t>
  </si>
  <si>
    <t>时间按一天计算的小数表示形式(0.274305556)</t>
  </si>
  <si>
    <t>时间按一天计算的小数表示形式(0.1)</t>
  </si>
  <si>
    <t>计算D7的时间小数值</t>
  </si>
  <si>
    <t>12：34</t>
  </si>
  <si>
    <t>timevalue的参数必须为文本，其他形式将返回错误</t>
  </si>
  <si>
    <t>WPS公式（函数）大全——today</t>
  </si>
  <si>
    <t xml:space="preserve">语法：
返回当前日期的序列号。序列号是 WPS表格 日期和时间计算使用的日期-时间代码。如果在输入函数前，单元格的格式为“常规”，则结果将设为日期格式。 
TODAY() 
说明 
WPS表格 可将日期存储为可用于计算的序列号。默认情况下，1900 年 1月 1日的序列号是 1 ，而 2008 年 1 月 1 日的序列号是 39448，这是因为它距 1900年 1月 1 日有 39448 天。 </t>
  </si>
  <si>
    <t>显示今天日期</t>
  </si>
  <si>
    <t>WPS公式（函数）大全——eomonth</t>
  </si>
  <si>
    <t>语法：
返回某个月份最后一天的序列号，该月份与 start_date 相隔（之后或之后）指示的月份数。使用函数 EOMONTH 可以计算正好在特定月份中最后一天到期的到期日。
EOMONTH(start_date, months) 
Start_date 一个日期值，代表开始日期。
Months start_date 之前或之后的月份数。months 为正值将生成未来日期；为负值将生成过去日期。 
注意：应使用 DATE 函数来输入日期，或者将日期作为其他公式或函数的结果输入。例如，使用函数 DATE(2009,7,23) 输入 2009 年 7 月 23 日。如果日期以文本形式输入，则会出现问题。</t>
  </si>
  <si>
    <t>1978年1月后2个月的最后一天</t>
  </si>
  <si>
    <t>本月的最后一天</t>
  </si>
  <si>
    <t>2001年8月之前一个月的最后一天</t>
  </si>
  <si>
    <t>WPS公式（函数）大全——networkdays</t>
  </si>
  <si>
    <t xml:space="preserve">语法：
返回参数 start_date 和 end_date 之间完整的工作日数值。工作日不包括周末和专门指定的假期。可以使用函数 NETWORKDAYS，根据某一特定时期内雇员的工作天数，计算其应计的报酬。
NETWORKDAYS(start_date,end_date,holidays)
应使用 DATE 函数来键入日期，或者将日期作为其他公式或函数的结果键入。例如，使用函数 DATE(2008,5,23) 键入 2008 年 5 月 23 日。如果日期以文本的形式键入，则会出现问题。
Start_date   为一个代表开始日期的日期。
End_date   为终止日期。
Holidays   表示不在工作日历中的一个或多个日期所构成的可选区域，例如：省/市/自治区和国家/地区的法定假日以及其他非法定假日。该清单可以是包含日期的单元格区域，或是表示日期的序列号的数组常量。
</t>
  </si>
  <si>
    <t>开始日期和终止日期之间工作日的数值 (108)</t>
  </si>
  <si>
    <t>开始日期和终止日期之间工作日的数值，不包括第一个假日 (107)</t>
  </si>
  <si>
    <t>上面的开始日期和终止日期之间工作日的数值，不包括上面所列出的假日 (105)</t>
  </si>
  <si>
    <t>WPS公式（函数）大全——month</t>
  </si>
  <si>
    <t xml:space="preserve">语法：
返回以序列号表示的日期中的月份。月份是介于 1（一月）到 12（十二月）之间的整数。 
MONTH(serial_number) 
Serial_number 表示一个日期值，其中包含要查找的月份。应使用 DATE 函数来输入日期，或者将日期作为其他公式或函数的结果输入。例如，使用 DATE(2008,5,23) 输入 2008 年 5 月 23 日。如果日期以文本的形式输入，则会出现问题。 </t>
  </si>
  <si>
    <t>1899/12/31</t>
  </si>
  <si>
    <t>WPS日期系统是从1900年开始，之前的日期会显示错误</t>
  </si>
  <si>
    <t>WPS公式（函数）大全——day</t>
  </si>
  <si>
    <t xml:space="preserve">语法：
返回以序列号表示的某日期的天数，用整数 1 到 31 表示。 
DAY(serial_number) 
Serial_number 表示一个日期值，其中包含要查找的日期。应使用 DATE 函数来输入日期，或者将日期作为其他公式或函数的结果输入。例如，使用 DATE(2008,5,23) 输入 2008 年 5 月 23 日。如果日期以文本的形式输入，则会出现问题。 </t>
  </si>
  <si>
    <t>WPS公式（函数）大全——days360</t>
  </si>
  <si>
    <t xml:space="preserve">语法：
DAYS360 按照一年 360 天的算法（每个月以 30 天计，一年共计 12 个月），返回两日期间相差的天数，这在一些会计计算中将会用到。如果会计系统是基于一年 12 个月，每月 30 天，则可用此函数帮助计算支付款项。
DAYS360(start_date,end_date,method)
Start_date, end_date  计算期间天数的起止日期。如果 start_date 在 end_date 之后，则 DAYS360 将返回一个负数。
Method    一个逻辑值，它指定在计算中是采用欧洲方法还是美国方法。
FALSE 或省略 美国方法 (NASD)。如果起始日期为某月的最后一天，则等于当月的 30 号。如果终止日期为某月的最后一天，并且起始日期早于某月的 30 号，则终止日期等于下个月的 1 号，否则，终止日期等于当月的 30 号。 
TRUE 欧洲方法。如果起始日期和终止日期为某月的 31 号，则等于当月的 30 号。 
</t>
  </si>
  <si>
    <t>按照一年 360 天的算法，返回2010-4-1与2010-4-28之间的天数。（27）</t>
  </si>
  <si>
    <t>按照一年 360 天的算法，返回2010-1-1与2010-7-30之间的天数。（209）</t>
  </si>
  <si>
    <t>按照一年 360 天的算法，返回2010-1-1与2010-4-28之间的天数。（117）</t>
  </si>
  <si>
    <t>WPS公式（函数）大全——mround</t>
  </si>
  <si>
    <t>语法：
MROUND 函数返回最接近要舍入值的基数的倍数值。
MROUND (number, multiple) 
Number 要进行四舍五入的值。 
Multiple 要将数值 number 进行四舍五入的基数。 
如果数值 number 除以基数的余数大于或等于基数的一半，则函数 MROUND 向远离零的方向舍入。</t>
  </si>
  <si>
    <t>将 8 四舍五入到最接近基数 5 的倍数 (10) </t>
  </si>
  <si>
    <t>将 -8 四舍五入到最接近基数 -2 的倍数 (-8)</t>
  </si>
  <si>
    <t>将 4.7 四舍五入到最接近基数 0.5 的倍数 (4.5) </t>
  </si>
  <si>
    <t>返回错误值，因为 8 和 -4 的符号不同 (#NUM!) </t>
  </si>
  <si>
    <t>WPS公式（函数）大全——int</t>
  </si>
  <si>
    <t xml:space="preserve">语法：
将数字向下舍入到最接近的整数。 
INT（number） 
Number 需要进行向下舍入取整的实数。 
</t>
  </si>
  <si>
    <t>将8.9向下舍入到最接近的整数(8)</t>
  </si>
  <si>
    <t>将-8.9向下舍入到最接近的整数(-9)</t>
  </si>
  <si>
    <t>返回单元格D4中正实数的小数部分(0.5)</t>
  </si>
  <si>
    <t>WPS公式（函数）大全——floor</t>
  </si>
  <si>
    <t xml:space="preserve">语法：
将参数 Number 沿绝对值减小的方向向下舍入，使其等于最接近的 Significance 的倍数。 
FLOOR（number,significance） 
Number 所要四舍五入的数值。 
Significance 基数。 
• 如果任一参数为非数值参数，则 Floor 将返回错误值 #VALUE!。 
• 如果 Number 和 Significance 符号相反，则函数 Floor 将返回错误值 #Num!。 
• 不论 Number 的正负号如何，舍入时参数的绝对值都将减小。如果 Number 恰好是 Significance 的倍数，则无需进行任何舍入处理。 
</t>
  </si>
  <si>
    <t>将2.5沿绝对值减小的方向向下舍入，使其等于最接近的1的倍数(2)</t>
  </si>
  <si>
    <t>将-2.5沿绝对值减小的方向向下舍入，使其等于最接近的-2的倍数(-2)</t>
  </si>
  <si>
    <t>返回错误值，因为-2.5和2的符号不同(#Num!)</t>
  </si>
  <si>
    <t>将1.5沿绝对值减小的方向向下舍入，使其等于最接近的0.1的倍数(1.5)</t>
  </si>
  <si>
    <t>将0.234沿绝对值减小的方向向下舍入，使其等于最接近的0.01的倍数(0.23)</t>
  </si>
  <si>
    <t>WPS公式（函数）大全——ceiling</t>
  </si>
  <si>
    <t xml:space="preserve">语法：
将参数 Number 向上舍入（沿绝对值增大的方向）为最接近的 舍入基数 的倍数。
CEILING（number，significance）
Number 要四舍五入的数值。 Significance 是需要四舍五入的乘数。 
• 如果参数为非数值型，CEILING 返回错误值 #VALUE!。 
• 无论数字符号如何，都按远离 0 的方向向上舍入。如果数字已经为 Signficance 的倍数，则不进行舍入。 
• 如果 Number 和 Signficance 符号不同，CEILING 返回错误值 #Num!。 </t>
  </si>
  <si>
    <t>将2.5向上舍入到最接近的1的倍数(3)</t>
  </si>
  <si>
    <t>将-2.5向上舍入到最接近的-2的倍数(-4)</t>
  </si>
  <si>
    <t>返回错误值，因为2.5和-2的符号不同(#Num!)</t>
  </si>
  <si>
    <t>将1.5向上舍入到最接近的0.1的倍数(1.5)</t>
  </si>
  <si>
    <t>将0.234向上舍入到最接近的0.01的倍数(0.24)</t>
  </si>
  <si>
    <t>WPS公式（函数）大全——if</t>
  </si>
  <si>
    <t>语法：
IF函数一般是指Excel中的IF函数，根据指定的条件来判断其“真”（TRUE）、“假”（FALSE），根据逻辑计算的真假值，从而返回相应的内容。
IF(logical_test,value_if_true,value_if_false)
Logical_test 表示计算结果为 TRUE 或 FALSE 的任意值或表达式。</t>
  </si>
  <si>
    <t>判断结果</t>
  </si>
  <si>
    <t>当数据大于120时，判断为超速，小于等于120时，判断为合规</t>
  </si>
  <si>
    <t>WPS公式（函数）大全——offset</t>
  </si>
  <si>
    <t xml:space="preserve">语法：
以指定的引用为参照系，通过给定偏移量得到新的引用。返回的引用可以为一个单元格或单元格区域。并可以指定返回的行数或列数。
OFFSET(reference,rows,cols,height,width) 
Reference 作为偏移量参照系的引用区域。Reference 必须为对单元格或相连单元格区域的引用；否则，函数 OFFSET 返回错误值 #VALUE!。 
Rows 相对于偏移量参照系的左上角单元格，上（下）偏移的行数。如果使用 5 作为参数 ROWS，则说明目标引用区域的左上角单元格比 reference 低 5 行。行数可为正数（代表在起始引用的下方）或负数（代表在起始引用的上方）。 
Cols 相对于偏移量参照系的左上角单元格，左（右）偏移的列数。如果使用 5 作为参数 Cols，则说明目标引用区域的左上角的单元格比 reference 靠右 5 列。列数可为正数（代表在起始引用的右边）或负数（代表在起始引用的左边）。 
Height 高度，即所要返回的引用区域的行数。Height 必须为正数。 
Width 宽度，即所要返回的引用区域的列数。Width 必须为正数。 </t>
  </si>
  <si>
    <t xml:space="preserve">说明：
• 如果行数和列数偏移量超出工作表边缘，函数 OFFSET 返回错误值 #REF!。 
• 如果省略 height 或 width，则假设其高度或宽度与 reference 相同。 
• 函数 OFFSET 实际上并不移动任何单元格或更改选定区域，它只是返回一个引用。函数 OFFSET 可用于任何需要将引用作为参数的函数。例如，公式 SUM(OFFSET(C2,1,2,3,1)) 将计算比单元格 C2 靠下 1 行并靠右 2 列的 3 行 1 列的区域的总值。 </t>
  </si>
  <si>
    <t>公式结果</t>
  </si>
  <si>
    <t>显示单元格F5中的值(0)</t>
  </si>
  <si>
    <t>对数据区域C2:E4求和(0)</t>
  </si>
  <si>
    <t>返回错误值#REF!，因为引用区域不在工作表中</t>
  </si>
  <si>
    <t>WPS公式（函数）大全——lookup</t>
  </si>
  <si>
    <t>语法：
返回向量或数组中的数值。函数 LOOKUP 有两种语法形式：向量和数组。函数 LOOKUP 的向量形式是在单行区域或单列区域（向量）中查找数值，然后返回第二个单行区域或单列区域中相同位置的数值；函数 LOOKUP 的数组形式在数组的第一行或第一列查找指定的数值，然后返回数组的最后一行或最后一列中相同位置的数值。</t>
  </si>
  <si>
    <t xml:space="preserve">（1）向量形式
LOOKUP(lookup_value,lookup_vector,result_vector) 
Lookup_value 为函数 LOOKUP 在第一个向量中所要查找的数值。lookup_value 可以为数字、文本、逻辑值或包含数值的名称或引用。 
Lookup_vector 为只包含一行或一列的区域。lookup_vector 的数值可以为文本、数字或逻辑值。 
Result_vector 只包含一行或一列的区域，其大小必须与 lookup_vector 相同。 
• 如果函数 LOOKUP 找不到 lookup_value，则查找 lookup_vector 中小于或等于 lookup_value 的最大数值。 
• 如果 lookup_value 小于 lookup_vector 中的最小值，函数 LOOKUP 返回错误值 #N/A。 </t>
  </si>
  <si>
    <t>（2）数组形式
LOOKUP(lookup_value,array) 
Lookup_value 为函数 LOOKUP 在数组中所要查找的数值。LOOKUP_value 可以为数字、文本、逻辑值或包含数值的名称或引用 
• 如果函数 LOOKUP 找不到 lookup_value，则使用数组中小于或等于 lookup_value 的最大数值。 
• 如果 lookup_value 小于第一行或第一列（取决于数组的维数）的最小值，函数 LOOKUP 返回错误值 #N/A。 
Array 为包含文本、数字或逻辑值的单元格区域，它的值用于与 lookup_value 进行比较。函数 LOOKUP 的数组形式与函数 HLOOKUP 和函数 VLOOKUP 非常相似。不同之处在于函数 HLOOKUP 在第一行查找 lookup_value，函数 VLOOKUP 在第一列查找，而函数 LOOKUP 则按照数组的维数查找。 
• 如果数组所包含的区域宽度大，高度小（即列数多于行数），函数 LOOKUP 在第一行查找 lookup_value。 
• 如果数组为正方形，或者所包含的区域高度大，宽度小（即行数多于列数），函数 LOOKUP 在第一列查找 lookup_value。 
• 函数 HLOOKUP 和函数 VLOOKUP 允许按行或按列索引，而函数 LOOKUP 总是选择行或列的最后一个数值。</t>
  </si>
  <si>
    <t>lookup查找成绩</t>
  </si>
  <si>
    <t>学号</t>
  </si>
  <si>
    <t>语文</t>
  </si>
  <si>
    <t>数学</t>
  </si>
  <si>
    <t>英语</t>
  </si>
  <si>
    <t>DL04</t>
  </si>
  <si>
    <t>白洪义</t>
  </si>
  <si>
    <t>李鹏举</t>
  </si>
  <si>
    <t>DL07</t>
  </si>
  <si>
    <t>大鹏</t>
  </si>
  <si>
    <t>DL06</t>
  </si>
  <si>
    <t>黄谷玲</t>
  </si>
  <si>
    <t>DL02</t>
  </si>
  <si>
    <t>DL05</t>
  </si>
  <si>
    <t>刘思琛</t>
  </si>
  <si>
    <t>DL03</t>
  </si>
  <si>
    <t>易静</t>
  </si>
  <si>
    <t>DL01</t>
  </si>
  <si>
    <t>lookup经典用法案例</t>
  </si>
  <si>
    <t>逆向查询、单条件和多条件查询通用公式：=LOOKUP(1,0/(条件),目标区域或数组)</t>
  </si>
  <si>
    <t>其中，条件可以是多个逻辑判断相乘组成的多条件数组。
=LOOKUP(1,0/((条件1)*( 条件2)* ( 条件N)),目标区域或数组)
公式说明：
①((条件1)*( 条件2)* ( 条件N))，所有条件满足返回TRUE，否则返回FALSE。
②以0/((条件1)*( 条件2)* ( 条件N))构建一个0、#DIV/0!组成的数组，避免了查找范围必须升序列排序的弊端。（因为True在运算时当作1，False在运算时当作0，所以0/TRUE返回0，0/FALSE返回#DIV/0!）
③再用1作为查找值，即可查找最后一个满足非空单元格条件的记录。</t>
  </si>
  <si>
    <t>（1）单条件逆向查询：根据姓名查询工号</t>
  </si>
  <si>
    <t>工号</t>
  </si>
  <si>
    <t>部门</t>
  </si>
  <si>
    <t>办公室</t>
  </si>
  <si>
    <t>w1001</t>
  </si>
  <si>
    <t>李红</t>
  </si>
  <si>
    <t>物资部</t>
  </si>
  <si>
    <t>黄明星</t>
  </si>
  <si>
    <t>w1002</t>
  </si>
  <si>
    <t>郭根</t>
  </si>
  <si>
    <t>w1003</t>
  </si>
  <si>
    <t>北雅</t>
  </si>
  <si>
    <t>人事部</t>
  </si>
  <si>
    <t>w1004</t>
  </si>
  <si>
    <t>w1005</t>
  </si>
  <si>
    <t>万网</t>
  </si>
  <si>
    <t>安全监察部</t>
  </si>
  <si>
    <t>w1006</t>
  </si>
  <si>
    <t>张志</t>
  </si>
  <si>
    <t>船务部</t>
  </si>
  <si>
    <t>w1007</t>
  </si>
  <si>
    <t>王明贵</t>
  </si>
  <si>
    <t>工会</t>
  </si>
  <si>
    <t>（2）多条件逆向查询</t>
  </si>
  <si>
    <t>月份</t>
  </si>
  <si>
    <t>销量</t>
  </si>
  <si>
    <t>1月</t>
  </si>
  <si>
    <t>2月</t>
  </si>
  <si>
    <t>（3）查找最后一个数据</t>
  </si>
  <si>
    <t>最后一笔销量数据</t>
  </si>
  <si>
    <t>（4）查询最后一个文本</t>
  </si>
  <si>
    <t>查找A列最后一个文本，输入=LOOKUP("々",A:A )或=LOOKUP("座",A:A )</t>
  </si>
  <si>
    <t>々通常被看做是一个编码较大的字符，它的输入方法为组合键。第一参数写成"々" 和“座”都可以返回一列或一行中的最后一个文本。+41385&gt;</t>
  </si>
  <si>
    <t>（5）查询最后一个数值</t>
  </si>
  <si>
    <t>在A列查找最后一个数，输入：=LOOKUP(9E307,A:A)</t>
  </si>
  <si>
    <t>9E307被认为是接近Excel规范与限制允许键入最大数值的数，用它做查询值，可以返回一列或一行中的最后一个数值。</t>
  </si>
  <si>
    <t>WPS公式（函数）大全——vlookup</t>
  </si>
  <si>
    <t xml:space="preserve">语法：
VLOOKUP函数是Excel中的一个纵向查找函数，它与LOOKUP函数和HLOOKUP函数属于一类函数，在工作中都有广泛应用
VLOOKUP(lookup_value,table_array,col_index_num,range_lookup)
</t>
  </si>
  <si>
    <t>简单说明</t>
  </si>
  <si>
    <t>输入数据类型</t>
  </si>
  <si>
    <t>lookup_value</t>
  </si>
  <si>
    <t>要查找的值</t>
  </si>
  <si>
    <t>数值、引用或文本字符串</t>
  </si>
  <si>
    <t>table_array</t>
  </si>
  <si>
    <t>要查找的区域</t>
  </si>
  <si>
    <t>数据表区域</t>
  </si>
  <si>
    <t>col_index_num</t>
  </si>
  <si>
    <t>返回数据在查找区域的第几列数</t>
  </si>
  <si>
    <t>正整数</t>
  </si>
  <si>
    <t>range_lookup</t>
  </si>
  <si>
    <t>模糊匹配/精确匹配</t>
  </si>
  <si>
    <t>TRUE/FALSE（或不填</t>
  </si>
  <si>
    <t>•Lookup_value为需要在数据表第一列中进行查找的数值。Lookup_value 可以为数值、引用或文本字符串。当vlookup函数第一参数省略查找值时，表示用0查找。
•Table_array为需要在其中查找数据的数据表。使用对区域或区域名称的引用。
•col_index_num为table_array 中查找数据的数据列序号。col_index_num 为 1 时，返回 table_array 第一列的数值，col_index_num 为 2 时，返回 table_array 第二列的数值，以此类推。如果 col_index_num 小于1，函数 VLOOKUP 返回错误值 #VALUE!；如果 col_index_num 大于 table_array 的列数，函数 VLOOKUP 返回错误值#REF!。
•Range_lookup为一逻辑值，指明函数 VLOOKUP 查找时是精确匹配，还是近似匹配。如果为FALSE或0 ，则返回精确匹配，如果找不到，则返回错误值 #N/A。如果 range_lookup 为TRUE或1，函数 VLOOKUP 将查找近似匹配值，也就是说，如果找不到精确匹配值，则返回小于 lookup_value 的最大数值。如果range_lookup 省略，则默认为模糊匹配。range_lookup 最好是明确指定，默认是模糊匹配！</t>
  </si>
  <si>
    <t>根据工号查询人名</t>
  </si>
  <si>
    <t>WPS公式（函数）大全——hlookup</t>
  </si>
  <si>
    <t xml:space="preserve">语法：
HLOOKUP函数是Excel等电子表格中的横向查找函数，它与LOOKUP函数和VLOOKUP函数属于一类函数，HLOOKUP是按行查找的，VLOOKUP是按列查找的
HLOOKUP(lookup_value,table_array,row_index_num,range_lookup)
</t>
  </si>
  <si>
    <t>row_index_num</t>
  </si>
  <si>
    <t>返回数据在区域的第几行数</t>
  </si>
  <si>
    <t>TRUE /FALSE（或不填）</t>
  </si>
  <si>
    <t>•Lookup_value为需要在数据表第一行中进行查找的数值。Lookup_value 可以为数值、引用或文本字符串。
•Table_array为需要在其中查找数据的数据表。使用对区域或区域名称的引用。
•Row_index_num为table_array 中待返回的匹配值的行序号。Row_index_num 为 1 时，返回 table_array 第一行的数值，row_index_num 为 2 时，返回 table_array 第二行的数值，以此类推。如果 row_index_num 小于 1，函数 HLOOKUP 返回错误值#VALUE!；如果 row_index_num 大于 table_array 的行数，函数 HLOOKUP 返回错误值 #REF!。
•Range_lookup为一逻辑值，指明函数 HLOOKUP 查找时是精确匹配，还是近似匹配。如果为TURE或者1，则返回近似匹配值。也就是说，如果找不到精确匹配值，则返回小于 lookup_value 的最大数值。如果 range_lookup 为 FALSE或0，函数 HLOOKUP 将查找精确匹配值，如果找不到，则返回错误值#N/A。如果range_lookup 省略，则默认为近似匹配。
表格或数值数组 （数组：用于建立可生成多个结果或可对在行和列中排列的一组参数进行运算的单个公式。数组区域共用一个公式；数组常量是用作参数的一组常量。）的首行查找指定的数值，并在表格或数组中指定行的同一列中返回一个数值。当比较值位于数据表的首行，并且要查找下面给定行中的数据时，请使用函数 HLOOKUP。当比较值位于要查找的数据左边的一列时，请使用函数 VLOOKUP。 HLOOKUP 中的 H 代表“行”。</t>
  </si>
  <si>
    <t>船舶</t>
  </si>
  <si>
    <t>拖1</t>
  </si>
  <si>
    <t>拖2</t>
  </si>
  <si>
    <t>拖3</t>
  </si>
  <si>
    <t>拖5</t>
  </si>
  <si>
    <t>作业小时数</t>
  </si>
  <si>
    <t>语法：
返回在指定方式下与指定数组匹配的数组中元素的相应位置。
MATCH(lookup_value,lookup_array,match_type) 
Lookup_value 为需要在数据表中查找的数值。 
• Lookup_value 为需要在 Look_array 中查找的数值。例如，如果要在电话簿中查找某人的电话号码，则应该将姓名作为查找值，但实际上需要的是电话号码。 
• Lookup_value 可以为数值（数字、文本或逻辑值）或对数字、文本或逻辑值的单元格引用。Lookup_array 可能包含所要查找的数值的连续单元格区域。lookup_array 应为数组或数组引用。 
• Match_type 为数字 -1、0 或 1。MATCH-type 指明 WPS表格 如何在 lookup_array 中查找 lookup_value。</t>
  </si>
  <si>
    <t xml:space="preserve">说明：
• 如果 Match_type 为 1，函数 MATCH 查找小于或等于 lookup_value 的最大数值。lookup_array 必须按升序排列：...、-2、-1、0、1、2、...、A-Z、FALSE、TRUE。 
• 如果 Match_type 为 0，函数 MATCH 查找等于 lookup_value 的第一个数值。lookup_array 可以按任何顺序排列。 
• 如果 Match_type 为 -1，函数 MATCH 查找大于或等于 lookup_value 的最小数值。lookup_array 必须按降序排列：TRUE、FALSE、Z-A、...、2、1、0、-1、-2、...，等等。 
• 如果省略 Match_type，则假设为 1。 </t>
  </si>
  <si>
    <t xml:space="preserve">• 函数 MATCH 返回 lookup_array 中目标值的位置，而不是数值本身。例如，MATCH("b",{"a","b","c"},0) 返回 2，即“b”在数组 {"a","b","c"} 中的相应位置。 
• 查找文本值时，函数 MATCH 不区分大小写字母。 
• 如果函数 MATCH 查找不成功，则返回错误值 #N/A。 
• 如果 MATCH_type 为 0 且 lookup_value 为文本，lookup_value 可以包含通配符、星号 (*) 和问号 (?)。星号可以匹配任何字符序列；问号可以匹配单个字符。 </t>
  </si>
  <si>
    <t>类别</t>
  </si>
  <si>
    <t>数量</t>
  </si>
  <si>
    <t>要查找的内容</t>
  </si>
  <si>
    <t>所在的位置</t>
  </si>
  <si>
    <t>梅</t>
  </si>
  <si>
    <t>兰</t>
  </si>
  <si>
    <t>查找数量</t>
  </si>
  <si>
    <t>竹</t>
  </si>
  <si>
    <t>菊</t>
  </si>
  <si>
    <t>由以上可以看出，match是查找数值位于数组中的位置，要查找数值的话一般index+match共同使用。</t>
  </si>
  <si>
    <t>WPS公式（函数）大全——ifs</t>
  </si>
  <si>
    <t>语法：
IFS 函数检查是否满足一个或多个条件，且是否返回与第一个 TRUE 条件对应的值。IFS 可以取代多个嵌套 IF 语句，并且可通过多个条件更轻松地读取。
IFS(logical_test1,value_if_true1,logical_test2,value_if_true2,...)
logical_test1：表示计算结果为 TRUE 或 FALSE 的任意值或表达式。
value_if_true1当 logical_test1 的计算结果为 TRUE 时要返回结果。
作为IF函数的一个升级版本，IFS 函数允许测试最多 127 个不同的条件，可以免去IF函数的过多嵌套。</t>
  </si>
  <si>
    <t>多条件判断</t>
  </si>
  <si>
    <t>性别</t>
  </si>
  <si>
    <t>成绩</t>
  </si>
  <si>
    <t>等级</t>
  </si>
  <si>
    <t>王东</t>
  </si>
  <si>
    <t>男</t>
  </si>
  <si>
    <t>小西</t>
  </si>
  <si>
    <t>女</t>
  </si>
  <si>
    <t>小南</t>
  </si>
  <si>
    <t>小贝</t>
  </si>
  <si>
    <t>小王</t>
  </si>
  <si>
    <t>小众</t>
  </si>
  <si>
    <t>小李</t>
  </si>
  <si>
    <t>小孩</t>
  </si>
  <si>
    <t>WPS公式（函数）大全——countif</t>
  </si>
  <si>
    <t xml:space="preserve">语法：
COUNTIF(range,criteria) 计算区域中满足给定条件的单元格的个数。 
Range 为需要计算其中满足条件的单元格数目的单元格区域。 
Criteria 为确定哪些单元格将被计算在内的条件，其形式可以为数字、表达式或文本。例如，条件可以表示为 32、"32"、"&gt;32" 或 "apples"。 
WPS表格 提供其他函数，可用来基于条件分析数据。例如，若要计算基于一个文本字符串或某范围内的一个数值的总和，可使用 SUMIF 工作表函数。若要使公式返回两个基于条件的值之一，例如某指定销售量的销售红利，可使用 IF 工作表函数。 </t>
  </si>
  <si>
    <t>船员</t>
  </si>
  <si>
    <t>计算表中拖1船员的个数</t>
  </si>
  <si>
    <t>张*</t>
  </si>
  <si>
    <t>李*</t>
  </si>
  <si>
    <t>计算表中分数大于等于4分的个数</t>
  </si>
  <si>
    <t>张舒</t>
  </si>
  <si>
    <t>李明</t>
  </si>
  <si>
    <t>拖6</t>
  </si>
  <si>
    <t>网*</t>
  </si>
  <si>
    <t>拖7</t>
  </si>
  <si>
    <t>合*</t>
  </si>
  <si>
    <t>拖8</t>
  </si>
  <si>
    <t>WPS公式（函数）大全——countifs</t>
  </si>
  <si>
    <t xml:space="preserve">语法：
计算多个区域中满足给定条件的单元格的个数
countifs(criteria_range1,criteria1,criteria_range2,criteria2,…)
criteria_range1为第一个需要计算其中满足某个条件的单元格数目的单元格区域（简称条件区域），criteria1为第一个区域中将被计算在内的条件（简称条件），其形式可以为数字、表达式或文本。例如，条件可以表示为 48、"48"、"&gt;48" 、 "广州" 或 A3；
同理，criteria_range2为第二个条件区域，criteria2为第二个条件，依次类推。最终结果为多个区域中满足所有条件的单元格个数。 </t>
  </si>
  <si>
    <t>计算表中拖1船员中姓张的个数</t>
  </si>
  <si>
    <t>WPS公式（函数）大全——iferror</t>
  </si>
  <si>
    <t>语法：
IFERROR(value, value_if_error)
value 必需，检查是否存在错误的参数。value_if_error 必需，公式的计算结果为错误时要返回的值。计算得到的错误类型有：#N/A、#VALUE!、#REF!、#DIV/0!、#NUM!、#NAME? 或 #NULL!。</t>
  </si>
  <si>
    <t>要查找的人员</t>
  </si>
  <si>
    <t>王景明</t>
  </si>
  <si>
    <t>以上vlookup当查找不到此人时，会显示错误，会影响表格美观</t>
  </si>
  <si>
    <t>改进后</t>
  </si>
  <si>
    <t>WPS公式（函数）大全——ifna</t>
  </si>
  <si>
    <t>语法：
IFNA(value, value_if_na)IFNA 函数语法具有下列参数。
Value 必需。 用于检查错误值 #N/A 的参数。
Value_if_na 必需。 公式计算结果为错误值 #N/A 时要返回的值。</t>
  </si>
  <si>
    <t>城市</t>
  </si>
  <si>
    <t>区域 ID</t>
  </si>
  <si>
    <t>亚特兰大</t>
  </si>
  <si>
    <t>IFNA 检验 VLOOKUP 函数的结果。 因为在查找区域中找不到西雅图，VLOOKUP 将返回错误值 #N/A。 IFNA 在单元格中返回字符串“未找到”，而不是标准 #N/A 错误值。　　</t>
  </si>
  <si>
    <t>波特兰</t>
  </si>
  <si>
    <t>芝加哥</t>
  </si>
  <si>
    <t>洛杉矶</t>
  </si>
  <si>
    <t>博伊西</t>
  </si>
  <si>
    <t>克里夫兰</t>
  </si>
  <si>
    <t>WPS公式（函数）大全——averagea</t>
  </si>
  <si>
    <t xml:space="preserve">语法：
计算参数列表中数值的平均值（算数平均值）。不仅数字，而且文本和逻辑值（如 TRUE 和 FALSE）也将计算在内。 
AVERAGEA(value1,value2,...) 
Value1, value2,... 为需要计算平均值的 1 到 30 个单元格、单元格区域或数值。 
• 参数必须为数值、名称、数组或引用。 
• 包含文本的数组或引用参数将作为 0（零）计算。空文本 ("") 也作为 0（零）计算。如果在平均值的计算中不能包含文本值，请使用函数 AVERAGE。 
• 包含 TRUE 的参数作为 1 计算；包含 FALSE 的参数作为 0 计算。 </t>
  </si>
  <si>
    <t>忽略文本、空值、逻辑值</t>
  </si>
  <si>
    <t>天</t>
  </si>
  <si>
    <t>文本、空值为0，逻辑值true为1，false为0</t>
  </si>
  <si>
    <t>WPS公式（函数）大全——averageif</t>
  </si>
  <si>
    <t>语法：
返回某个区域内满足给定条件的所有单元格的平均值（算术平均值）
AVERAGEIF(range, criteria, [average_range])
AVERAGEIF 函数语法具有下列参数：
Range必需。 要计算平均值的一个或多个单元格，其中包含数字或包含数字的名称、数组或引用。
Criteria必需。 形式为数字、表达式、单元格引用或文本的条件，用来定义将计算平均值的单元格。 例如，条件可以表示为 32、"32"、"&gt;32"、"苹果" 或 B4。
Average_range可选。 计算平均值的实际单元格组。 如果省略，则使用 range。</t>
  </si>
  <si>
    <t>计算中国城市参加的平均人数</t>
  </si>
  <si>
    <t>国家</t>
  </si>
  <si>
    <t>参加人数</t>
  </si>
  <si>
    <t>忽略区域中包含 TRUE 或 FALSE 的单元格。
如果 average_range 中的单元格为空单元格，AVERAGEIF 将忽略它。
如果 range 为空值或文本值，AVERAGEIF 将返回错误值 #DIV0! 。
如果条件中的单元格为空单元格，AVERAGEIF 就会将其视为 0 值。
如果区域中没有满足条件的单元格，AVERAGEIF 将返回错误值 #DIV/0! 。
您可以在条件中使用通配符，即问号 (?) 和星号 (*)。 问号匹配任意单个字符；星号匹配任意一串字符。 如果要查找实际的问号或星号，请在字符前键入波形符 (~)。
Average_range 无需与 range 具备同样的大小和形状。 确定计算平均值的实际单元格的方法为：使用 average_range 中左上角的单元格作为起始单元格，然后包括与 range 大小和形状相对应的单元格</t>
  </si>
  <si>
    <t>中国</t>
  </si>
  <si>
    <t>上海</t>
  </si>
  <si>
    <t>南京</t>
  </si>
  <si>
    <t>日本</t>
  </si>
  <si>
    <t>大阪</t>
  </si>
  <si>
    <t>东京</t>
  </si>
  <si>
    <t>美国</t>
  </si>
  <si>
    <t>深圳</t>
  </si>
  <si>
    <t>WPS公式（函数）大全——averageifs</t>
  </si>
  <si>
    <t>语法：
averageifs函数是一个求平均值函数，主要是用于返回多重条件所有单元格的平均值。
=averageifs(average_range,criteria_range1,criteria1,criteria_range2,criteria2,...)
参数average_range表示：求平均值区域——参与计算平均值的单元格。
参数criteria_range,criteria_range2，...表示：条件区——criteria条件所在的范围。
参数criteria1,criteria2，...表示：条件——是用来定义计算平均值的单元格。 （形式可以是数字、表达式、单元格引用或文本的条件。用来定义将计算平均值的单元格。 例如，条件可以是数字10、表达式"&gt;12"、文本"上海发货平台" 或 C2。）</t>
  </si>
  <si>
    <t>计算中国城市且数量大于40的城市参加的平均人数</t>
  </si>
  <si>
    <t>注意条件要放在引号中</t>
  </si>
  <si>
    <t>WPS公式（函数）大全——sumifs</t>
  </si>
  <si>
    <t>语法：
SUMIFS(sum_range, criteria_range1, criteria1, [criteria_range2, criteria2], …)
sum_range    对一个或多个单元格求和，包括数值或包含数值的名称、区域或单元格引用。忽略空白和文本值。 
criteria_range1    在其中计算关联条件的第一个区域。 
criteria1    条件的形式为数字、表达式、单元格引用或文本，可用来定义将对 criteria_range1 参数中的哪些单元格求和。如，条件可以表示为 41、"&gt;41"、D3、"香蕉" 或 "41"。 
criteria_range2, criteria2, …    附加的区域及其关联条件。最多允许 127 个区域/条件对。</t>
  </si>
  <si>
    <t>对区域中满足多个条件的单元格求和。例如，如果需要对区域 A1:A20 中符合以下条件的单元格的数值求和：B1:B20 中相应单元格的数值大于零且 C1:C20 中相应单元格的数值小于 10，则可以使用以下公式
=SUMIFS(A1:A20, B1:B20, "&gt;0", C1:C20, "&lt;10")
注：SUMIFS 和 SUMIF 函数的参数顺序有所不同。具体而言，sum_range 参数在 SUMIFS 中是第一个参数，而在 SUMIF 中则是第三个参数。若要复制和编辑这些相似函数，请确保按正确顺序放置参数。</t>
  </si>
  <si>
    <t xml:space="preserve">仅在 sum_range 参数中的单元格满足所有相应的指定条件时，才对该单元格求和。例如，假设一个公式中包含两个 criteria_range 参数。如果 criteria_range1 的第一个单元格满足 criteria1，而 criteria_range2 的第一个单元格满足 critera2，则 sum_range 的第一个单元格计入总和中。对于指定区域中的其余单元格，依此类推。 
sum_range 中包含 TRUE 的单元格计算为 1；sum_range 中包含 FALSE 的单元格计算为 0（零）。 
与 SUMIF 函数中的区域和条件参数不同，SUMIFS 函数中每个 criteria_range 参数包含的行数和列数必须与 sum_range 参数相同。 
您可以在条件中使用通配符，即问号 (?) 和星号 (*)。问号匹配任一单个字符；星号匹配任一字符序列。若要查找实际的问号或星号，请在字符前键入波形符 (~)。 </t>
  </si>
  <si>
    <t>统计特定条件的数量</t>
  </si>
  <si>
    <t>已销售数量</t>
  </si>
  <si>
    <t>产品</t>
  </si>
  <si>
    <t>销售人员</t>
  </si>
  <si>
    <t>张三销售花生的数量</t>
  </si>
  <si>
    <t>花生</t>
  </si>
  <si>
    <t>李四</t>
  </si>
  <si>
    <t>胡豆</t>
  </si>
  <si>
    <t>瓜子</t>
  </si>
  <si>
    <t>WPS公式（函数）大全——rounddown</t>
  </si>
  <si>
    <t xml:space="preserve">语法：
ROUNDDOWN（number,num_digits）
Number    需要向下舍入的任意实数。Num_digits    指定的位数，按此位数进行四舍五入。
函数 ROUNDDOWN 和函数 ROUND 功能相似，不同之处在于函数 ROUNDDOWN 总是向下舍入数字。 
如果 num_digits 大于 0，则向下舍入到指定的小数位。 
如果 num_digits 等于 0，则向下舍入到最接近的整数。 
如果 num_digits 小于 0，则在小数点左侧向下进行舍入。 </t>
  </si>
  <si>
    <t>将 6.3 向下舍入，小数位为 0 (6)</t>
  </si>
  <si>
    <t>将 68.8 向下舍入，小数位为 0 (68)</t>
  </si>
  <si>
    <t>将 3.141592 向下舍入，保留四位小数 (3.1415)</t>
  </si>
  <si>
    <t>将 -3.141592 向下舍入，保留三位小数 (-3.141)</t>
  </si>
  <si>
    <t>将 31415.92 向下舍入到小数点左侧三位 (31000</t>
  </si>
  <si>
    <t>WPS公式（函数）大全——roundup</t>
  </si>
  <si>
    <t xml:space="preserve">语法：
远离零值，向上（绝对值增长的方向）舍入数字。
ROUNDUP（number,num_digits）
Number    需要向上舍入的任意实数。Num_digits    指定的位数，按此位数进行四舍五入。
函数 ROUNDUP 和函数 ROUND 功能相似，不同之处在于函数 ROUNDUP 总是向上舍入数字。 
如果 num_digits 大于 0，则向上舍入到指定的小数位。 
如果 num_digits 等于 0，则向上舍入到最接近的整数。 
如果 num_digits 小于 0，则在小数点左侧向上进行舍入。 
</t>
  </si>
  <si>
    <t>将 6.3 向上舍入，小数位为 0 (7)</t>
  </si>
  <si>
    <t>将 68.8 向上舍入，小数位为 0 (69)</t>
  </si>
  <si>
    <t>将 3.141592 向上舍入，保留四位小数 (3.1416)</t>
  </si>
  <si>
    <t>将 -3.141592 向上舍入，保留三位小数 (-3.142)</t>
  </si>
  <si>
    <t>将 31415.92 向上舍入到小数点左侧三位 (32000)</t>
  </si>
  <si>
    <t>WPS公式（函数）大全——count</t>
  </si>
  <si>
    <t>语法：
返回包含数字以及包含参数列表中的数字的单元格的个数。利用函数 COUNT 可以计算单元格区域或数字数组中数字字段的键入项个数。
COUNT(value1,value2,...)
value1, value2, ...   为包含或引用各种类型数据的参数（1 到 30个），但只有数字类型的数据才被计算。 
函数 COUNT 在计数时，将把数字、日期、或以文本代表的数字计算在内；但是错误值或其他无法转换成数字的文字将被忽略。 
如果参数是一个数组或引用，那么只统计数组或引用中的数字；数组或引用中的空白单元格、逻辑值、文字或错误值都将被忽略。如果要统计逻辑值、文字或错误值，请使用函数 CountA。</t>
  </si>
  <si>
    <t>计算含有数字的个数</t>
  </si>
  <si>
    <t>张</t>
  </si>
  <si>
    <t>计算数字的个数，不包括文本、错误值、空值，公式计算的数字也包括</t>
  </si>
  <si>
    <t>非空单元格，空格不计入，但是用公式计算出来的空格，计算在内。</t>
  </si>
  <si>
    <t>WPS公式（函数）大全——counta</t>
  </si>
  <si>
    <t xml:space="preserve">语法：
返回参数列表中非空值的单元格个数。利用函数 COUNTA 可以计算单元格区域或数组中包含数据的单元格个数。
COUNTA(value1,value2,...)
Value1, value2, ... 为所要计算的值，参数个数为 1 到 30 个。在这种情况下，参数值可以是任何类型，它们可以包括空字符 ("")，但不包括空白单元格。如果参数是数组或单元格引用，则数组或引用中的空白单元格将被忽略。如果不需要统计逻辑值、文字或错误值，请使用函数 COUNT。
</t>
  </si>
  <si>
    <t>计算非空单元格</t>
  </si>
  <si>
    <t>WPS公式（函数）大全——countblank</t>
  </si>
  <si>
    <t xml:space="preserve">语法：
计算指定单元格区域中空白单元格的个数。
COUNTBLANK(range)
Range   为需要计算其中空白单元格个数的区域。
即使单元格中含有返回值为空文本 ("")的公式，该单元格也会计算在内，但包含零值的单元格不计算在内。
</t>
  </si>
  <si>
    <t>计算空单元格数量</t>
  </si>
  <si>
    <t>空格的数量</t>
  </si>
  <si>
    <t>统计有2个空格A7、B5，B10内有一个空格，所以没有计入，B5单元格含有公式，但是返回的是“”，这里也计入；因此一共有2个空单元格</t>
  </si>
  <si>
    <t xml:space="preserve">a </t>
  </si>
  <si>
    <t>WPS公式（函数）大全——subtotal</t>
  </si>
  <si>
    <t xml:space="preserve">语法：
返回数据清单或数据库中的分类汇总。通常，使用“数据”菜单中的“分类汇总”命令可以容易地创建带有分类汇总的数据清单。一旦创建了分类汇总，就可以通过编辑 SUBTOTAL 函数对该数据清单进行修改。
SUBTOTAL（function_num,ref1,ref2,...）
Function_num    为 1 到 11 之间的数字，指定使用何种函数在数据清单中进行分类汇总计算。
</t>
  </si>
  <si>
    <t>subtotal中function_num的意义</t>
  </si>
  <si>
    <t>function_num
(包括手动隐藏值）</t>
  </si>
  <si>
    <t>function_num
(忽略手动隐藏值）</t>
  </si>
  <si>
    <t>相当于函数</t>
  </si>
  <si>
    <t>意义</t>
  </si>
  <si>
    <t>平均值</t>
  </si>
  <si>
    <t>非空值单元格计数</t>
  </si>
  <si>
    <t>非空值单元格计数（包括字母）</t>
  </si>
  <si>
    <t>最大值</t>
  </si>
  <si>
    <t>最小值</t>
  </si>
  <si>
    <t>乘积</t>
  </si>
  <si>
    <t>标准偏差值（忽略逻辑值和文本）</t>
  </si>
  <si>
    <t>标准偏差值</t>
  </si>
  <si>
    <t>sum</t>
  </si>
  <si>
    <t>求和</t>
  </si>
  <si>
    <t>给定样本的方差（忽略逻辑值和文本）</t>
  </si>
  <si>
    <t>给定样本总体的方差（忽略逻辑值和文本）</t>
  </si>
  <si>
    <t>赵柳</t>
  </si>
  <si>
    <t>刘洋</t>
  </si>
  <si>
    <t>刘备</t>
  </si>
  <si>
    <t>张飞</t>
  </si>
  <si>
    <t>关羽</t>
  </si>
  <si>
    <t>刘晓峰</t>
  </si>
  <si>
    <t>庞锋</t>
  </si>
  <si>
    <t>谢立成</t>
  </si>
  <si>
    <t>取值</t>
  </si>
  <si>
    <t>忽略隐藏值</t>
  </si>
  <si>
    <t>取平均值</t>
  </si>
  <si>
    <t>非空单元格的数量</t>
  </si>
  <si>
    <t>非空单元格的数量（包括字母）</t>
  </si>
  <si>
    <t>WPS公式（函数）大全——bin2hex</t>
  </si>
  <si>
    <t xml:space="preserve">语法：将二进制数转换为十六进制数。
BIN2HEX(number,places)
Number  待转换的二进制数。Number 的位数不能多于 10 位（二进制位），最高位为符号位，其余 9 位为数字位。负数用二进制数补码表示。
Places     要使用的字符数。若省略 places，函数 DEC2BIN 用能表示此数的最少字符来表示。当需要在返回的数值前置零时，places 尤其有用。
</t>
  </si>
  <si>
    <t>二进制转化为十进制</t>
  </si>
  <si>
    <t>将二进数 11011011 转换为 4 个字符的十六进制数 (00DB)</t>
  </si>
  <si>
    <t>将二进制数 1100 转换为十六进制数 (C)</t>
  </si>
  <si>
    <t>将二进制数 1110001111 转换为十六进制数 (FFFFFFFF8F)</t>
  </si>
  <si>
    <t>WPS公式（函数）大全——hex2bin</t>
  </si>
  <si>
    <t>语法：HEX2BIN函数的主要作用是将十六进制数转换为二进制数。
HEX2BIN(number,places)
HEX2BIN(待转换的十六进制数,所要使用的字符数)
Number：待转换的十六进制数。参数的位数不能多于 10 位，最高位为符号位（从右算起第 40 个二进制位），其余 39 位是数字位。负数用二进制数的补码表示。
Places：所要使用的字符数。如果省略 places，函数 HEX2BIN 用能表示此数的最少字符来表示。当需要在返回的数值前置零时，places 尤其有用。</t>
  </si>
  <si>
    <t xml:space="preserve">如果参数 number 为负数，则函数 HEX2BIN 将忽略 places，返回 10 位二进制数。
如果参数 number 为负数，不能小于 FFFFFFFE00；如果参数 number 为正数，不能大于 1FF。
如果参数 Number 不是合法的十六进制数，则函数 HEX2BIN 返回错误值 #NUM!。
如果 HEX2BIN 需要比 places 指定的更多的位数，将返回错误值 #NUM!。
如果 places 不是整数，将截尾取整。
如果 places 为非数值型，函数 HEX2BIN 返回错误值 #VALUE!。
如果 places 为负值，函数 HEX2BIN 返回错误值 #NUM!。 </t>
  </si>
  <si>
    <t>将十六进制数 F 转换为 8 个字符的二进制数 </t>
  </si>
  <si>
    <t>将十六进制数 B7 转换为二进制数 </t>
  </si>
  <si>
    <t>将十六进制数 FFFFFFFFFF   转换为二进制数</t>
  </si>
  <si>
    <t>WPS公式（函数）大全——hex2dec</t>
  </si>
  <si>
    <t xml:space="preserve">语法：将十六进制数转换为十进制数。  
HEX2DEC(number) 
Number 待转换的十六进制数。参数 number 的位数不能多于 10 位（40 位二进制），最高位为符号位，其余 39 位是数字位。负数用二进制数的补码表示。 
若参数 Number 不是合法的十六进制数，则 HEC2DEC 返回错误值 #NUM!。 </t>
  </si>
  <si>
    <r>
      <rPr>
        <sz val="9"/>
        <color theme="1"/>
        <rFont val="微软雅黑"/>
        <charset val="134"/>
      </rPr>
      <t>将十六进制数 FFFFFFFFFF 转换为十进制数 (-1)</t>
    </r>
    <r>
      <rPr>
        <sz val="10.5"/>
        <color rgb="FF000000"/>
        <rFont val="Arial"/>
        <charset val="134"/>
      </rPr>
      <t> </t>
    </r>
  </si>
  <si>
    <t>将十六进制数 E6 转换为十进制数 (230)</t>
  </si>
  <si>
    <t>将十六进制数 2BA568F9 转换为十进制数 (732260601)</t>
  </si>
  <si>
    <t>WPS公式（函数）大全——dec2bin</t>
  </si>
  <si>
    <t>语法：将十进制数转换为二进制数。 
DEC2BIN(number,places) 
Number 待转换的十进制数。若参数 number 是负数，则省略 places。函数 DEC2BIN 返回 10 位二进制数，最高位为符号位，其余 9 位是数字位。负数用二进制数的补码表示。 
Places 所要使用的字符数。若省略 places，函数 DEC2BIN 用能表示此数的最少字符来表示。当需要在返回的数值前置零时，places 尤其有用。 
若 number &lt; -512 或 number &gt; 511，则 DEC2BIN 返回错误值 #NUM!。
若参数 number 为非数值型，则 DEC2BIN 返回错误值 #VALUE!。
若函数 DEC2BIN 需要比 places 指定的更多的位数，将返回错误值 #NUM!。
若 places 不是整数，将截尾取整。
若 places 为非数值型，则 DEC2BIN 返回错误值 #VALUE!。
若 places 为负值，则 DEC2BIN 返回错误值 #NUM!。</t>
  </si>
  <si>
    <t>将十进制数 12 转换为 4 个字符的二进制数 (1100) </t>
  </si>
  <si>
    <t>将十进制数 -60 转换为二进制数 (1111000100)</t>
  </si>
  <si>
    <t>WPS公式（函数）大全——dec2hex</t>
  </si>
  <si>
    <t>语法：将十进制数转换为十六进制数。 
如果该函数不可用，并返回错误值 #NAME?，请安装并加载“分析工具库”加载宏。 
DEC2HEX(number,places) 
Number 待转换的十进制数。如果参数 number 是负数，则省略 places。函数 DEC2HEX 返回 10 位十六进制数（40 位二进制数），最高位为符号位，其余 39 位是数字位。负数用二进制数的补码表示。 
Places 所要使用的字符数，如果省略 places，函数 DEC2HEX 用能表示此数的最少字符来表示。当需要在返回的数值前置零时 places 尤其有用。 
如果 number &lt; -549、755、813、888 或者 number &gt; 549、755、813、887，则函数 DEC2HEX 返回错误值 #NUM!。
如果参数 number 为非数值型，函数 DEC2HEX 将返回错误值 #VALUE!。
如果函数 DEC2HEX 需要比 places 指定的更多的位数，将返回错误值 #NUM!。
如果 places 不是整数，将截尾取整。
如果 places 为非数值型，函数 DEC2HEX 将返回错误值 #VALUE!。
如果 places 为负值，函数 DEC2HEX 将返回错误值 #NUM!。</t>
  </si>
  <si>
    <t>将十进制数100转换为4个字符的十六进制数(0064)</t>
  </si>
  <si>
    <t>将十进制数-54 转换为十六进制数 (FFFFFFFFCA)</t>
  </si>
  <si>
    <t xml:space="preserve"> =DEC2HEX(-54)</t>
  </si>
  <si>
    <t>WPS公式（函数）大全——BIN2DEC</t>
  </si>
  <si>
    <t xml:space="preserve">语法：BIN2DEC(number)
将二进制数转换为十进制数。
Number      待转换的二进制数。Number 的位数不能多于 10 位（二进制位），最高位为符号位，其余 9 位为数字位。负数用二进制数的补码表示。
说明
若数字为非法二进制数或位数多于 10 位（二进制位），BIN2DEC 返回错误值 #NUM!。
</t>
  </si>
  <si>
    <t>二进制</t>
  </si>
  <si>
    <t>转化为十进制</t>
  </si>
  <si>
    <t>超过十位</t>
  </si>
  <si>
    <t>非二进制</t>
  </si>
  <si>
    <t>WPS公式（函数）大全——randbetween</t>
  </si>
  <si>
    <t xml:space="preserve">语法：
返回大于等于指定的最小值，小于指定最大值之间的一个随机整数。每次计算工作表时都将返回一个新的数值。
语法 
RANDBETWEEN（bottom,top） 
Bottom 函数 RANDBETWEEN 将返回的最小整数。 
Top 函数 RANDBETWEEN 将返回的最大整数。 </t>
  </si>
  <si>
    <t>生成1-100随机数</t>
  </si>
  <si>
    <t>WPS公式（函数）大全——factdouble</t>
  </si>
  <si>
    <t>语法：
FACTDOUBLE(number) 
返回数字的双倍阶乘。Number 要计算其双倍阶乘的数值。如果 Number 不是整数，则截尾取整。 
注解 
如果参数 Number 为非数值型，则函数 FACTDOUBLE 返回错误值 #VALUE!。
如果参数 Number 为负值，则函数 FACTDOUBLE 返回错误值 #NUM!。</t>
  </si>
  <si>
    <t>双倍阶乘为乘数相差2
n为偶数：n!!=n*(n-2)*(n-4)*(n-6)*...4*2
n为基数：n!!=n*(n-2)*(n-4)*(n-6)*...3*1</t>
  </si>
  <si>
    <t>WPS公式（函数）大全——findb</t>
  </si>
  <si>
    <t xml:space="preserve">语法：
FINDB(find_text,within_text,start_num)
用于查找其他文本字符串 (within_text) 内的文本字符串 (find_text)，并基于每个字符所使用的字节数从 within_text 的首字符开始返回 find_text 的起始位置编号。此函数用于双字节字符。每个英文1个字节，每个汉字为2个字节。
</t>
  </si>
  <si>
    <t>查找位置</t>
  </si>
  <si>
    <t>这里的汉字和标点符号，都是两个字节</t>
  </si>
  <si>
    <t>判断姓名的长度</t>
  </si>
  <si>
    <t>部门+姓名</t>
  </si>
  <si>
    <t>姓名的字数</t>
  </si>
  <si>
    <t>MKD:张三爱</t>
  </si>
  <si>
    <t>LBN:欧阳海洋</t>
  </si>
  <si>
    <t>GTD:张三爱</t>
  </si>
  <si>
    <t>WPS公式（函数）大全——index</t>
  </si>
  <si>
    <t xml:space="preserve">语法：
INDEX函数可以返回一个值或者对某值的引用，因此可以使用该函数来：查找所选月份的销量；获取对指定行、列、区域的引用；基于给定数目创建动态区域；以字母顺序排序文本列。
返回表或区域中的值或值的引用。函数INDEX()有两种形式：数组（ 用于建立可生成多个结果或可对在行和列中排列的一组参数进行运算的单个公式。数组区域共用一个公式；数组常量是用作参数的一组常量）和引用。数组形式通常返回数值或数值数组；引用形式通常返回引用。 
INDEX(array,Row_num,column_num) 返回数组中指定单元格或单元格数组的数值。 
INDEX(reference,Row_num,column_num,area_num) 返回引用中指定单元格区域的引用。
</t>
  </si>
  <si>
    <t>index数组形式和引用形式的比较</t>
  </si>
  <si>
    <t>（1）index的数组形式</t>
  </si>
  <si>
    <t>苹果</t>
  </si>
  <si>
    <t>柠檬</t>
  </si>
  <si>
    <t>香蕉</t>
  </si>
  <si>
    <t>梨</t>
  </si>
  <si>
    <t>数据区域第2行第2列的数据</t>
  </si>
  <si>
    <t>返回第一行第二列数据</t>
  </si>
  <si>
    <t>说明：如果row_num或column_num是0，返回整列或整行的引用，结果是一个引用，可用于其他函数中
如果row_num和column_num没有指向数组或引用里的单元格，那么INDEX函数返回#REF!错误。</t>
  </si>
  <si>
    <t>（2）index的引用形式</t>
  </si>
  <si>
    <t>水果</t>
  </si>
  <si>
    <t>价格</t>
  </si>
  <si>
    <t>柑桔</t>
  </si>
  <si>
    <t>杏</t>
  </si>
  <si>
    <t>腰果</t>
  </si>
  <si>
    <t>核桃</t>
  </si>
  <si>
    <t>返回区域 A15:C19 中第二行和第三列交叉处的单元格 C3 的引用。(38)</t>
  </si>
  <si>
    <t>返回第二个区域 A15:C24 中第二行和第二列交叉处的单元格 B9 的引用。(3.55)</t>
  </si>
  <si>
    <t>返回区域 A15:C24中第一个区域的第三列的和，即单元格区域 C列 的和。(216)</t>
  </si>
  <si>
    <t>返回以单元格 B2 开始到单元格区域 A2:A6 中第五行和第二列交叉处结束的单元格区域的和，即单元格区域 B2:B6 的和。(2.42)</t>
  </si>
  <si>
    <t>WPS公式（函数）大全——frequency</t>
  </si>
  <si>
    <t xml:space="preserve">语法：
FREQUENCY(data_array,bins_array)
Data_array   一个数组或对一组数值的引用，您要为它计算频率。如果 data_array 中不包含任何数值，函数 FREQUENCY 将返回一个零数组。
Bins_array   一个区间数组或对区间的引用，该区间用于对 data_array 中的数值进行分组。如果 bins_array 中不包含任何数值，函数 FREQUENCY 返回的值与 data_array 中的元素个数相等。
在选择了用于显示返回的分布结果的相邻单元格区域后，函数 FREQUENCY 应以数组公式的形式键入。 
对于返回结果为数组的公式，必须以数组公式的形式键入。 
返回的数组中的元素个数比 bins_array 中的元素个数多 1 个。多出来的元素表示最高区间之上的数值个数。例如，如果要为三个单元格中键入的三个数值区间计数，请务必在四个单元格中键入 FREQUENCY 函数获得计算结果。多出来的单元格将返回 data_array 中第三个区间值以上的数值个数。 
函数 FREQUENCY 将忽略空白单元格和文本。 
</t>
  </si>
  <si>
    <t>分数段数量统计</t>
  </si>
  <si>
    <t>区间分割点</t>
  </si>
  <si>
    <t>分布人数</t>
  </si>
  <si>
    <t>选择c5:c8区域，比分段的数量多处一个区域，输入公式=FREQUENCY(A5:A12,B5:B7)，按ctrl+shift+enter三键组合</t>
  </si>
  <si>
    <t>分段包括上数不包括下数</t>
  </si>
  <si>
    <t>WPS公式（函数）大全——yearfrac</t>
  </si>
  <si>
    <t xml:space="preserve">语法：
返回 start_date 和 end_date 之间的天数占全年天数的百分比。使用 YEARFRAC 工作表函数可判别某一特定条件下全年效益或债务的比例。
YEARFRAC(start_date, end_date, basis)
Start_date   一个日期值，代表开始日期。 
End_date    一个日期值，代表终止日期。 
Basis   要使用的日计数基准类型。 
</t>
  </si>
  <si>
    <t>Basis</t>
  </si>
  <si>
    <t>日计数基准</t>
  </si>
  <si>
    <t>0 或省略</t>
  </si>
  <si>
    <t>US (NASD) 30/360</t>
  </si>
  <si>
    <t>实际天数/实际天数</t>
  </si>
  <si>
    <t>实际天数/360</t>
  </si>
  <si>
    <t>实际天数/365</t>
  </si>
  <si>
    <t>欧洲 30/360</t>
  </si>
  <si>
    <t>计算</t>
  </si>
  <si>
    <r>
      <rPr>
        <sz val="10"/>
        <color rgb="FF000000"/>
        <rFont val="微软雅黑"/>
        <charset val="134"/>
      </rPr>
      <t>两个日期之间的天数占全年的百分比 (</t>
    </r>
    <r>
      <rPr>
        <sz val="10"/>
        <color rgb="FF000000"/>
        <rFont val="宋体"/>
        <charset val="134"/>
      </rPr>
      <t>0.1397260274</t>
    </r>
    <r>
      <rPr>
        <sz val="10"/>
        <color rgb="FF454545"/>
        <rFont val="宋体"/>
        <charset val="134"/>
      </rPr>
      <t>)</t>
    </r>
  </si>
  <si>
    <t>终止日期</t>
  </si>
  <si>
    <r>
      <rPr>
        <sz val="10"/>
        <color rgb="FF000000"/>
        <rFont val="微软雅黑"/>
        <charset val="134"/>
      </rPr>
      <t>两个日期之间的天数占全年的百分比 (</t>
    </r>
    <r>
      <rPr>
        <sz val="10"/>
        <color rgb="FF000000"/>
        <rFont val="宋体"/>
        <charset val="134"/>
      </rPr>
      <t>0.14444444444</t>
    </r>
    <r>
      <rPr>
        <sz val="10"/>
        <color rgb="FF454545"/>
        <rFont val="宋体"/>
        <charset val="134"/>
      </rPr>
      <t>)</t>
    </r>
  </si>
  <si>
    <t>WPS公式（函数）大全——Date</t>
  </si>
  <si>
    <r>
      <rPr>
        <b/>
        <sz val="11"/>
        <rFont val="微软雅黑"/>
        <charset val="134"/>
      </rPr>
      <t xml:space="preserve">释义：
</t>
    </r>
    <r>
      <rPr>
        <b/>
        <sz val="11"/>
        <color theme="1"/>
        <rFont val="微软雅黑"/>
        <charset val="134"/>
      </rPr>
      <t>DATE：返回代表特定日期的序列号。如果在输入函数前，单元格的格式为“常规”，则结果将设为日期格式。
语法：DATE(year,month,day)
Year 参数 year 可以为一到四位数字。根据所使用的日期系统来解释 year 参数。默认情况下， Windows 将使用 1900 日期系统
Month 代表一年中从 1 月到 12 月（一月到十二月）各月的正整数或负整数。
Day 代表一月中从 1 日到 31 日各天的正整数或负整数。</t>
    </r>
  </si>
  <si>
    <t>日</t>
  </si>
  <si>
    <t>日期</t>
  </si>
  <si>
    <t>计算月份的最后一天</t>
  </si>
  <si>
    <t>最后一天的日数</t>
  </si>
  <si>
    <t>WPS公式（函数）大全——max</t>
  </si>
  <si>
    <t xml:space="preserve">语法：
返回一组值中的最大值。
MAX(number1,number2,...)
Number1, number2, ...   是要从中找出最大值的 1 到 30 个数字参数。 
可以将参数指定为数字、空白单元格、逻辑值或数字的文本表达式。如果参数为错误值或不能转换成数字的文本，将产生错误。 
如果参数为数组或引用，则只有数组或引用中的数字将被计算。数组或引用中的空白单元格、逻辑值或文本将被忽略。如果逻辑值和文本不能忽略，请使用函数 MAXA 来代替。 
如果参数不包含数字，函数 MAX 返回 0（零）。 
</t>
  </si>
  <si>
    <t>求区域最大值</t>
  </si>
  <si>
    <t>求区域内数值和60之间的最大值</t>
  </si>
  <si>
    <t>WPS公式（函数）大全——min</t>
  </si>
  <si>
    <t xml:space="preserve">语法：
返回一组值中的最小值。
MIN(number1,number2,...)
Number1, number2,...   是要从中找出最小值的 1 到 30 个数字参数。 
可以将参数指定为数字、空白单元格、逻辑值或数字的文本表达式。如果参数为错误值或不能转换成数字的文本，将产生错误。 
如果参数是数组或引用，则函数 MIN 仅使用其中的数字，空白单元格，逻辑值、文本或错误值将被忽略。如果逻辑值和文本字符串不能忽略，请使用 MINA 函数。 
如果参数中不含数字，则函数 MIN 返回 0。 
</t>
  </si>
  <si>
    <t>求区域最小值</t>
  </si>
  <si>
    <t>求区域内数值和20之间的最小值</t>
  </si>
  <si>
    <t>WPS公式（函数）大全——mina</t>
  </si>
  <si>
    <t xml:space="preserve">语法：
返回参数列表中的最小值。文本值和逻辑值（如 TRUE 和 FALSE）也作为数字来计算。
MINA(value1,value2,...)
Value1, value2, ...   为需要从中查找最小值的 1 到 30 个参数。 
参数可以为数字、空白单元格、逻辑值或数字的文本表达式。如果参数为错误值，则会产生错误。如果在计算中不能包含文本或逻辑值，请使用 MIN 工作表函数来代替。 
如果参数为数组或引用，则只使用其中的数值。数组或引用中的空白单元格和文本值将被忽略。 
包含 TRUE 的参数作为 1 计算；包含文本或 FALSE 的参数作为 0 计算。 
如果参数不包含任何值，函数 MINA 返回 0。 </t>
  </si>
  <si>
    <t>左面数据中的最小值。FALSE 的值为 0 (0)</t>
  </si>
  <si>
    <t>WPS公式（函数）大全——maxa</t>
  </si>
  <si>
    <t>语法：
返回参数清单中的最大值。文本值和逻辑值（如 TRUE 和 FALSE）也作为数字来计算。函数 MAXA 与函数 MINA 相似。
MAXA(value1,value2,...)
Value1, value2,...为需要从中查找最大数值的 1 到 30 个参数。
参数可以为数字、空白单元格、逻辑值或数字的文本表达式。如果参数为错误值，则会产生错误。如果在计算中不能包含文本或逻辑值，请使用 MAX 工作表函数来代替。 
如果参数为数组或引用，则只使用数组或引用中的数值。忽略数组或引用中的空白单元格和文本值。 
包含 TRUE 的参数作为 1 计算；包含文本或 FALSE 的参数作为 0 计算。 
如果参数不包含任何值，函数 MAXA 返回 0。</t>
  </si>
  <si>
    <t>求区域内的最大值</t>
  </si>
  <si>
    <t>WPS公式（函数）大全——maxifs</t>
  </si>
  <si>
    <t>语法：
MAXIFS 函数返回一组给定条件指定的单元格之间的最大值。
MAXIFS (max_range，criteria_range1，criteria1，[criteria_range2，criteria2]，...)
max_range（必需）  确定最大值的单元格的实际范围。
criteria_range1（必需）  是一组要使用条件计算的单元格
criteria1 （必需）  为数字、 表达式或文本定义哪些单元格将计算为最大值的窗体中的条件。同一套标准适用于MINIFS、 SUMIFS和AVERAGEIFS函数
criteria_range2,criteria2,...（可选）  附加的范围和其关联的条件。您可以输入最多 126 个范围/条件对。
大小和形状的 max_range 和 criteria_rangeN 参数必须是相同的否则这些函数将返回 #VALUE ！出错。</t>
  </si>
  <si>
    <t>年级</t>
  </si>
  <si>
    <t>重量</t>
  </si>
  <si>
    <t xml:space="preserve">在 b5:b10 中的单元格 B5，B9 和 B10符合标准的 1。Max_range 中的相应单元格，A9 具有最大值。因此，结果是 91。 
</t>
  </si>
  <si>
    <t>WPS公式（函数）大全——minifs</t>
  </si>
  <si>
    <t>语法：
MINIFS 函数返回一组给定条件或标准指定的单元格之间的最小值。
MINIFS(min_range, criteria_range1, criteria1, [criteria_range2, criteria2], ...)
min_range （必需）        确定最小值的实际单元格区域。
criteria_range1         （必需）是一组用于条件计算的单元格。
criteria1            （必需）用于确定哪些单元格是最小值的条件，格式为数字、表达式或文本。一组相同的条件适用于 MAXIFSSUMIFS 和 AVERAGEIFS 函数。
criteria_range2,criteria2,... （可选）附加区域及其关联条件。最多可以输入 126 个区域/条件对。
min_range 和 criteria_rangeN 参数的大小和形状必须相同，否则这些函数会返回 #VALUE! 错误。</t>
  </si>
  <si>
    <t>数值</t>
  </si>
  <si>
    <t xml:space="preserve">在b5:b10 中，单元格 B5、B9 和 B10 符合条件 1。在 min_range 中的对应单元格中，A10 的值最小。因此，结果是 88. </t>
  </si>
  <si>
    <t>WPS公式（函数）大全——EDate</t>
  </si>
  <si>
    <t>释义：
返回用于表示开始日期之前或之后月数的日期的序列号
EDATE(start_date,months)
Start_date 为一个代表开始日期的日期</t>
  </si>
  <si>
    <t>1.此函数表示上述日期之后一个月的日期 (=EDATE(B4,1))</t>
  </si>
  <si>
    <t>2.此函数表示上述日期之前一个月的日期 =EDATE(B4,-1)</t>
  </si>
  <si>
    <t>3.此函数表示上述日期之后两个月的日期 (=EDATE(B4,2))</t>
  </si>
  <si>
    <t>WPS公式（函数）大全——Rand</t>
  </si>
  <si>
    <t>释义：
返回0-1之间的随机数</t>
  </si>
  <si>
    <t>下列返回随机数，0-1之间</t>
  </si>
  <si>
    <t>WPS公式（函数）大全——dollar</t>
  </si>
  <si>
    <t>语法：
DOLLAR(number,decimals)
Number 为数字、包含数字的单元格引用，或是计算结果为数字的公式。
Decimals 为十进制数的小数位数。如果 Decimals 为负数，则参数 number从小数点往左按相应位数取整。如果省略 Decimals，则假设其值为 2。
使用“格式”菜单中的“单元格”命令来设置包含数字的单元格的格式与使用 DOLLAR 函数直接设置数字的格式之间的区别在于：DOLLAR 函数将结果转换为文本，而使用“单元格”命令设置格式的数字仍为数字。但可以继续在公式中使用由 DOLLAR 函数设置了格式的数字，因为Microsoft Excel在计算公式时会将以文本值输入的数字转换为数字。</t>
  </si>
  <si>
    <t xml:space="preserve">语法：
FIND(FIND_text,within_text,start_num)
Find_text   是要查找的文本。 Within_text   是包含要查找文本的文本。Start_num   指定开始进行查找的字符。within_text 中的首字符是编号为 1 的字符。如果忽略 start_num，则假设其为 1。
FIND 用于查找其他文本字符串 (within_text) 内的文本字符串 (FIND_text)，并从 within_text 的首字符开始返回 FIND_text 的起始位置编号。也可使用 SEARCH 查找其他文本字符串中的某个文本字符串，但是，FIND 和 SEARCH 不同，FIND 区分大小写并且不允许使用通配符。
</t>
  </si>
  <si>
    <t>提取特定字符</t>
  </si>
  <si>
    <t>书卡号码 #124-TD45-87</t>
  </si>
  <si>
    <t>提权“#”号后的第一个字符</t>
  </si>
  <si>
    <t>图书编号 #12-671-6772</t>
  </si>
  <si>
    <t>借阅日期 #20071030</t>
  </si>
  <si>
    <t>WPS公式（函数）大全——indirect</t>
  </si>
  <si>
    <t xml:space="preserve">释义：
返回由文本字符串指定的引用。此函数立即对引用进行计算，并显示其内容。当需要更改公式中单元格的引用，而不更改公式本身，请使用函数 INDIRECT。 
语法 
INDIRECT(ref_text,a1) 
Ref_text 为对单元格的引用，此单元格可以包含 A1-样式的引用、R1C1-样式的引用、定义为引用的名称或对文本字符串单元格的引用。如果 ref_text 不是合法的单元格的引用，函数 INDIRECT 返回错误值 #REF!。 
• 如果 ref_text 是对另一个工作簿的引用（外部引用），则那个工作簿必须被打开。如果源工作簿没有打开，函数 INDIRECT 返回错误值 #REF!。 
A1 为一逻辑值，指明包含在单元格 ref_text 中的引用的类型。 
• 如果 a1 为 TRUE 或省略，ref_text 被解释为 A1-样式的引用。 
• 如果 a1 为 FALSE，ref_text 被解释为 R1C1-样式的引用。 </t>
  </si>
  <si>
    <t>B5</t>
  </si>
  <si>
    <r>
      <rPr>
        <sz val="10.5"/>
        <color rgb="FF000000"/>
        <rFont val="宋体"/>
        <charset val="134"/>
      </rPr>
      <t>单元格</t>
    </r>
    <r>
      <rPr>
        <sz val="10.5"/>
        <color rgb="FF000000"/>
        <rFont val="Arial"/>
        <charset val="134"/>
      </rPr>
      <t>A5</t>
    </r>
    <r>
      <rPr>
        <sz val="10.5"/>
        <color rgb="FF000000"/>
        <rFont val="宋体"/>
        <charset val="134"/>
      </rPr>
      <t>中的引用值</t>
    </r>
    <r>
      <rPr>
        <sz val="10.5"/>
        <color rgb="FF000000"/>
        <rFont val="Arial"/>
        <charset val="134"/>
      </rPr>
      <t>(1.333)</t>
    </r>
  </si>
  <si>
    <r>
      <rPr>
        <sz val="10.5"/>
        <color rgb="FF000000"/>
        <rFont val="宋体"/>
        <charset val="134"/>
      </rPr>
      <t>单元格</t>
    </r>
    <r>
      <rPr>
        <sz val="10.5"/>
        <color rgb="FF000000"/>
        <rFont val="Arial"/>
        <charset val="134"/>
      </rPr>
      <t>A6</t>
    </r>
    <r>
      <rPr>
        <sz val="10.5"/>
        <color rgb="FF000000"/>
        <rFont val="宋体"/>
        <charset val="134"/>
      </rPr>
      <t>中的引用值</t>
    </r>
    <r>
      <rPr>
        <sz val="10.5"/>
        <color rgb="FF000000"/>
        <rFont val="Arial"/>
        <charset val="134"/>
      </rPr>
      <t>(45)</t>
    </r>
  </si>
  <si>
    <t>George</t>
  </si>
  <si>
    <r>
      <rPr>
        <sz val="10.5"/>
        <color rgb="FF000000"/>
        <rFont val="宋体"/>
        <charset val="134"/>
      </rPr>
      <t>如果单元格</t>
    </r>
    <r>
      <rPr>
        <sz val="10.5"/>
        <color rgb="FF000000"/>
        <rFont val="Arial"/>
        <charset val="134"/>
      </rPr>
      <t>B7</t>
    </r>
    <r>
      <rPr>
        <sz val="10.5"/>
        <color rgb="FF000000"/>
        <rFont val="宋体"/>
        <charset val="134"/>
      </rPr>
      <t>有定义名</t>
    </r>
    <r>
      <rPr>
        <sz val="10.5"/>
        <color rgb="FF000000"/>
        <rFont val="Arial"/>
        <charset val="134"/>
      </rPr>
      <t>“George”</t>
    </r>
    <r>
      <rPr>
        <sz val="10.5"/>
        <color rgb="FF000000"/>
        <rFont val="宋体"/>
        <charset val="134"/>
      </rPr>
      <t>，则返回定义名的值</t>
    </r>
    <r>
      <rPr>
        <sz val="10.5"/>
        <color rgb="FF000000"/>
        <rFont val="Arial"/>
        <charset val="134"/>
      </rPr>
      <t>(10)</t>
    </r>
  </si>
  <si>
    <r>
      <rPr>
        <sz val="10.5"/>
        <color rgb="FF000000"/>
        <rFont val="宋体"/>
        <charset val="134"/>
      </rPr>
      <t>单元格</t>
    </r>
    <r>
      <rPr>
        <sz val="10.5"/>
        <color rgb="FF000000"/>
        <rFont val="Arial"/>
        <charset val="134"/>
      </rPr>
      <t>A8</t>
    </r>
    <r>
      <rPr>
        <sz val="10.5"/>
        <color rgb="FF000000"/>
        <rFont val="宋体"/>
        <charset val="134"/>
      </rPr>
      <t>中的引用值</t>
    </r>
    <r>
      <rPr>
        <sz val="10.5"/>
        <color rgb="FF000000"/>
        <rFont val="Arial"/>
        <charset val="134"/>
      </rPr>
      <t>(62)</t>
    </r>
  </si>
  <si>
    <t>首页</t>
  </si>
  <si>
    <t>B2</t>
  </si>
  <si>
    <t>引用其他工作表的单元格,工作表"首页"的B2单元格</t>
  </si>
  <si>
    <t>WPS公式（函数）大全——exact</t>
  </si>
  <si>
    <t>语法：
用于检测两个字符串是否完全相同。EXACT函数的参数text1和text2分别表示需要比较的文本字符串，也可以是引用单元格中的文本字符串，如果两个参数完全相同，EXACT函数返回TRUE值；否则返回FALSE值。
EXACT(text1,text2)
Text1 待比较的第一个字符串。
Text2 待比较的第二个字符串。</t>
  </si>
  <si>
    <t>合并字符串的不同用法</t>
  </si>
  <si>
    <t>字符1</t>
  </si>
  <si>
    <t>字符2</t>
  </si>
  <si>
    <t>比较结果</t>
  </si>
  <si>
    <t>热火</t>
  </si>
  <si>
    <t>热 火</t>
  </si>
  <si>
    <t>200</t>
  </si>
  <si>
    <t>WPS公式（函数）大全——char</t>
  </si>
  <si>
    <t>语法：
CHAR(number)
参数说明：
number：表示1～255之间的字符编码。</t>
  </si>
  <si>
    <t>返回数字代表的字符</t>
  </si>
  <si>
    <t>字符</t>
  </si>
  <si>
    <t>WPS公式（函数）大全——concatenate</t>
  </si>
  <si>
    <t>语法：
CONCATENATE (text1,text2,...) 
Text1, text2, ... 为 1 到 30 个将要合并成单个文本项的文本项。这些文本项可以为文本字符串、数字或对单个单元格的引用。 
说明 
也可以用 &amp;（和号）运算符代替函数 CONCATENATE 实现文本项的合并。</t>
  </si>
  <si>
    <t>省</t>
  </si>
  <si>
    <t>地区</t>
  </si>
  <si>
    <t>市县</t>
  </si>
  <si>
    <t>合并</t>
  </si>
  <si>
    <t>河北省</t>
  </si>
  <si>
    <t>沧州</t>
  </si>
  <si>
    <t>黄骅市</t>
  </si>
  <si>
    <t>concatenate、&amp;、concat、textjoin的区别</t>
  </si>
  <si>
    <t>1、连字符 &amp; 和concatenate基本一样的用法，两者在连接字符时，必须是单元格，不能是区域，当连接单元格较多时，书写较为麻烦。</t>
  </si>
  <si>
    <t>2、因此，加入了concat函数，来实现连字符和concatenate的功能，它可以连接区域，更加方便。</t>
  </si>
  <si>
    <t>3、concat函数能完成的功能，textjoin函数都能完成，并且textjoin函数在忽略空白单元格、合理应用分隔符方面更胜一筹。</t>
  </si>
  <si>
    <t>WPS公式（函数）大全——concat</t>
  </si>
  <si>
    <t xml:space="preserve">语法：
 CONCAT(text1…) 
text1 … 为 1 到 255个要联接的文本项。这些文本项可以是文本字符串或字符串数组，如单元格区域。 
说明 如果结果字符串超过 32767 个字符（单元格限制），则 CONCAT 返回 #VALUE! 错误。 </t>
  </si>
  <si>
    <t>实例3</t>
  </si>
  <si>
    <t>学习</t>
  </si>
  <si>
    <t>word</t>
  </si>
  <si>
    <t>excel</t>
  </si>
  <si>
    <t>wps</t>
  </si>
  <si>
    <t>实例4</t>
  </si>
  <si>
    <t>条件筛选合并</t>
  </si>
  <si>
    <t>考核结果</t>
  </si>
  <si>
    <t>优秀员工</t>
  </si>
  <si>
    <t>财务处</t>
  </si>
  <si>
    <t>洪武</t>
  </si>
  <si>
    <t>优秀</t>
  </si>
  <si>
    <t>张冠男</t>
  </si>
  <si>
    <t>合格</t>
  </si>
  <si>
    <t>毛如东</t>
  </si>
  <si>
    <t>公式为=CONCAT(IF((A16:A25=D16)*(C16:C25="优秀"),B16:B25&amp;"，",""))按ctrl、shift、enter三键组合</t>
  </si>
  <si>
    <t>徐颖</t>
  </si>
  <si>
    <t>开发部</t>
  </si>
  <si>
    <t>郑颖</t>
  </si>
  <si>
    <t>黄翠</t>
  </si>
  <si>
    <t>李迎喜</t>
  </si>
  <si>
    <t>人事处</t>
  </si>
  <si>
    <t>陈志丽</t>
  </si>
  <si>
    <t>恍如</t>
  </si>
  <si>
    <t>陈志金</t>
  </si>
  <si>
    <t>WPS公式（函数）大全——textjoin</t>
  </si>
  <si>
    <t xml:space="preserve">语法：
TEXTJOIN(delimiter, ignore_empty, text1…) 
delimiter  分隔符。文本字符串，或者为空，或用双引号引起来的一个或多个字符，或对有效文本字符串的引用。如果提供一个数字，则将被视为文本。 
ignore_empty 如果为 TRUE，则忽略空白单元格。 
text1… 为 1 到 253 个要联接的文本项。这些文本项可以是文本字符串或字符串数组，如单元格区域。 
说明 如果结果字符串超过 32767 个字符（单元格限制），则 TEXTJOIN 返回 #VALUE! 错误。 </t>
  </si>
  <si>
    <t>合并同部门的人员</t>
  </si>
  <si>
    <t>员工</t>
  </si>
  <si>
    <t>公式为=TEXTJOIN("、",TRUE,IF(A9:A18=D9,B9:B18,""))三键组合</t>
  </si>
  <si>
    <t>WPS公式（函数）大全——code</t>
  </si>
  <si>
    <t>语法：
语法参数text必需有，作为需要得到其第一个字符的文本。示例
将如下示例粘贴到空白工作表中，有助于您更好得理解此函数。
=CODE("EXCEL") 返回第一个字符"E"对应的数字代码： 69
=CODE("e") 返回字符"e"对应的数字代码： 101
=CODE(" ") 返回空格对应的数字代码： 32
=CODE("函数") 返回第一个汉字“函”对应的数字代码： 47791</t>
  </si>
  <si>
    <t>判断首字符是否是数字</t>
  </si>
  <si>
    <t>举例</t>
  </si>
  <si>
    <t>返回结果</t>
  </si>
  <si>
    <t>盘</t>
  </si>
  <si>
    <t>1+3</t>
  </si>
  <si>
    <t>wo123</t>
  </si>
  <si>
    <t>张3</t>
  </si>
  <si>
    <t>WPS公式（函数）大全——column</t>
  </si>
  <si>
    <t xml:space="preserve">释义：
返回给定引用的列标。 
语法 
COLUMN(reference) 
Reference 为需要得到其列标的单元格或单元格区域。 
• 如果省略 reference，则假定为是对函数 COLUMN 所在单元格的引用。 
• 如果 reference 为一个单元格区域，并且函数 COLUMN 作为水平数组输入，则函数 COLUMN 将 reference 中的列标以水平数组的形式返回。 
• Reference 不能引用多个区域。 </t>
  </si>
  <si>
    <t>column()</t>
  </si>
  <si>
    <t>COLUMN(A10)</t>
  </si>
  <si>
    <t>COLUMN(F10)</t>
  </si>
  <si>
    <t>COLUMN(M2)</t>
  </si>
  <si>
    <t>WPS公式（函数）大全——choose</t>
  </si>
  <si>
    <t xml:space="preserve">释义：
choose函数的语法格式
=Choose(index_num, value1, [value2], ...)
=Choose（索引值，值1，值2，，，）
参数Index_num ——可以是表达式（运算结果是数值）或直接是数值，介于1-254之间。
当index_num 等于 1时，choose 函数返回 value1。
如果为 2，则返回 value2，以此类推。 </t>
  </si>
  <si>
    <t>根据星期几返回不同的欢迎语</t>
  </si>
  <si>
    <t>choose替代if，计算打折力度</t>
  </si>
  <si>
    <t>会员</t>
  </si>
  <si>
    <t>打折力度</t>
  </si>
  <si>
    <t>付一萌</t>
  </si>
  <si>
    <t>非会员</t>
  </si>
  <si>
    <t>夏洛</t>
  </si>
  <si>
    <t>普通会员</t>
  </si>
  <si>
    <t>马松梅</t>
  </si>
  <si>
    <t>黄金会员</t>
  </si>
  <si>
    <t>李大爷</t>
  </si>
  <si>
    <t>钻石会员</t>
  </si>
  <si>
    <t>黄日华</t>
  </si>
  <si>
    <t>郑智</t>
  </si>
  <si>
    <t>房祖名</t>
  </si>
  <si>
    <t>WPS公式（函数）大全——weekday</t>
  </si>
  <si>
    <r>
      <rPr>
        <b/>
        <sz val="11"/>
        <rFont val="微软雅黑"/>
        <charset val="134"/>
      </rPr>
      <t xml:space="preserve">语法：
WEEKDAY(日期序号，返回值类型)
</t>
    </r>
    <r>
      <rPr>
        <b/>
        <sz val="11"/>
        <color theme="0"/>
        <rFont val="微软雅黑"/>
        <charset val="134"/>
      </rPr>
      <t>日期序号</t>
    </r>
    <r>
      <rPr>
        <b/>
        <sz val="11"/>
        <rFont val="微软雅黑"/>
        <charset val="134"/>
      </rPr>
      <t xml:space="preserve"> 是要返回日期数的日期，它有多种输入方式：带引号的本串(如"2001/02/26")、序列号（如35825 表示1998 年1 月30 日） 或其他公式或函数的结果(如DATEVALUE("2000/1/30"))。
</t>
    </r>
    <r>
      <rPr>
        <b/>
        <sz val="11"/>
        <color theme="0"/>
        <rFont val="微软雅黑"/>
        <charset val="134"/>
      </rPr>
      <t xml:space="preserve">返回值类型 </t>
    </r>
    <r>
      <rPr>
        <b/>
        <sz val="11"/>
        <rFont val="微软雅黑"/>
        <charset val="134"/>
      </rPr>
      <t>为确定返回值类型的数字，数字1 或省略则1 至7 代表星期天到星期六，数字2 则1 至7 代表星期一到星期天，数字3则0至6代表星期一到星期天。</t>
    </r>
  </si>
  <si>
    <t>=WEEKDAY("2001/8/28"，2) 返回2(星期二)</t>
  </si>
  <si>
    <t>=WEEKDAY("2003/02/23"，3) 返回6(星期天)。</t>
  </si>
  <si>
    <t>星期</t>
  </si>
  <si>
    <t>WEEKDAY($A$7)</t>
  </si>
  <si>
    <t>星期二</t>
  </si>
  <si>
    <t>WEEKDAY($A$7，2)</t>
  </si>
  <si>
    <t>WEEKDAY($A$7，11)</t>
  </si>
  <si>
    <t>WEEKDAY($A$7，3)</t>
  </si>
  <si>
    <t>WPS公式（函数）大全——round</t>
  </si>
  <si>
    <r>
      <rPr>
        <b/>
        <sz val="11"/>
        <rFont val="微软雅黑"/>
        <charset val="134"/>
      </rPr>
      <t xml:space="preserve">语法：
round函数用来对数值进行四舍五入。
语法：ROUND(数值, 小数位数)
其中
</t>
    </r>
    <r>
      <rPr>
        <b/>
        <sz val="11"/>
        <color theme="0"/>
        <rFont val="微软雅黑"/>
        <charset val="134"/>
      </rPr>
      <t>数值</t>
    </r>
    <r>
      <rPr>
        <b/>
        <sz val="11"/>
        <rFont val="微软雅黑"/>
        <charset val="134"/>
      </rPr>
      <t xml:space="preserve"> 表示需要进行四舍五入的数值或单元格内容。
</t>
    </r>
    <r>
      <rPr>
        <b/>
        <sz val="11"/>
        <color theme="0"/>
        <rFont val="微软雅黑"/>
        <charset val="134"/>
      </rPr>
      <t xml:space="preserve">小数位数 </t>
    </r>
    <r>
      <rPr>
        <b/>
        <sz val="11"/>
        <rFont val="微软雅黑"/>
        <charset val="134"/>
      </rPr>
      <t xml:space="preserve">表示需要取多少位的参数。
</t>
    </r>
    <r>
      <rPr>
        <b/>
        <sz val="11"/>
        <color theme="0"/>
        <rFont val="微软雅黑"/>
        <charset val="134"/>
      </rPr>
      <t>小数位数</t>
    </r>
    <r>
      <rPr>
        <b/>
        <sz val="11"/>
        <rFont val="微软雅黑"/>
        <charset val="134"/>
      </rPr>
      <t xml:space="preserve">&gt;0时，表示取小数点后对应位数的四舍五入数值。
</t>
    </r>
    <r>
      <rPr>
        <b/>
        <sz val="11"/>
        <color theme="0"/>
        <rFont val="微软雅黑"/>
        <charset val="134"/>
      </rPr>
      <t>小数位数</t>
    </r>
    <r>
      <rPr>
        <b/>
        <sz val="11"/>
        <rFont val="微软雅黑"/>
        <charset val="134"/>
      </rPr>
      <t xml:space="preserve">=0时，表示则将数字四舍五入到最接近的整数。
</t>
    </r>
    <r>
      <rPr>
        <b/>
        <sz val="11"/>
        <color theme="0"/>
        <rFont val="微软雅黑"/>
        <charset val="134"/>
      </rPr>
      <t>小数位数</t>
    </r>
    <r>
      <rPr>
        <b/>
        <sz val="11"/>
        <rFont val="微软雅黑"/>
        <charset val="134"/>
      </rPr>
      <t>&lt; 0时，表示对小数点左侧前几位进行四舍五入。</t>
    </r>
  </si>
  <si>
    <t>去小数点后3位</t>
  </si>
  <si>
    <t>去小数点后1位</t>
  </si>
  <si>
    <t>去小数点后0位，取整</t>
  </si>
  <si>
    <t>去小数点后-1位</t>
  </si>
  <si>
    <t>去小数点后-3位</t>
  </si>
  <si>
    <t>WPS公式（函数）大全——sum</t>
  </si>
  <si>
    <t xml:space="preserve">语法：
返回某一单元格区域中所有数字之和。 
SUM（number1,number2, ...） 
Number1,Number2, ... 为 1 到 30 个需要求和的参数。 
说明 
• 直接键入到参数表中的数字、逻辑值及数字的文本表达式将被计算。 
• 如果参数为数组或引用，只有其中的数字将被计算。数组或引用中的空白单元格、逻辑值、文本或错误值将被忽略。 
• 如果参数为错误值或为不能转换成数字的文本，将会导致错误。 </t>
  </si>
  <si>
    <t>将3和2相加(5)</t>
  </si>
  <si>
    <t>将5、15和1相加，因为文本值被转换为数字，逻辑值TRUE被转换成数字1(21)</t>
  </si>
  <si>
    <t>在右列中添加前三个数(63)</t>
  </si>
  <si>
    <t>在上列中添加前三个数与15(78)</t>
  </si>
  <si>
    <t>7</t>
  </si>
  <si>
    <t>在上面最后两行中添加数值与2。因为引用非数值的值不被转换</t>
  </si>
  <si>
    <t>文本格式的数据*1，可以转换为数值型</t>
  </si>
  <si>
    <t>2</t>
  </si>
  <si>
    <t>文本型的数据将被忽略</t>
  </si>
  <si>
    <t>大地</t>
  </si>
  <si>
    <t>WPS公式（函数）大全——FORMULATEXT</t>
  </si>
  <si>
    <t>语法：
类型：查询引用类
功能：返回单元格内的公式文本
语法：FORMULATEXT(reference)
应用：
假定C4单元格中使用了公式，在另一个单元格中输入下面这个公式就可以在此单元格中返回C4单元格的公式内容，返回数据类型为文本字符串：
=FORMULATEXT(C4)</t>
  </si>
  <si>
    <t>显示公式文本</t>
  </si>
  <si>
    <t>这里无公式，显示错误</t>
  </si>
  <si>
    <t>这里没有公式</t>
  </si>
  <si>
    <t>WPS公式（函数）大全——mod</t>
  </si>
  <si>
    <t xml:space="preserve">语法：
返回两数相除的余数。结果的正负号与除数相同。 
MOD（number,divisor） 
Number 为被除数。 
Divisor 为除数。 
说明 
• 如果 Divisor 为零，函数 MOD 返回错误值 #Div/0!。 
• 函数 MOD 可以借用函数 INT 来表示: 
MOD(n, d) = n - d*INT(n/d)  </t>
  </si>
  <si>
    <t>3/2的余数(1)</t>
  </si>
  <si>
    <t>-3/2的余数。符号与除数相同(1)</t>
  </si>
  <si>
    <t>3/-2的余数。符号与除数相同(-1)</t>
  </si>
  <si>
    <t>-3/-2的余数。符号与除数相同(-1)</t>
  </si>
  <si>
    <t>WPS公式（函数）大全——type</t>
  </si>
  <si>
    <t xml:space="preserve">语法：
返回数值的类型。当某一个函数的计算结果取决于特定单元格中数值的类型时，可使用函数 TYPE。 
TYPE(value) 
Value 可以为任意 WPS表格 数值，如数字、文本以及逻辑值等等。 
说明 
• 当使用能接受不同类型数据的函数（例如函数 Argument 和函数 Input）时，函数 TYPE 十分有用。可以使用函数 TYPE 来查找函数或公式所返回的数据是何种类型。 
• 可以使用 TYPE 来确定单元格中是否含有公式。TYPE 仅确定结果、显示或值的类型。如果某个值是一个单元格引用，它所引用的另一个单元格中含有公式，则 TYPE 将返回此公式结果值的类型。 </t>
  </si>
  <si>
    <t>一</t>
  </si>
  <si>
    <t>如果value为</t>
  </si>
  <si>
    <t>函数TYPE返回</t>
  </si>
  <si>
    <t>逻辑值</t>
  </si>
  <si>
    <t>数组</t>
  </si>
  <si>
    <t>公式文本</t>
  </si>
  <si>
    <t>检查上面值的类型(2)</t>
  </si>
  <si>
    <t>检查"第一"的类型(2)</t>
  </si>
  <si>
    <t>检查返回错误值#VALUE!的公式类型(16)</t>
  </si>
  <si>
    <t>检查数组常量的类型(64)</t>
  </si>
  <si>
    <t>WPS公式（函数）大全——error.type</t>
  </si>
  <si>
    <t xml:space="preserve">语法：
返回对应于 WPS表格 中某一错误值的数字，或者，如果没有错误则返回 #N/A。在函数 IF 中可以使用 ERROR.TYPE 检测错误值，并返回文本字符串（如，消息）来取代错误值。 
语法 
ERROR.TYPE(error_val) 
Error_val 为需要得到其标号的一个错误值。尽管 error_val 可以为实际的错误值，但它通常为一个单元格引用，而此单元格中包含需要检测的公式。 </t>
  </si>
  <si>
    <t>错误类型</t>
  </si>
  <si>
    <t>函数ERROR.TYPE返回</t>
  </si>
  <si>
    <t>含义</t>
  </si>
  <si>
    <t>解决方案</t>
  </si>
  <si>
    <t>在公式中的两个范围之间插入一个空格以表示交叉点，但这两个范围没有公共单元格。比如输入：“=SUM(A1:A10C1:C10)”，就会产生这种情况。</t>
  </si>
  <si>
    <t>取消两个范围之间的空格。上式可改为“=SUM(A1:A10 ,C1:C10)”</t>
  </si>
  <si>
    <t>试图除以0。这个错误的产生通常有下面几种情况：除数为0、在公式中除数使用了空单元格或是包含零值单元格的单元格引用。</t>
  </si>
  <si>
    <t>修改单元格引用，或者在用作除数的单元格中输入不为零的值。</t>
  </si>
  <si>
    <t>输入引用文本项的数学公式。如果使用了不正确的参数或运算符，或者当执行自动更正公式功能时不能更正公式，都将产生错误信息＃VALUE!。 　</t>
  </si>
  <si>
    <t xml:space="preserve">这时应确认公式或函数所需的运算符或参数正确，并且公式引用的单元格中包含有效的数值。例如，单元格C4中有一个数字或逻辑值，而单元格D4包含文本，则在计算公式=C4＋D4时，系统不能将文本转换为正确的数据类型，因而返回错误值＃VALUE!。 </t>
  </si>
  <si>
    <t>删除了被公式引用的单元格范围。</t>
  </si>
  <si>
    <t>恢复被引用的单元格范围，或是重新设定引用范围。</t>
  </si>
  <si>
    <t>在公式中使用了Excel所不能识别的文本，比如可能是输错了名称，或是输入了一个已删除的名称，如果没有将文字串括在双引号中，也会产生此错误值</t>
  </si>
  <si>
    <t>如果是使用了不存在的名称而产生这类错误，应确认使用的名称确实存在；如果是名称，函数名拼写错误应就改正过来；将文字串括在双引号中；确认公式中使用的所有区域引用都使用了冒号（：）。例如：SUM（C1：C10）。 　　注意将公式中的文本括在双引号中。</t>
  </si>
  <si>
    <t>提供了无效的参数给工作表函数，或是公式的结果太大或太小而无法在工作表中表示。</t>
  </si>
  <si>
    <t>确认函数中使用的参数类型正确。如果是公式结果太大或太小，就要修改公式，使其结果在-1×10307和1×10307之间。</t>
  </si>
  <si>
    <t>无信息可用于所要执行的计算。在建立模型时，用户可以在单元格中输入#N/A，以表明正在等待数据。任何引用含有#N/A值的单元格都将返回#N/A。</t>
  </si>
  <si>
    <t>在等待数据的单元格内填充上数据。</t>
  </si>
  <si>
    <t>总数</t>
  </si>
  <si>
    <t>jj</t>
  </si>
  <si>
    <t>区域引用错误</t>
  </si>
  <si>
    <t>除数不能为0</t>
  </si>
  <si>
    <t>请输入数值格式的文本</t>
  </si>
  <si>
    <t>错误的引用</t>
  </si>
  <si>
    <t>错误的名称</t>
  </si>
  <si>
    <t>不合法的数值</t>
  </si>
  <si>
    <t>数据丢失</t>
  </si>
  <si>
    <t>WPS公式（函数）大全——hour</t>
  </si>
  <si>
    <t xml:space="preserve">语法
返回时间值的小时数。即一个介于 0 (12:00 A.M.) 到 23 (11:00 P.M.) 之间的整数。
HOUR(serial_number)
Serial_number    表示一个时间值，其中包含要查找的小时。时间有多种键入方式：带引号的文本字符串（例如："6:45 PM"）、十进制数（例如 0.78125 表示 6:45 PM）或其他公式或函数的结果（例如：TIMEVALUE("6:45 PM")）。 
说明
WPS表格 的时间值为日期值的一部分，并用十进制数来表示（例如 12:00 PM 可表示为 0.5，因为此时是一天的一半）。
</t>
  </si>
  <si>
    <t>如果您将示例复制到空白工作表中，可能会更易于理解该示例。</t>
  </si>
  <si>
    <t>时间</t>
  </si>
  <si>
    <t>返回时间值的小时数 （4）</t>
  </si>
  <si>
    <t>返回时间值的小时数 （16）</t>
  </si>
  <si>
    <t>WPS公式（函数）大全——minute</t>
  </si>
  <si>
    <t>语法
返回时间值中的分钟数，为一个介于 0 到 59 之间的整数。
MINUTE(serial_number)
Serial_number    表示一个时间值，其中包含要查找的分钟。时间有多种键入方式：带引号的文本字符串（例如 "6:45 PM"）、十进制数（例如 0.78125 表示 6:45 PM）或其他公式或函数的结果（例如 TIMEVALUE("6:45 PM")。
说明
WPS表格 的时间值为日期值的一部分，并用十进制数表示（例如 12:00 PM 可表示为 0.5，因为此时是一天的一半）。</t>
  </si>
  <si>
    <t>返回时间值的分钟数 （30）</t>
  </si>
  <si>
    <t>WPS公式（函数）大全——abs</t>
  </si>
  <si>
    <t>语法
返回数字的绝对值。绝对值没有符号。
ABS（number）
Number     需要计算其绝对值的实数。</t>
  </si>
  <si>
    <t>如果将示例复制到空白工作表中，可能会更易于理解该示例。</t>
  </si>
  <si>
    <t>2的绝对值（2）</t>
  </si>
  <si>
    <t>-2的绝对值（2）</t>
  </si>
  <si>
    <t>B9的绝对值（4）</t>
  </si>
  <si>
    <t>WPS公式（函数）大全——now</t>
  </si>
  <si>
    <t xml:space="preserve">语法
返回当前日期和时间所对应的序列号。如果在键入函数前，单元格的格式为“常规”，则结果将设为日期格式。
NOW()
说明 
WPS表格 可将日期存储为可用于计算的序列号。默认情况下，1900 年 1 月 1 日的序列号是 1 ，而 2008 年 1 月 1 日的序列号是 39448，这是因为它距 1900 年 1 月 1 日有 39448 天。 
序列号中小数点右边的数字表示时间，左边的数字表示日期。例如，序列号 .5 表示时间为中午 12:00。 
函数 NOW 只有在重新计算工作表，或执行含有此函数的宏时改变。它并不会随时更新。 
</t>
  </si>
  <si>
    <t>WPS公式（函数）大全——pi</t>
  </si>
  <si>
    <t>语法
返回数字 3.14159265358979，即数学常量 pi，精确到小数点后 14 位。
PI()
PI 函数语法没有参数
在公式中直接使用就可以了，如=9*PI()</t>
  </si>
  <si>
    <t>保留10位</t>
  </si>
  <si>
    <t>ROUND(PI(),10)</t>
  </si>
  <si>
    <t>计算面积</t>
  </si>
  <si>
    <t>SQRT(A6)*PI()</t>
  </si>
  <si>
    <t>WPS公式（函数）大全——gcd</t>
  </si>
  <si>
    <t>语法
即：GCD(数值1,数值2,…),返回最大公约数
参数number是指所求最大公约数的1-255个数值。
也就是说，number的数量最少为1个，最大为255个。</t>
  </si>
  <si>
    <t>求最大公约数</t>
  </si>
  <si>
    <t>公式为GCD(A4:A6)</t>
  </si>
  <si>
    <t>若参数number中有小数，则截尾取整，只保留整数部分参与运算。
如下图，求12,48,38.9,8.1的最大公约数，在B2中录入公式：=GCD(A2:A5)
回车，函数返回2。可见函数忽略了小数部分。</t>
  </si>
  <si>
    <t>WPS公式（函数）大全——combin</t>
  </si>
  <si>
    <t>语法
COMBIN函数的主要作用是计算从给定数目的对象集合中提取若干对象的组合数。利用函数 COMBIN 可以确定一组对象所有可能的组合数。
COMBIN(number,number_chosen)
COMBIN(为对象的总数量,为每一组合中对象的数量)
Number：为对象的总数量。
Number chosen：为每一组合中对象的数量。
函数备注
数字参数截尾取整。如果参数为非数值型，则函数 COMBIN 返回错误值 #VALUE!。如果 number &lt; 0、number_chosen&lt;0 或 number &lt; number_chosen，COMBIN 返回错误值 #NUM!。不论其内部顺序，对象组合是对象整体的任意集合或子集。组合与排列不同，排列数与对象内部顺序有关。</t>
  </si>
  <si>
    <t>Number</t>
  </si>
  <si>
    <t>number_chosen</t>
  </si>
  <si>
    <t>COMBIN(A5,B5)</t>
  </si>
  <si>
    <t>从8个候选人中提取1个候选人的组合数</t>
  </si>
  <si>
    <t>COMBIN(A5,B6)</t>
  </si>
  <si>
    <t>从8个候选人中提取2个候选人的组合数</t>
  </si>
  <si>
    <t>COMBIN(A5,B7)</t>
  </si>
  <si>
    <t>从8个候选人中提取3个候选人的组合数</t>
  </si>
  <si>
    <t>COMBIN(A5,B8)</t>
  </si>
  <si>
    <t>从8个候选人中提取4个候选人的组合数</t>
  </si>
  <si>
    <t>COMBIN(A5,B9)</t>
  </si>
  <si>
    <t>从8个候选人中提取5个候选人的组合数</t>
  </si>
  <si>
    <t>COMBIN(A5,B10)</t>
  </si>
  <si>
    <t>从8个候选人中提取6个候选人的组合数</t>
  </si>
  <si>
    <t>COMBIN(A5,B11)</t>
  </si>
  <si>
    <t>从8个候选人中提取7个候选人的组合数</t>
  </si>
  <si>
    <t>COMBIN(A5,B12)</t>
  </si>
  <si>
    <t>从8个候选人中提取8个候选人的组合数</t>
  </si>
  <si>
    <t>某队乒乓球运动员（A\B\C\D\E\F)共有6人，要选出2人配合双打，求有多少种配合方式。我们知道:和A配合的有AB、AC、AD、AE、AF计5种，和B配合的有BC、BD、BE、BF计4种，和C配合的有CD、CE、CF计3种，和D配合的有DE、DF计2种，和E配合的有EF计1种，共有5+4+3+2+1=15种配合方式。</t>
  </si>
  <si>
    <t>公式（函数）大全——sumif</t>
  </si>
  <si>
    <t>语法
sumif函数语法是：SUMIF(range，criteria，sum_range)
sumif函数的参数如下：
第一个参数：Range为条件区域，用于条件判断的单元格区域。
第二个参数：Criteria是求和条件，由数字、逻辑表达式等组成的判定条件。
第三个参数：Sum_range 为实际求和区域，需要求和的单元格、区域或引用。
当省略第三个参数时，则条件区域就是实际求和区域。
criteria 参数中使用通配符（包括问号 (?) 和星号 (*)）。问号匹配任意单个字符；星号匹配任意一串字符。如果要查找实际的问号或星号，请在该字符前键入波形符 (~)。</t>
  </si>
  <si>
    <t>不同产品数量汇总</t>
  </si>
  <si>
    <t>销售数量</t>
  </si>
  <si>
    <t xml:space="preserve">地区 </t>
  </si>
  <si>
    <t>电器销售数量</t>
  </si>
  <si>
    <t>电视机</t>
  </si>
  <si>
    <t>河北</t>
  </si>
  <si>
    <t>电风扇</t>
  </si>
  <si>
    <t>河南</t>
  </si>
  <si>
    <t>电磁炉</t>
  </si>
  <si>
    <t>山东</t>
  </si>
  <si>
    <t>需要求出每个人的最后的一次成绩记录</t>
  </si>
  <si>
    <t>李四军</t>
  </si>
  <si>
    <t>王维</t>
  </si>
  <si>
    <t>郑启彤</t>
  </si>
  <si>
    <t>吴建平</t>
  </si>
  <si>
    <t>廷凯军</t>
  </si>
  <si>
    <t>最后一次成绩</t>
  </si>
  <si>
    <t>WPS公式（函数）大全——datevalue</t>
  </si>
  <si>
    <t>语法
DATEVALUE(date_text)
返回日期的序列号
参数说明：
date_text：表示文本格式输入的日期。</t>
  </si>
  <si>
    <t>返回日期序列号</t>
  </si>
  <si>
    <t>日期序列号</t>
  </si>
  <si>
    <t>1900年1月1日</t>
  </si>
  <si>
    <t>1981-1-9</t>
  </si>
  <si>
    <t>1</t>
  </si>
  <si>
    <t>参数为数值会显示错误</t>
  </si>
  <si>
    <t>1988/4/8</t>
  </si>
  <si>
    <t>2001.02.03</t>
  </si>
  <si>
    <t>非标准的日期格式也会显示错误</t>
  </si>
  <si>
    <t>2018年7月8日</t>
  </si>
  <si>
    <t>2018年7月</t>
  </si>
  <si>
    <t>只写月份按照1日起算</t>
  </si>
  <si>
    <t>单元格格式改为日期格式也会错误，看来只能是文本格式</t>
  </si>
  <si>
    <t>函数公式大全</t>
  </si>
  <si>
    <t>每一个函数公式都有介绍使用方法</t>
  </si>
  <si>
    <t>每一个函数公式都有实际运用例子</t>
  </si>
  <si>
    <t>查找函数财务函数求和函数等几百个</t>
  </si>
  <si>
    <t>简单实用</t>
  </si>
</sst>
</file>

<file path=xl/styles.xml><?xml version="1.0" encoding="utf-8"?>
<styleSheet xmlns="http://schemas.openxmlformats.org/spreadsheetml/2006/main">
  <numFmts count="15">
    <numFmt numFmtId="42" formatCode="_ &quot;￥&quot;* #,##0_ ;_ &quot;￥&quot;* \-#,##0_ ;_ &quot;￥&quot;* &quot;-&quot;_ ;_ @_ "/>
    <numFmt numFmtId="41" formatCode="_ * #,##0_ ;_ * \-#,##0_ ;_ * &quot;-&quot;_ ;_ @_ "/>
    <numFmt numFmtId="44" formatCode="_ &quot;￥&quot;* #,##0.00_ ;_ &quot;￥&quot;* \-#,##0.00_ ;_ &quot;￥&quot;* &quot;-&quot;??_ ;_ @_ "/>
    <numFmt numFmtId="8" formatCode="&quot;￥&quot;#,##0.00;[Red]&quot;￥&quot;\-#,##0.00"/>
    <numFmt numFmtId="43" formatCode="_ * #,##0.00_ ;_ * \-#,##0.00_ ;_ * &quot;-&quot;??_ ;_ @_ "/>
    <numFmt numFmtId="176" formatCode="yyyy&quot;年&quot;m&quot;月&quot;d&quot;日&quot;;@"/>
    <numFmt numFmtId="177" formatCode="h:mm:ss\ AM/PM"/>
    <numFmt numFmtId="178" formatCode="0.00_);[Red]\(0.00\)"/>
    <numFmt numFmtId="26" formatCode="\$#,##0.00_);[Red]\(\$#,##0.00\)"/>
    <numFmt numFmtId="24" formatCode="\$#,##0_);[Red]\(\$#,##0\)"/>
    <numFmt numFmtId="179" formatCode="yyyy/m/d;@"/>
    <numFmt numFmtId="180" formatCode="h:mm\ AM/PM"/>
    <numFmt numFmtId="181" formatCode="@&quot;吨&quot;"/>
    <numFmt numFmtId="6" formatCode="&quot;￥&quot;#,##0;[Red]&quot;￥&quot;\-#,##0"/>
    <numFmt numFmtId="182" formatCode="0_);[Red]\(0\)"/>
  </numFmts>
  <fonts count="85">
    <font>
      <sz val="11"/>
      <color theme="1"/>
      <name val="宋体"/>
      <charset val="134"/>
      <scheme val="minor"/>
    </font>
    <font>
      <sz val="14"/>
      <color theme="1"/>
      <name val="宋体"/>
      <charset val="134"/>
      <scheme val="minor"/>
    </font>
    <font>
      <b/>
      <sz val="12"/>
      <color theme="1"/>
      <name val="微软雅黑"/>
      <charset val="134"/>
    </font>
    <font>
      <sz val="11"/>
      <color theme="1"/>
      <name val="微软雅黑"/>
      <charset val="134"/>
    </font>
    <font>
      <b/>
      <sz val="11"/>
      <name val="微软雅黑"/>
      <charset val="134"/>
    </font>
    <font>
      <b/>
      <sz val="11"/>
      <color theme="0"/>
      <name val="微软雅黑"/>
      <charset val="134"/>
    </font>
    <font>
      <b/>
      <sz val="14"/>
      <color theme="0"/>
      <name val="微软雅黑"/>
      <charset val="134"/>
    </font>
    <font>
      <b/>
      <sz val="10.5"/>
      <color rgb="FF555555"/>
      <name val="微软雅黑"/>
      <charset val="134"/>
    </font>
    <font>
      <sz val="10.5"/>
      <color rgb="FF555555"/>
      <name val="微软雅黑"/>
      <charset val="134"/>
    </font>
    <font>
      <b/>
      <sz val="11"/>
      <color theme="1"/>
      <name val="微软雅黑"/>
      <charset val="134"/>
    </font>
    <font>
      <sz val="10"/>
      <color theme="1"/>
      <name val="宋体"/>
      <charset val="134"/>
      <scheme val="minor"/>
    </font>
    <font>
      <b/>
      <sz val="10"/>
      <color theme="1"/>
      <name val="宋体"/>
      <charset val="134"/>
      <scheme val="minor"/>
    </font>
    <font>
      <b/>
      <sz val="10"/>
      <color theme="1"/>
      <name val="微软雅黑"/>
      <charset val="134"/>
    </font>
    <font>
      <sz val="10"/>
      <color theme="1"/>
      <name val="微软雅黑"/>
      <charset val="134"/>
    </font>
    <font>
      <b/>
      <sz val="12"/>
      <color theme="0"/>
      <name val="微软雅黑"/>
      <charset val="134"/>
    </font>
    <font>
      <b/>
      <sz val="10.5"/>
      <color rgb="FF000000"/>
      <name val="微软雅黑"/>
      <charset val="134"/>
    </font>
    <font>
      <sz val="10.5"/>
      <color rgb="FF000000"/>
      <name val="微软雅黑"/>
      <charset val="134"/>
    </font>
    <font>
      <sz val="10.5"/>
      <color rgb="FF333333"/>
      <name val="Arial"/>
      <charset val="134"/>
    </font>
    <font>
      <b/>
      <sz val="10.5"/>
      <color rgb="FF000000"/>
      <name val="宋体"/>
      <charset val="134"/>
    </font>
    <font>
      <b/>
      <sz val="10.5"/>
      <color rgb="FFFF0000"/>
      <name val="宋体"/>
      <charset val="134"/>
    </font>
    <font>
      <sz val="12"/>
      <color rgb="FF333333"/>
      <name val="微软雅黑"/>
      <charset val="134"/>
    </font>
    <font>
      <b/>
      <sz val="10.5"/>
      <color rgb="FF000000"/>
      <name val="Arial"/>
      <charset val="134"/>
    </font>
    <font>
      <sz val="10.5"/>
      <color rgb="FF000000"/>
      <name val="宋体"/>
      <charset val="134"/>
    </font>
    <font>
      <sz val="10.5"/>
      <color rgb="FF000000"/>
      <name val="Arial"/>
      <charset val="134"/>
    </font>
    <font>
      <b/>
      <sz val="9"/>
      <color theme="1"/>
      <name val="微软雅黑"/>
      <charset val="134"/>
    </font>
    <font>
      <sz val="9"/>
      <color theme="1"/>
      <name val="微软雅黑"/>
      <charset val="134"/>
    </font>
    <font>
      <b/>
      <sz val="11"/>
      <color rgb="FFFF0000"/>
      <name val="微软雅黑"/>
      <charset val="134"/>
    </font>
    <font>
      <b/>
      <sz val="12"/>
      <color rgb="FFFFFF00"/>
      <name val="微软雅黑"/>
      <charset val="134"/>
    </font>
    <font>
      <b/>
      <sz val="9"/>
      <name val="微软雅黑"/>
      <charset val="134"/>
    </font>
    <font>
      <b/>
      <sz val="9"/>
      <color theme="0"/>
      <name val="微软雅黑"/>
      <charset val="134"/>
    </font>
    <font>
      <b/>
      <sz val="10"/>
      <color rgb="FF393939"/>
      <name val="宋体"/>
      <charset val="134"/>
    </font>
    <font>
      <sz val="9"/>
      <color rgb="FF000000"/>
      <name val="微软雅黑"/>
      <charset val="134"/>
    </font>
    <font>
      <sz val="10"/>
      <color rgb="FF2F2F2F"/>
      <name val="宋体"/>
      <charset val="134"/>
    </font>
    <font>
      <b/>
      <sz val="9"/>
      <color rgb="FF000000"/>
      <name val="微软雅黑"/>
      <charset val="134"/>
    </font>
    <font>
      <b/>
      <sz val="10"/>
      <color rgb="FF393939"/>
      <name val="Segoe UI"/>
      <charset val="134"/>
    </font>
    <font>
      <sz val="10"/>
      <color rgb="FF2F2F2F"/>
      <name val="Segoe UI"/>
      <charset val="134"/>
    </font>
    <font>
      <b/>
      <sz val="10"/>
      <color rgb="FF333333"/>
      <name val="宋体"/>
      <charset val="134"/>
    </font>
    <font>
      <sz val="10"/>
      <color rgb="FF454545"/>
      <name val="宋体"/>
      <charset val="134"/>
    </font>
    <font>
      <sz val="10"/>
      <color theme="1"/>
      <name val="宋体"/>
      <charset val="134"/>
    </font>
    <font>
      <b/>
      <sz val="12"/>
      <name val="微软雅黑"/>
      <charset val="134"/>
    </font>
    <font>
      <sz val="10"/>
      <color rgb="FF000000"/>
      <name val="微软雅黑"/>
      <charset val="134"/>
    </font>
    <font>
      <b/>
      <sz val="10"/>
      <color rgb="FF000000"/>
      <name val="微软雅黑"/>
      <charset val="134"/>
    </font>
    <font>
      <sz val="12"/>
      <color rgb="FF000000"/>
      <name val="微软雅黑"/>
      <charset val="134"/>
    </font>
    <font>
      <sz val="10"/>
      <color theme="7" tint="-0.5"/>
      <name val="微软雅黑"/>
      <charset val="134"/>
    </font>
    <font>
      <b/>
      <sz val="11"/>
      <color theme="1"/>
      <name val="宋体"/>
      <charset val="134"/>
      <scheme val="minor"/>
    </font>
    <font>
      <sz val="9"/>
      <color theme="1"/>
      <name val="宋体"/>
      <charset val="134"/>
      <scheme val="minor"/>
    </font>
    <font>
      <sz val="9"/>
      <color rgb="FF333333"/>
      <name val="微软雅黑"/>
      <charset val="134"/>
    </font>
    <font>
      <sz val="9"/>
      <color theme="7" tint="-0.25"/>
      <name val="微软雅黑"/>
      <charset val="134"/>
    </font>
    <font>
      <b/>
      <sz val="9"/>
      <color rgb="FF333333"/>
      <name val="微软雅黑"/>
      <charset val="134"/>
    </font>
    <font>
      <b/>
      <sz val="13.5"/>
      <color rgb="FFC00000"/>
      <name val="微软雅黑"/>
      <charset val="134"/>
    </font>
    <font>
      <sz val="11"/>
      <color rgb="FFFF0000"/>
      <name val="微软雅黑"/>
      <charset val="134"/>
    </font>
    <font>
      <b/>
      <sz val="9"/>
      <color theme="1"/>
      <name val="宋体"/>
      <charset val="134"/>
      <scheme val="minor"/>
    </font>
    <font>
      <sz val="9"/>
      <color theme="1"/>
      <name val="Arial"/>
      <charset val="134"/>
    </font>
    <font>
      <u/>
      <sz val="11"/>
      <color rgb="FF800080"/>
      <name val="宋体"/>
      <charset val="0"/>
      <scheme val="minor"/>
    </font>
    <font>
      <sz val="11"/>
      <color rgb="FF0000FF"/>
      <name val="微软雅黑"/>
      <charset val="0"/>
    </font>
    <font>
      <sz val="11"/>
      <color rgb="FF800080"/>
      <name val="微软雅黑"/>
      <charset val="0"/>
    </font>
    <font>
      <u/>
      <sz val="11"/>
      <color rgb="FF800080"/>
      <name val="微软雅黑"/>
      <charset val="0"/>
    </font>
    <font>
      <sz val="11"/>
      <color theme="1"/>
      <name val="Arial"/>
      <charset val="134"/>
    </font>
    <font>
      <b/>
      <sz val="10"/>
      <color rgb="FF000000"/>
      <name val="宋体"/>
      <charset val="134"/>
    </font>
    <font>
      <b/>
      <sz val="11"/>
      <color rgb="FF000000"/>
      <name val="微软雅黑"/>
      <charset val="134"/>
    </font>
    <font>
      <b/>
      <sz val="9"/>
      <color rgb="FFC00000"/>
      <name val="微软雅黑"/>
      <charset val="134"/>
    </font>
    <font>
      <sz val="11"/>
      <color theme="0"/>
      <name val="宋体"/>
      <charset val="134"/>
      <scheme val="minor"/>
    </font>
    <font>
      <b/>
      <sz val="11"/>
      <color rgb="FFC00000"/>
      <name val="微软雅黑"/>
      <charset val="134"/>
    </font>
    <font>
      <u/>
      <sz val="9"/>
      <color rgb="FF800080"/>
      <name val="宋体"/>
      <charset val="0"/>
      <scheme val="minor"/>
    </font>
    <font>
      <b/>
      <sz val="13"/>
      <color theme="3"/>
      <name val="宋体"/>
      <charset val="134"/>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i/>
      <sz val="11"/>
      <color rgb="FF7F7F7F"/>
      <name val="宋体"/>
      <charset val="0"/>
      <scheme val="minor"/>
    </font>
    <font>
      <sz val="11"/>
      <color rgb="FFFF0000"/>
      <name val="宋体"/>
      <charset val="0"/>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0"/>
      <color rgb="FF000000"/>
      <name val="宋体"/>
      <charset val="134"/>
    </font>
    <font>
      <b/>
      <sz val="12"/>
      <color theme="1"/>
      <name val="Times New Roman"/>
      <charset val="134"/>
    </font>
    <font>
      <sz val="9"/>
      <color rgb="FFFF0000"/>
      <name val="微软雅黑"/>
      <charset val="134"/>
    </font>
  </fonts>
  <fills count="52">
    <fill>
      <patternFill patternType="none"/>
    </fill>
    <fill>
      <patternFill patternType="gray125"/>
    </fill>
    <fill>
      <patternFill patternType="solid">
        <fgColor rgb="FF00B050"/>
        <bgColor indexed="64"/>
      </patternFill>
    </fill>
    <fill>
      <patternFill patternType="solid">
        <fgColor theme="9" tint="0.4"/>
        <bgColor indexed="64"/>
      </patternFill>
    </fill>
    <fill>
      <patternFill patternType="solid">
        <fgColor rgb="FFC00000"/>
        <bgColor indexed="64"/>
      </patternFill>
    </fill>
    <fill>
      <patternFill patternType="solid">
        <fgColor rgb="FFFFFFFF"/>
        <bgColor indexed="64"/>
      </patternFill>
    </fill>
    <fill>
      <patternFill patternType="solid">
        <fgColor rgb="FFC0C0C0"/>
        <bgColor indexed="64"/>
      </patternFill>
    </fill>
    <fill>
      <patternFill patternType="solid">
        <fgColor rgb="FFFFFF00"/>
        <bgColor indexed="64"/>
      </patternFill>
    </fill>
    <fill>
      <patternFill patternType="solid">
        <fgColor rgb="FFFAFDFF"/>
        <bgColor indexed="64"/>
      </patternFill>
    </fill>
    <fill>
      <patternFill patternType="solid">
        <fgColor theme="0" tint="-0.15"/>
        <bgColor indexed="64"/>
      </patternFill>
    </fill>
    <fill>
      <patternFill patternType="solid">
        <fgColor rgb="FFF4F4F4"/>
        <bgColor indexed="64"/>
      </patternFill>
    </fill>
    <fill>
      <patternFill patternType="solid">
        <fgColor rgb="FF92D050"/>
        <bgColor indexed="64"/>
      </patternFill>
    </fill>
    <fill>
      <patternFill patternType="solid">
        <fgColor theme="0" tint="-0.25"/>
        <bgColor indexed="64"/>
      </patternFill>
    </fill>
    <fill>
      <patternFill patternType="solid">
        <fgColor theme="7" tint="0.8"/>
        <bgColor indexed="64"/>
      </patternFill>
    </fill>
    <fill>
      <patternFill patternType="solid">
        <fgColor theme="7" tint="0.6"/>
        <bgColor indexed="64"/>
      </patternFill>
    </fill>
    <fill>
      <patternFill patternType="solid">
        <fgColor theme="5" tint="0.4"/>
        <bgColor indexed="64"/>
      </patternFill>
    </fill>
    <fill>
      <patternFill patternType="solid">
        <fgColor theme="4" tint="-0.25"/>
        <bgColor indexed="64"/>
      </patternFill>
    </fill>
    <fill>
      <patternFill patternType="solid">
        <fgColor theme="0" tint="-0.35"/>
        <bgColor indexed="64"/>
      </patternFill>
    </fill>
    <fill>
      <patternFill patternType="solid">
        <fgColor theme="0" tint="-0.5"/>
        <bgColor indexed="64"/>
      </patternFill>
    </fill>
    <fill>
      <patternFill patternType="solid">
        <fgColor rgb="FFFFC000"/>
        <bgColor indexed="64"/>
      </patternFill>
    </fill>
    <fill>
      <patternFill patternType="solid">
        <fgColor theme="0"/>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4"/>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45">
    <border>
      <left/>
      <right/>
      <top/>
      <bottom/>
      <diagonal/>
    </border>
    <border>
      <left style="thin">
        <color auto="1"/>
      </left>
      <right style="thin">
        <color auto="1"/>
      </right>
      <top style="thin">
        <color auto="1"/>
      </top>
      <bottom style="thin">
        <color auto="1"/>
      </bottom>
      <diagonal/>
    </border>
    <border>
      <left/>
      <right/>
      <top style="hair">
        <color auto="1"/>
      </top>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
      <left/>
      <right style="medium">
        <color rgb="FFDDDDDD"/>
      </right>
      <top/>
      <bottom style="medium">
        <color rgb="FFDDDDDD"/>
      </bottom>
      <diagonal/>
    </border>
    <border>
      <left/>
      <right style="thin">
        <color auto="1"/>
      </right>
      <top style="thin">
        <color auto="1"/>
      </top>
      <bottom style="thin">
        <color auto="1"/>
      </bottom>
      <diagonal/>
    </border>
    <border>
      <left/>
      <right style="medium">
        <color rgb="FFC0C0C0"/>
      </right>
      <top/>
      <bottom/>
      <diagonal/>
    </border>
    <border>
      <left/>
      <right/>
      <top/>
      <bottom style="medium">
        <color rgb="FFC0C0C0"/>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theme="0"/>
      </left>
      <right/>
      <top/>
      <bottom/>
      <diagonal/>
    </border>
    <border>
      <left/>
      <right/>
      <top style="medium">
        <color rgb="FFCCCCCC"/>
      </top>
      <bottom/>
      <diagonal/>
    </border>
    <border>
      <left/>
      <right/>
      <top/>
      <bottom style="medium">
        <color rgb="FFCCCCCC"/>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thin">
        <color theme="1"/>
      </left>
      <right style="thin">
        <color theme="1"/>
      </right>
      <top style="thin">
        <color theme="1"/>
      </top>
      <bottom style="thin">
        <color theme="1"/>
      </bottom>
      <diagonal/>
    </border>
    <border>
      <left style="thin">
        <color auto="1"/>
      </left>
      <right style="thin">
        <color auto="1"/>
      </right>
      <top style="hair">
        <color auto="1"/>
      </top>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7" fillId="28" borderId="0" applyNumberFormat="0" applyBorder="0" applyAlignment="0" applyProtection="0">
      <alignment vertical="center"/>
    </xf>
    <xf numFmtId="0" fontId="71" fillId="31" borderId="3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7" fillId="24" borderId="0" applyNumberFormat="0" applyBorder="0" applyAlignment="0" applyProtection="0">
      <alignment vertical="center"/>
    </xf>
    <xf numFmtId="0" fontId="69" fillId="29" borderId="0" applyNumberFormat="0" applyBorder="0" applyAlignment="0" applyProtection="0">
      <alignment vertical="center"/>
    </xf>
    <xf numFmtId="43" fontId="0" fillId="0" borderId="0" applyFont="0" applyFill="0" applyBorder="0" applyAlignment="0" applyProtection="0">
      <alignment vertical="center"/>
    </xf>
    <xf numFmtId="0" fontId="72" fillId="35" borderId="0" applyNumberFormat="0" applyBorder="0" applyAlignment="0" applyProtection="0">
      <alignment vertical="center"/>
    </xf>
    <xf numFmtId="0" fontId="73" fillId="0" borderId="0" applyNumberFormat="0" applyFill="0" applyBorder="0" applyAlignment="0" applyProtection="0">
      <alignment vertical="center"/>
    </xf>
    <xf numFmtId="9" fontId="0" fillId="0" borderId="0" applyFont="0" applyFill="0" applyBorder="0" applyAlignment="0" applyProtection="0">
      <alignment vertical="center"/>
    </xf>
    <xf numFmtId="0" fontId="53" fillId="0" borderId="0" applyNumberFormat="0" applyFill="0" applyBorder="0" applyAlignment="0" applyProtection="0">
      <alignment vertical="center"/>
    </xf>
    <xf numFmtId="0" fontId="0" fillId="36" borderId="39" applyNumberFormat="0" applyFont="0" applyAlignment="0" applyProtection="0">
      <alignment vertical="center"/>
    </xf>
    <xf numFmtId="0" fontId="72" fillId="38" borderId="0" applyNumberFormat="0" applyBorder="0" applyAlignment="0" applyProtection="0">
      <alignment vertical="center"/>
    </xf>
    <xf numFmtId="0" fontId="68"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65" fillId="0" borderId="37" applyNumberFormat="0" applyFill="0" applyAlignment="0" applyProtection="0">
      <alignment vertical="center"/>
    </xf>
    <xf numFmtId="0" fontId="64" fillId="0" borderId="37" applyNumberFormat="0" applyFill="0" applyAlignment="0" applyProtection="0">
      <alignment vertical="center"/>
    </xf>
    <xf numFmtId="0" fontId="72" fillId="34" borderId="0" applyNumberFormat="0" applyBorder="0" applyAlignment="0" applyProtection="0">
      <alignment vertical="center"/>
    </xf>
    <xf numFmtId="0" fontId="68" fillId="0" borderId="40" applyNumberFormat="0" applyFill="0" applyAlignment="0" applyProtection="0">
      <alignment vertical="center"/>
    </xf>
    <xf numFmtId="0" fontId="72" fillId="33" borderId="0" applyNumberFormat="0" applyBorder="0" applyAlignment="0" applyProtection="0">
      <alignment vertical="center"/>
    </xf>
    <xf numFmtId="0" fontId="77" fillId="41" borderId="41" applyNumberFormat="0" applyAlignment="0" applyProtection="0">
      <alignment vertical="center"/>
    </xf>
    <xf numFmtId="0" fontId="78" fillId="41" borderId="38" applyNumberFormat="0" applyAlignment="0" applyProtection="0">
      <alignment vertical="center"/>
    </xf>
    <xf numFmtId="0" fontId="79" fillId="42" borderId="42" applyNumberFormat="0" applyAlignment="0" applyProtection="0">
      <alignment vertical="center"/>
    </xf>
    <xf numFmtId="0" fontId="67" fillId="27" borderId="0" applyNumberFormat="0" applyBorder="0" applyAlignment="0" applyProtection="0">
      <alignment vertical="center"/>
    </xf>
    <xf numFmtId="0" fontId="72" fillId="45" borderId="0" applyNumberFormat="0" applyBorder="0" applyAlignment="0" applyProtection="0">
      <alignment vertical="center"/>
    </xf>
    <xf numFmtId="0" fontId="80" fillId="0" borderId="43" applyNumberFormat="0" applyFill="0" applyAlignment="0" applyProtection="0">
      <alignment vertical="center"/>
    </xf>
    <xf numFmtId="0" fontId="81" fillId="0" borderId="44" applyNumberFormat="0" applyFill="0" applyAlignment="0" applyProtection="0">
      <alignment vertical="center"/>
    </xf>
    <xf numFmtId="0" fontId="76" fillId="39" borderId="0" applyNumberFormat="0" applyBorder="0" applyAlignment="0" applyProtection="0">
      <alignment vertical="center"/>
    </xf>
    <xf numFmtId="0" fontId="70" fillId="30" borderId="0" applyNumberFormat="0" applyBorder="0" applyAlignment="0" applyProtection="0">
      <alignment vertical="center"/>
    </xf>
    <xf numFmtId="0" fontId="67" fillId="47" borderId="0" applyNumberFormat="0" applyBorder="0" applyAlignment="0" applyProtection="0">
      <alignment vertical="center"/>
    </xf>
    <xf numFmtId="0" fontId="72" fillId="40" borderId="0" applyNumberFormat="0" applyBorder="0" applyAlignment="0" applyProtection="0">
      <alignment vertical="center"/>
    </xf>
    <xf numFmtId="0" fontId="67" fillId="26" borderId="0" applyNumberFormat="0" applyBorder="0" applyAlignment="0" applyProtection="0">
      <alignment vertical="center"/>
    </xf>
    <xf numFmtId="0" fontId="67" fillId="23" borderId="0" applyNumberFormat="0" applyBorder="0" applyAlignment="0" applyProtection="0">
      <alignment vertical="center"/>
    </xf>
    <xf numFmtId="0" fontId="67" fillId="46" borderId="0" applyNumberFormat="0" applyBorder="0" applyAlignment="0" applyProtection="0">
      <alignment vertical="center"/>
    </xf>
    <xf numFmtId="0" fontId="67" fillId="49" borderId="0" applyNumberFormat="0" applyBorder="0" applyAlignment="0" applyProtection="0">
      <alignment vertical="center"/>
    </xf>
    <xf numFmtId="0" fontId="72" fillId="51" borderId="0" applyNumberFormat="0" applyBorder="0" applyAlignment="0" applyProtection="0">
      <alignment vertical="center"/>
    </xf>
    <xf numFmtId="0" fontId="72" fillId="44" borderId="0" applyNumberFormat="0" applyBorder="0" applyAlignment="0" applyProtection="0">
      <alignment vertical="center"/>
    </xf>
    <xf numFmtId="0" fontId="67" fillId="25" borderId="0" applyNumberFormat="0" applyBorder="0" applyAlignment="0" applyProtection="0">
      <alignment vertical="center"/>
    </xf>
    <xf numFmtId="0" fontId="67" fillId="22" borderId="0" applyNumberFormat="0" applyBorder="0" applyAlignment="0" applyProtection="0">
      <alignment vertical="center"/>
    </xf>
    <xf numFmtId="0" fontId="72" fillId="43" borderId="0" applyNumberFormat="0" applyBorder="0" applyAlignment="0" applyProtection="0">
      <alignment vertical="center"/>
    </xf>
    <xf numFmtId="0" fontId="67" fillId="48" borderId="0" applyNumberFormat="0" applyBorder="0" applyAlignment="0" applyProtection="0">
      <alignment vertical="center"/>
    </xf>
    <xf numFmtId="0" fontId="72" fillId="37" borderId="0" applyNumberFormat="0" applyBorder="0" applyAlignment="0" applyProtection="0">
      <alignment vertical="center"/>
    </xf>
    <xf numFmtId="0" fontId="72" fillId="50" borderId="0" applyNumberFormat="0" applyBorder="0" applyAlignment="0" applyProtection="0">
      <alignment vertical="center"/>
    </xf>
    <xf numFmtId="0" fontId="67" fillId="21" borderId="0" applyNumberFormat="0" applyBorder="0" applyAlignment="0" applyProtection="0">
      <alignment vertical="center"/>
    </xf>
    <xf numFmtId="0" fontId="72" fillId="32" borderId="0" applyNumberFormat="0" applyBorder="0" applyAlignment="0" applyProtection="0">
      <alignment vertical="center"/>
    </xf>
  </cellStyleXfs>
  <cellXfs count="367">
    <xf numFmtId="0" fontId="0" fillId="0" borderId="0" xfId="0">
      <alignment vertical="center"/>
    </xf>
    <xf numFmtId="0" fontId="1" fillId="2" borderId="1" xfId="0" applyFont="1" applyFill="1" applyBorder="1" applyAlignment="1">
      <alignment horizontal="center" vertical="center"/>
    </xf>
    <xf numFmtId="0" fontId="2" fillId="3" borderId="0" xfId="0" applyFont="1" applyFill="1" applyAlignment="1">
      <alignment horizontal="center" vertical="center"/>
    </xf>
    <xf numFmtId="0" fontId="3" fillId="0" borderId="0" xfId="0" applyFont="1" applyAlignment="1">
      <alignment horizontal="center" vertical="center" wrapText="1"/>
    </xf>
    <xf numFmtId="0" fontId="4" fillId="3" borderId="2" xfId="0" applyFont="1" applyFill="1" applyBorder="1" applyAlignment="1">
      <alignment horizontal="left" vertical="top" wrapText="1"/>
    </xf>
    <xf numFmtId="0" fontId="5" fillId="3" borderId="2" xfId="0" applyFont="1" applyFill="1" applyBorder="1" applyAlignment="1">
      <alignment horizontal="left" vertical="top"/>
    </xf>
    <xf numFmtId="0" fontId="6" fillId="4" borderId="0" xfId="0" applyFont="1" applyFill="1" applyAlignment="1">
      <alignment horizontal="center" vertical="center"/>
    </xf>
    <xf numFmtId="0" fontId="3" fillId="0" borderId="0" xfId="0" applyFont="1">
      <alignment vertical="center"/>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8" fillId="0" borderId="4" xfId="0" applyFont="1" applyBorder="1" applyAlignment="1">
      <alignment horizontal="center" vertical="center" wrapText="1"/>
    </xf>
    <xf numFmtId="49" fontId="8" fillId="0" borderId="5" xfId="0" applyNumberFormat="1" applyFont="1" applyBorder="1" applyAlignment="1">
      <alignment horizontal="center" vertical="center" wrapText="1"/>
    </xf>
    <xf numFmtId="0" fontId="8" fillId="0" borderId="6" xfId="0" applyNumberFormat="1" applyFont="1" applyBorder="1" applyAlignment="1">
      <alignment horizontal="center" vertical="center" wrapText="1"/>
    </xf>
    <xf numFmtId="0" fontId="8" fillId="0" borderId="6" xfId="0" applyFont="1" applyBorder="1" applyAlignment="1">
      <alignment horizontal="center" vertical="center" wrapText="1"/>
    </xf>
    <xf numFmtId="176" fontId="8" fillId="0" borderId="5" xfId="0" applyNumberFormat="1" applyFont="1" applyBorder="1" applyAlignment="1">
      <alignment horizontal="center" vertical="center" wrapText="1"/>
    </xf>
    <xf numFmtId="0" fontId="8" fillId="0" borderId="5" xfId="0" applyFont="1" applyBorder="1" applyAlignment="1">
      <alignment horizontal="center" vertical="center" wrapText="1"/>
    </xf>
    <xf numFmtId="0" fontId="9" fillId="0" borderId="0" xfId="0" applyFont="1">
      <alignment vertical="center"/>
    </xf>
    <xf numFmtId="0" fontId="3" fillId="0" borderId="0" xfId="0" applyFont="1" applyAlignment="1">
      <alignment vertical="center" wrapText="1"/>
    </xf>
    <xf numFmtId="0" fontId="0" fillId="0" borderId="0" xfId="0" applyAlignment="1">
      <alignment horizontal="center" vertical="center"/>
    </xf>
    <xf numFmtId="0" fontId="8" fillId="0" borderId="3" xfId="0" applyFont="1" applyBorder="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3" fillId="0" borderId="0" xfId="0" applyNumberFormat="1" applyFont="1" applyAlignment="1">
      <alignment horizontal="center" vertical="center"/>
    </xf>
    <xf numFmtId="0" fontId="3" fillId="0" borderId="1" xfId="0" applyFont="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10" fillId="0" borderId="0" xfId="0" applyFont="1">
      <alignment vertical="center"/>
    </xf>
    <xf numFmtId="0" fontId="0" fillId="5" borderId="0" xfId="0" applyFill="1">
      <alignment vertical="center"/>
    </xf>
    <xf numFmtId="0" fontId="11" fillId="5" borderId="0" xfId="0" applyFont="1" applyFill="1" applyAlignment="1">
      <alignment horizontal="center" vertical="center" wrapText="1"/>
    </xf>
    <xf numFmtId="0" fontId="11" fillId="6" borderId="8" xfId="0" applyFont="1" applyFill="1" applyBorder="1" applyAlignment="1">
      <alignment horizontal="left" vertical="center" wrapText="1"/>
    </xf>
    <xf numFmtId="0" fontId="11" fillId="6" borderId="9" xfId="0" applyFont="1" applyFill="1" applyBorder="1" applyAlignment="1">
      <alignment horizontal="center" vertical="center" wrapText="1"/>
    </xf>
    <xf numFmtId="0" fontId="10" fillId="5" borderId="9" xfId="0" applyFont="1" applyFill="1" applyBorder="1" applyAlignment="1">
      <alignment horizontal="left" vertical="center" wrapText="1"/>
    </xf>
    <xf numFmtId="0" fontId="10" fillId="5" borderId="0" xfId="0" applyFont="1" applyFill="1" applyAlignment="1">
      <alignment vertical="center" wrapText="1"/>
    </xf>
    <xf numFmtId="177" fontId="10" fillId="5" borderId="9" xfId="0" applyNumberFormat="1" applyFont="1" applyFill="1" applyBorder="1" applyAlignment="1">
      <alignment horizontal="left" vertical="center" wrapText="1"/>
    </xf>
    <xf numFmtId="21" fontId="10" fillId="5" borderId="9" xfId="0" applyNumberFormat="1" applyFont="1" applyFill="1" applyBorder="1" applyAlignment="1">
      <alignment horizontal="left" vertical="center" wrapText="1"/>
    </xf>
    <xf numFmtId="0" fontId="0" fillId="0" borderId="0" xfId="0" applyAlignment="1">
      <alignment horizontal="left" vertical="center"/>
    </xf>
    <xf numFmtId="0" fontId="12" fillId="0" borderId="1" xfId="0" applyFont="1" applyBorder="1" applyAlignment="1">
      <alignment horizontal="center" vertical="center"/>
    </xf>
    <xf numFmtId="0" fontId="12" fillId="0" borderId="7" xfId="0" applyFont="1" applyBorder="1" applyAlignment="1">
      <alignment horizontal="center" vertical="center"/>
    </xf>
    <xf numFmtId="0" fontId="13" fillId="0" borderId="1" xfId="0" applyFont="1" applyBorder="1" applyAlignment="1">
      <alignment horizontal="center" vertical="center"/>
    </xf>
    <xf numFmtId="0" fontId="13" fillId="0" borderId="7" xfId="0" applyFont="1" applyBorder="1" applyAlignment="1">
      <alignment horizontal="left" vertical="center" wrapText="1"/>
    </xf>
    <xf numFmtId="0" fontId="13" fillId="0" borderId="1" xfId="0" applyFont="1" applyBorder="1" applyAlignment="1">
      <alignment horizontal="left" vertical="center" wrapText="1"/>
    </xf>
    <xf numFmtId="0" fontId="9" fillId="0" borderId="1" xfId="0" applyFont="1" applyBorder="1" applyAlignment="1">
      <alignment horizontal="center" vertical="center"/>
    </xf>
    <xf numFmtId="0" fontId="3" fillId="0" borderId="0" xfId="0" applyFont="1" applyBorder="1" applyAlignment="1">
      <alignment horizontal="center" vertical="center"/>
    </xf>
    <xf numFmtId="0" fontId="3" fillId="7" borderId="0" xfId="0" applyFont="1" applyFill="1" applyAlignment="1">
      <alignment horizontal="center" vertical="center"/>
    </xf>
    <xf numFmtId="0" fontId="0" fillId="0" borderId="0" xfId="0" applyAlignment="1">
      <alignment vertical="center"/>
    </xf>
    <xf numFmtId="0" fontId="14" fillId="4" borderId="0" xfId="0" applyFont="1" applyFill="1" applyAlignment="1">
      <alignment horizontal="center" vertical="center"/>
    </xf>
    <xf numFmtId="0" fontId="15" fillId="8" borderId="1" xfId="0" applyFont="1" applyFill="1" applyBorder="1" applyAlignment="1">
      <alignment horizontal="center" vertical="center" wrapText="1"/>
    </xf>
    <xf numFmtId="0" fontId="16" fillId="8" borderId="1" xfId="0" applyFont="1" applyFill="1" applyBorder="1" applyAlignment="1">
      <alignment horizontal="center" vertical="center" wrapText="1"/>
    </xf>
    <xf numFmtId="0" fontId="17" fillId="0" borderId="0" xfId="0" applyFont="1" applyAlignment="1">
      <alignment horizontal="center" vertical="center" wrapText="1"/>
    </xf>
    <xf numFmtId="14" fontId="0" fillId="0" borderId="0" xfId="0" applyNumberFormat="1" applyAlignment="1">
      <alignment horizontal="center" vertical="center"/>
    </xf>
    <xf numFmtId="0" fontId="18" fillId="8" borderId="10" xfId="0" applyFont="1" applyFill="1" applyBorder="1" applyAlignment="1">
      <alignment horizontal="center" vertical="center" wrapText="1"/>
    </xf>
    <xf numFmtId="0" fontId="18" fillId="8" borderId="11" xfId="0" applyFont="1" applyFill="1" applyBorder="1" applyAlignment="1">
      <alignment horizontal="center" vertical="center" wrapText="1"/>
    </xf>
    <xf numFmtId="0" fontId="18" fillId="8" borderId="11" xfId="0" applyFont="1" applyFill="1" applyBorder="1" applyAlignment="1">
      <alignment vertical="center" wrapText="1"/>
    </xf>
    <xf numFmtId="0" fontId="19" fillId="8" borderId="11" xfId="0" applyFont="1" applyFill="1" applyBorder="1" applyAlignment="1">
      <alignment horizontal="center" vertical="center" wrapText="1"/>
    </xf>
    <xf numFmtId="0" fontId="18" fillId="8" borderId="7" xfId="0" applyFont="1" applyFill="1" applyBorder="1" applyAlignment="1">
      <alignment vertical="center" wrapText="1"/>
    </xf>
    <xf numFmtId="14" fontId="20" fillId="0" borderId="0" xfId="0" applyNumberFormat="1" applyFont="1">
      <alignment vertical="center"/>
    </xf>
    <xf numFmtId="0" fontId="3" fillId="0" borderId="1" xfId="0" applyFont="1" applyBorder="1">
      <alignment vertical="center"/>
    </xf>
    <xf numFmtId="0" fontId="9" fillId="9" borderId="1" xfId="0" applyFont="1" applyFill="1" applyBorder="1" applyAlignment="1">
      <alignment horizontal="center" vertical="center"/>
    </xf>
    <xf numFmtId="0" fontId="0" fillId="0" borderId="1" xfId="0" applyBorder="1">
      <alignment vertical="center"/>
    </xf>
    <xf numFmtId="9" fontId="3" fillId="0" borderId="1" xfId="0" applyNumberFormat="1" applyFont="1" applyBorder="1" applyAlignment="1">
      <alignment horizontal="center" vertical="center"/>
    </xf>
    <xf numFmtId="0" fontId="20" fillId="0" borderId="1" xfId="0" applyFont="1" applyBorder="1">
      <alignment vertical="center"/>
    </xf>
    <xf numFmtId="0" fontId="3" fillId="0" borderId="0" xfId="0" applyFont="1" applyAlignment="1">
      <alignment vertical="center"/>
    </xf>
    <xf numFmtId="0" fontId="18" fillId="8" borderId="1"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2" fillId="8" borderId="1" xfId="0" applyFont="1" applyFill="1" applyBorder="1" applyAlignment="1">
      <alignment horizontal="center" vertical="center" wrapText="1"/>
    </xf>
    <xf numFmtId="0" fontId="23" fillId="8" borderId="1" xfId="0" applyFont="1" applyFill="1" applyBorder="1" applyAlignment="1">
      <alignment horizontal="center" vertical="center" wrapText="1"/>
    </xf>
    <xf numFmtId="0" fontId="20" fillId="0" borderId="0" xfId="0" applyFont="1">
      <alignment vertical="center"/>
    </xf>
    <xf numFmtId="0" fontId="24" fillId="0" borderId="0" xfId="0" applyFont="1" applyAlignment="1">
      <alignment horizontal="center"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center" vertical="center"/>
    </xf>
    <xf numFmtId="0" fontId="9" fillId="0" borderId="0" xfId="0" applyFont="1" applyAlignment="1">
      <alignment horizontal="center" vertical="center"/>
    </xf>
    <xf numFmtId="0" fontId="0" fillId="0" borderId="12" xfId="0"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xf>
    <xf numFmtId="14" fontId="22" fillId="8" borderId="1" xfId="0" applyNumberFormat="1" applyFont="1" applyFill="1" applyBorder="1" applyAlignment="1">
      <alignment horizontal="center" vertical="center" wrapText="1"/>
    </xf>
    <xf numFmtId="178" fontId="22" fillId="8" borderId="1" xfId="0" applyNumberFormat="1" applyFont="1" applyFill="1" applyBorder="1" applyAlignment="1">
      <alignment horizontal="center" vertical="center" wrapText="1"/>
    </xf>
    <xf numFmtId="49" fontId="22" fillId="8" borderId="1" xfId="0" applyNumberFormat="1" applyFont="1" applyFill="1" applyBorder="1" applyAlignment="1">
      <alignment horizontal="center" vertical="center" wrapText="1"/>
    </xf>
    <xf numFmtId="0" fontId="27" fillId="4" borderId="13" xfId="0" applyFont="1" applyFill="1" applyBorder="1" applyAlignment="1">
      <alignment horizontal="left" vertical="center"/>
    </xf>
    <xf numFmtId="26" fontId="0" fillId="0" borderId="0" xfId="0" applyNumberFormat="1">
      <alignment vertical="center"/>
    </xf>
    <xf numFmtId="24" fontId="0" fillId="0" borderId="0" xfId="0" applyNumberFormat="1">
      <alignment vertical="center"/>
    </xf>
    <xf numFmtId="26" fontId="22" fillId="8" borderId="1" xfId="0" applyNumberFormat="1" applyFont="1" applyFill="1" applyBorder="1" applyAlignment="1">
      <alignment horizontal="center" vertical="center" wrapText="1"/>
    </xf>
    <xf numFmtId="14" fontId="3" fillId="0" borderId="0" xfId="0" applyNumberFormat="1" applyFont="1" applyAlignment="1">
      <alignment horizontal="center" vertical="center"/>
    </xf>
    <xf numFmtId="0" fontId="28" fillId="3" borderId="2" xfId="0" applyFont="1" applyFill="1" applyBorder="1" applyAlignment="1">
      <alignment horizontal="left" vertical="top" wrapText="1"/>
    </xf>
    <xf numFmtId="0" fontId="29" fillId="3" borderId="2" xfId="0" applyFont="1" applyFill="1" applyBorder="1" applyAlignment="1">
      <alignment horizontal="left" vertical="top"/>
    </xf>
    <xf numFmtId="0" fontId="30" fillId="6" borderId="1" xfId="0" applyFont="1" applyFill="1" applyBorder="1" applyAlignment="1">
      <alignment horizontal="center" vertical="top" wrapText="1"/>
    </xf>
    <xf numFmtId="0" fontId="31" fillId="8" borderId="1" xfId="0" applyFont="1" applyFill="1" applyBorder="1" applyAlignment="1">
      <alignment horizontal="center" vertical="center" wrapText="1"/>
    </xf>
    <xf numFmtId="0" fontId="32" fillId="10" borderId="1" xfId="0" applyFont="1" applyFill="1" applyBorder="1" applyAlignment="1">
      <alignment horizontal="center" vertical="top" wrapText="1"/>
    </xf>
    <xf numFmtId="0" fontId="32" fillId="5" borderId="1" xfId="0" applyFont="1" applyFill="1" applyBorder="1" applyAlignment="1">
      <alignment horizontal="center" vertical="top" wrapText="1"/>
    </xf>
    <xf numFmtId="0" fontId="33" fillId="8" borderId="1" xfId="0" applyFont="1" applyFill="1" applyBorder="1" applyAlignment="1">
      <alignment horizontal="center" vertical="center" wrapText="1"/>
    </xf>
    <xf numFmtId="0" fontId="25" fillId="0" borderId="1" xfId="0" applyFont="1" applyBorder="1" applyAlignment="1">
      <alignment vertical="center"/>
    </xf>
    <xf numFmtId="0" fontId="34" fillId="6" borderId="14" xfId="0" applyFont="1" applyFill="1" applyBorder="1" applyAlignment="1">
      <alignment horizontal="center" vertical="top" wrapText="1"/>
    </xf>
    <xf numFmtId="0" fontId="35" fillId="10" borderId="0" xfId="0" applyFont="1" applyFill="1" applyAlignment="1">
      <alignment horizontal="center" vertical="top" wrapText="1"/>
    </xf>
    <xf numFmtId="0" fontId="35" fillId="5" borderId="0" xfId="0" applyFont="1" applyFill="1" applyAlignment="1">
      <alignment horizontal="center" vertical="top" wrapText="1"/>
    </xf>
    <xf numFmtId="0" fontId="35" fillId="5" borderId="15" xfId="0" applyFont="1" applyFill="1" applyBorder="1" applyAlignment="1">
      <alignment horizontal="center" vertical="top" wrapText="1"/>
    </xf>
    <xf numFmtId="14" fontId="0" fillId="11" borderId="0" xfId="0" applyNumberFormat="1" applyFill="1" applyAlignment="1">
      <alignment horizontal="center" vertical="center"/>
    </xf>
    <xf numFmtId="31" fontId="3" fillId="0" borderId="0" xfId="0" applyNumberFormat="1" applyFont="1" applyAlignment="1">
      <alignment horizontal="center" vertical="center"/>
    </xf>
    <xf numFmtId="0" fontId="36" fillId="6" borderId="8" xfId="0" applyFont="1" applyFill="1" applyBorder="1" applyAlignment="1">
      <alignment horizontal="center" vertical="center" wrapText="1"/>
    </xf>
    <xf numFmtId="0" fontId="37" fillId="5" borderId="9" xfId="0" applyFont="1" applyFill="1" applyBorder="1" applyAlignment="1">
      <alignment horizontal="center" vertical="center" wrapText="1"/>
    </xf>
    <xf numFmtId="0" fontId="38" fillId="5" borderId="9" xfId="0" applyFont="1" applyFill="1" applyBorder="1" applyAlignment="1">
      <alignment horizontal="center" vertical="center" wrapText="1"/>
    </xf>
    <xf numFmtId="0" fontId="39" fillId="4" borderId="0" xfId="0" applyFont="1" applyFill="1" applyAlignment="1">
      <alignment horizontal="center" vertical="center"/>
    </xf>
    <xf numFmtId="0" fontId="14" fillId="4" borderId="13" xfId="0" applyFont="1" applyFill="1" applyBorder="1" applyAlignment="1">
      <alignment horizontal="center" vertical="center"/>
    </xf>
    <xf numFmtId="0" fontId="40" fillId="9" borderId="1" xfId="0" applyFont="1" applyFill="1" applyBorder="1" applyAlignment="1">
      <alignment horizontal="center" vertical="center" wrapText="1"/>
    </xf>
    <xf numFmtId="0" fontId="18" fillId="8" borderId="0" xfId="0" applyFont="1" applyFill="1" applyBorder="1" applyAlignment="1">
      <alignment horizontal="center" vertical="center" wrapText="1"/>
    </xf>
    <xf numFmtId="179" fontId="40" fillId="5" borderId="1" xfId="0" applyNumberFormat="1" applyFont="1" applyFill="1" applyBorder="1" applyAlignment="1">
      <alignment horizontal="center" vertical="center" wrapText="1"/>
    </xf>
    <xf numFmtId="0" fontId="40" fillId="5" borderId="1" xfId="0" applyFont="1" applyFill="1" applyBorder="1" applyAlignment="1">
      <alignment horizontal="center" vertical="center" wrapText="1"/>
    </xf>
    <xf numFmtId="0" fontId="41" fillId="6" borderId="1" xfId="0" applyFont="1" applyFill="1" applyBorder="1" applyAlignment="1">
      <alignment horizontal="center" vertical="center" wrapText="1"/>
    </xf>
    <xf numFmtId="0" fontId="15" fillId="8" borderId="16" xfId="0" applyFont="1" applyFill="1" applyBorder="1" applyAlignment="1">
      <alignment horizontal="left" vertical="center" wrapText="1"/>
    </xf>
    <xf numFmtId="0" fontId="18" fillId="8" borderId="17" xfId="0" applyFont="1" applyFill="1" applyBorder="1" applyAlignment="1">
      <alignment horizontal="center" vertical="center" wrapText="1"/>
    </xf>
    <xf numFmtId="0" fontId="15" fillId="8" borderId="18" xfId="0" applyFont="1" applyFill="1" applyBorder="1" applyAlignment="1">
      <alignment horizontal="left" vertical="center" wrapText="1"/>
    </xf>
    <xf numFmtId="0" fontId="18" fillId="8" borderId="19" xfId="0" applyFont="1" applyFill="1" applyBorder="1" applyAlignment="1">
      <alignment horizontal="center" vertical="center" wrapText="1"/>
    </xf>
    <xf numFmtId="0" fontId="42" fillId="5" borderId="1" xfId="0" applyFont="1" applyFill="1" applyBorder="1" applyAlignment="1">
      <alignment horizontal="center" vertical="center" wrapText="1"/>
    </xf>
    <xf numFmtId="0" fontId="15" fillId="8" borderId="20" xfId="0" applyFont="1" applyFill="1" applyBorder="1" applyAlignment="1">
      <alignment horizontal="left" vertical="center" wrapText="1"/>
    </xf>
    <xf numFmtId="0" fontId="18" fillId="8" borderId="21" xfId="0" applyFont="1" applyFill="1" applyBorder="1" applyAlignment="1">
      <alignment horizontal="center" vertical="center" wrapText="1"/>
    </xf>
    <xf numFmtId="0" fontId="41" fillId="6" borderId="10" xfId="0" applyFont="1" applyFill="1" applyBorder="1" applyAlignment="1">
      <alignment horizontal="center" vertical="center" wrapText="1"/>
    </xf>
    <xf numFmtId="0" fontId="41" fillId="6" borderId="11" xfId="0" applyFont="1" applyFill="1" applyBorder="1" applyAlignment="1">
      <alignment horizontal="center" vertical="center" wrapText="1"/>
    </xf>
    <xf numFmtId="0" fontId="41" fillId="6" borderId="7" xfId="0" applyFont="1" applyFill="1" applyBorder="1" applyAlignment="1">
      <alignment horizontal="center" vertical="center" wrapText="1"/>
    </xf>
    <xf numFmtId="0" fontId="40" fillId="5" borderId="10" xfId="0" applyFont="1" applyFill="1" applyBorder="1" applyAlignment="1">
      <alignment horizontal="center" vertical="center" wrapText="1"/>
    </xf>
    <xf numFmtId="0" fontId="40" fillId="5" borderId="7" xfId="0" applyFont="1" applyFill="1" applyBorder="1" applyAlignment="1">
      <alignment horizontal="center" vertical="center" wrapText="1"/>
    </xf>
    <xf numFmtId="0" fontId="43" fillId="5" borderId="22" xfId="0" applyFont="1" applyFill="1" applyBorder="1" applyAlignment="1">
      <alignment horizontal="left" vertical="center" wrapText="1"/>
    </xf>
    <xf numFmtId="0" fontId="43" fillId="5" borderId="12" xfId="0" applyFont="1" applyFill="1" applyBorder="1" applyAlignment="1">
      <alignment horizontal="left" vertical="center" wrapText="1"/>
    </xf>
    <xf numFmtId="0" fontId="43" fillId="5" borderId="16" xfId="0" applyFont="1" applyFill="1" applyBorder="1" applyAlignment="1">
      <alignment horizontal="left" vertical="center" wrapText="1"/>
    </xf>
    <xf numFmtId="0" fontId="43" fillId="5" borderId="23" xfId="0" applyFont="1" applyFill="1" applyBorder="1" applyAlignment="1">
      <alignment horizontal="left" vertical="center" wrapText="1"/>
    </xf>
    <xf numFmtId="0" fontId="43" fillId="5" borderId="24" xfId="0" applyFont="1" applyFill="1" applyBorder="1" applyAlignment="1">
      <alignment horizontal="left" vertical="center" wrapText="1"/>
    </xf>
    <xf numFmtId="0" fontId="43" fillId="5" borderId="20" xfId="0" applyFont="1" applyFill="1" applyBorder="1" applyAlignment="1">
      <alignment horizontal="left" vertical="center" wrapText="1"/>
    </xf>
    <xf numFmtId="0" fontId="11" fillId="6" borderId="8" xfId="0" applyFont="1" applyFill="1" applyBorder="1" applyAlignment="1">
      <alignment horizontal="center" vertical="center" wrapText="1"/>
    </xf>
    <xf numFmtId="0" fontId="25" fillId="5" borderId="1" xfId="0" applyFont="1" applyFill="1" applyBorder="1" applyAlignment="1">
      <alignment horizontal="center" vertical="center" wrapText="1"/>
    </xf>
    <xf numFmtId="0" fontId="25" fillId="0" borderId="1" xfId="0" applyFont="1" applyBorder="1" applyAlignment="1">
      <alignment horizontal="center" vertical="center"/>
    </xf>
    <xf numFmtId="0" fontId="41" fillId="5" borderId="17" xfId="0" applyFont="1" applyFill="1" applyBorder="1" applyAlignment="1">
      <alignment horizontal="center" vertical="center" wrapText="1"/>
    </xf>
    <xf numFmtId="0" fontId="41" fillId="5" borderId="1" xfId="0" applyFont="1" applyFill="1" applyBorder="1" applyAlignment="1">
      <alignment horizontal="center" vertical="center" wrapText="1"/>
    </xf>
    <xf numFmtId="0" fontId="41" fillId="5" borderId="21" xfId="0" applyFont="1" applyFill="1" applyBorder="1" applyAlignment="1">
      <alignment horizontal="center" vertical="center" wrapText="1"/>
    </xf>
    <xf numFmtId="0" fontId="3" fillId="9" borderId="1" xfId="0" applyFont="1" applyFill="1" applyBorder="1" applyAlignment="1">
      <alignment horizontal="center" vertical="center"/>
    </xf>
    <xf numFmtId="0" fontId="44" fillId="0" borderId="0" xfId="0" applyFont="1" applyAlignment="1">
      <alignment horizontal="center" vertical="center"/>
    </xf>
    <xf numFmtId="0" fontId="40" fillId="5" borderId="11" xfId="0" applyFont="1" applyFill="1" applyBorder="1" applyAlignment="1">
      <alignment horizontal="center" vertical="center" wrapText="1"/>
    </xf>
    <xf numFmtId="0" fontId="24" fillId="6" borderId="1" xfId="0" applyFont="1" applyFill="1" applyBorder="1" applyAlignment="1">
      <alignment horizontal="center" vertical="center" wrapText="1"/>
    </xf>
    <xf numFmtId="0" fontId="25" fillId="0" borderId="1" xfId="0" applyFont="1" applyBorder="1" applyAlignment="1">
      <alignment horizontal="center" vertical="center" wrapText="1"/>
    </xf>
    <xf numFmtId="0" fontId="25" fillId="0" borderId="0" xfId="0" applyFont="1" applyAlignment="1">
      <alignment horizontal="left" vertical="center" wrapText="1"/>
    </xf>
    <xf numFmtId="0" fontId="14" fillId="4" borderId="0" xfId="0" applyFont="1" applyFill="1" applyAlignment="1">
      <alignment horizontal="left" vertical="center"/>
    </xf>
    <xf numFmtId="0" fontId="24" fillId="0" borderId="1" xfId="0" applyFont="1" applyBorder="1" applyAlignment="1">
      <alignment horizontal="center" vertical="center"/>
    </xf>
    <xf numFmtId="0" fontId="24" fillId="9" borderId="1" xfId="0" applyFont="1" applyFill="1" applyBorder="1" applyAlignment="1">
      <alignment horizontal="center" vertical="center"/>
    </xf>
    <xf numFmtId="0" fontId="45" fillId="0" borderId="0" xfId="0" applyFont="1">
      <alignment vertical="center"/>
    </xf>
    <xf numFmtId="0" fontId="25" fillId="0" borderId="17" xfId="0" applyFont="1" applyBorder="1" applyAlignment="1">
      <alignment horizontal="center" vertical="center"/>
    </xf>
    <xf numFmtId="0" fontId="24" fillId="12" borderId="10" xfId="0" applyFont="1" applyFill="1" applyBorder="1" applyAlignment="1">
      <alignment horizontal="center" vertical="center"/>
    </xf>
    <xf numFmtId="0" fontId="24" fillId="12" borderId="7" xfId="0" applyFont="1" applyFill="1" applyBorder="1" applyAlignment="1">
      <alignment horizontal="center" vertical="center"/>
    </xf>
    <xf numFmtId="0" fontId="24" fillId="12" borderId="1" xfId="0" applyFont="1" applyFill="1" applyBorder="1" applyAlignment="1">
      <alignment horizontal="center" vertical="center"/>
    </xf>
    <xf numFmtId="0" fontId="25" fillId="12" borderId="1" xfId="0" applyFont="1" applyFill="1" applyBorder="1" applyAlignment="1">
      <alignment horizontal="center" vertical="center"/>
    </xf>
    <xf numFmtId="0" fontId="9" fillId="13" borderId="17" xfId="0" applyFont="1" applyFill="1" applyBorder="1" applyAlignment="1">
      <alignment horizontal="center" vertical="center"/>
    </xf>
    <xf numFmtId="31" fontId="40" fillId="5" borderId="1" xfId="0" applyNumberFormat="1" applyFont="1" applyFill="1" applyBorder="1" applyAlignment="1">
      <alignment horizontal="center" vertical="center" wrapText="1"/>
    </xf>
    <xf numFmtId="0" fontId="3" fillId="0" borderId="2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18" xfId="0" applyFont="1" applyBorder="1" applyAlignment="1">
      <alignment horizontal="center" vertical="center" wrapText="1"/>
    </xf>
    <xf numFmtId="14" fontId="40" fillId="5" borderId="1" xfId="0" applyNumberFormat="1" applyFont="1" applyFill="1" applyBorder="1" applyAlignment="1">
      <alignment horizontal="center" vertical="center" wrapText="1"/>
    </xf>
    <xf numFmtId="0" fontId="3" fillId="0" borderId="23" xfId="0" applyFont="1" applyBorder="1" applyAlignment="1">
      <alignment horizontal="center" vertical="center" wrapText="1"/>
    </xf>
    <xf numFmtId="0" fontId="3" fillId="0" borderId="20" xfId="0" applyFont="1" applyBorder="1" applyAlignment="1">
      <alignment horizontal="center" vertical="center" wrapText="1"/>
    </xf>
    <xf numFmtId="0" fontId="41" fillId="5" borderId="22" xfId="0" applyFont="1" applyFill="1" applyBorder="1" applyAlignment="1">
      <alignment horizontal="center" vertical="center" wrapText="1"/>
    </xf>
    <xf numFmtId="0" fontId="41" fillId="5" borderId="16" xfId="0" applyFont="1" applyFill="1" applyBorder="1" applyAlignment="1">
      <alignment horizontal="center" vertical="center" wrapText="1"/>
    </xf>
    <xf numFmtId="0" fontId="41" fillId="5" borderId="23" xfId="0" applyFont="1" applyFill="1" applyBorder="1" applyAlignment="1">
      <alignment horizontal="center" vertical="center" wrapText="1"/>
    </xf>
    <xf numFmtId="0" fontId="41" fillId="5" borderId="20" xfId="0" applyFont="1" applyFill="1" applyBorder="1" applyAlignment="1">
      <alignment horizontal="center" vertical="center" wrapText="1"/>
    </xf>
    <xf numFmtId="0" fontId="33" fillId="5" borderId="1" xfId="0" applyFont="1" applyFill="1" applyBorder="1" applyAlignment="1">
      <alignment horizontal="left" vertical="center" wrapText="1"/>
    </xf>
    <xf numFmtId="0" fontId="3" fillId="0" borderId="19" xfId="0" applyFont="1" applyBorder="1" applyAlignment="1">
      <alignment horizontal="center" vertical="center"/>
    </xf>
    <xf numFmtId="0" fontId="25" fillId="7" borderId="1" xfId="0" applyFont="1" applyFill="1" applyBorder="1" applyAlignment="1">
      <alignment horizontal="center" vertical="center"/>
    </xf>
    <xf numFmtId="14" fontId="41" fillId="0" borderId="1" xfId="0" applyNumberFormat="1" applyFont="1" applyFill="1" applyBorder="1" applyAlignment="1">
      <alignment horizontal="center" vertical="center" wrapText="1"/>
    </xf>
    <xf numFmtId="0" fontId="25" fillId="0" borderId="16" xfId="0" applyFont="1" applyBorder="1" applyAlignment="1">
      <alignment horizontal="left" vertical="center" wrapText="1"/>
    </xf>
    <xf numFmtId="0" fontId="31" fillId="5" borderId="1" xfId="0" applyFont="1" applyFill="1" applyBorder="1" applyAlignment="1">
      <alignment horizontal="center" vertical="center" wrapText="1"/>
    </xf>
    <xf numFmtId="0" fontId="25" fillId="0" borderId="18" xfId="0" applyFont="1" applyBorder="1" applyAlignment="1">
      <alignment horizontal="left" vertical="center"/>
    </xf>
    <xf numFmtId="0" fontId="25" fillId="0" borderId="20" xfId="0" applyFont="1" applyBorder="1" applyAlignment="1">
      <alignment horizontal="left" vertical="center"/>
    </xf>
    <xf numFmtId="0" fontId="41" fillId="6" borderId="17" xfId="0" applyFont="1" applyFill="1" applyBorder="1" applyAlignment="1">
      <alignment horizontal="center" vertical="center" wrapText="1"/>
    </xf>
    <xf numFmtId="0" fontId="46" fillId="5" borderId="26" xfId="0" applyFont="1" applyFill="1" applyBorder="1" applyAlignment="1">
      <alignment horizontal="center" vertical="center" wrapText="1"/>
    </xf>
    <xf numFmtId="0" fontId="31" fillId="5" borderId="26" xfId="0" applyFont="1" applyFill="1" applyBorder="1" applyAlignment="1">
      <alignment horizontal="center" vertical="center" wrapText="1"/>
    </xf>
    <xf numFmtId="0" fontId="46" fillId="7" borderId="26" xfId="0" applyFont="1" applyFill="1" applyBorder="1" applyAlignment="1">
      <alignment horizontal="center" vertical="center" wrapText="1"/>
    </xf>
    <xf numFmtId="0" fontId="25" fillId="7" borderId="26" xfId="0" applyFont="1" applyFill="1" applyBorder="1" applyAlignment="1">
      <alignment horizontal="center" vertical="center"/>
    </xf>
    <xf numFmtId="0" fontId="25" fillId="0" borderId="26" xfId="0" applyFont="1" applyBorder="1" applyAlignment="1">
      <alignment horizontal="center" vertical="center"/>
    </xf>
    <xf numFmtId="0" fontId="41" fillId="7" borderId="1" xfId="0" applyFont="1" applyFill="1" applyBorder="1" applyAlignment="1">
      <alignment horizontal="center" vertical="center" wrapText="1"/>
    </xf>
    <xf numFmtId="0" fontId="0" fillId="7" borderId="1" xfId="0" applyFill="1" applyBorder="1">
      <alignment vertical="center"/>
    </xf>
    <xf numFmtId="0" fontId="24" fillId="14" borderId="1" xfId="0" applyFont="1" applyFill="1" applyBorder="1" applyAlignment="1">
      <alignment horizontal="center" vertical="center"/>
    </xf>
    <xf numFmtId="0" fontId="41" fillId="13" borderId="1" xfId="0" applyFont="1" applyFill="1" applyBorder="1" applyAlignment="1">
      <alignment horizontal="center" vertical="center" wrapText="1"/>
    </xf>
    <xf numFmtId="0" fontId="25" fillId="13" borderId="1" xfId="0" applyFont="1" applyFill="1" applyBorder="1" applyAlignment="1">
      <alignment horizontal="center" vertical="center"/>
    </xf>
    <xf numFmtId="0" fontId="25" fillId="0" borderId="1" xfId="0" applyFont="1" applyFill="1" applyBorder="1" applyAlignment="1">
      <alignment horizontal="center" vertical="center"/>
    </xf>
    <xf numFmtId="0" fontId="3" fillId="7" borderId="23" xfId="0" applyFont="1" applyFill="1" applyBorder="1" applyAlignment="1">
      <alignment horizontal="center" vertical="center"/>
    </xf>
    <xf numFmtId="0" fontId="3" fillId="7" borderId="24" xfId="0" applyFont="1" applyFill="1" applyBorder="1" applyAlignment="1">
      <alignment horizontal="center" vertical="center"/>
    </xf>
    <xf numFmtId="0" fontId="3" fillId="7" borderId="20" xfId="0" applyFont="1" applyFill="1" applyBorder="1" applyAlignment="1">
      <alignment horizontal="center" vertical="center"/>
    </xf>
    <xf numFmtId="0" fontId="28" fillId="0" borderId="0" xfId="0" applyFont="1" applyFill="1" applyAlignment="1">
      <alignment horizontal="left" vertical="top" wrapText="1"/>
    </xf>
    <xf numFmtId="0" fontId="0" fillId="7" borderId="1" xfId="0" applyFill="1" applyBorder="1" applyAlignment="1">
      <alignment horizontal="center" vertical="center"/>
    </xf>
    <xf numFmtId="0" fontId="25" fillId="0" borderId="10" xfId="0" applyFont="1" applyBorder="1" applyAlignment="1">
      <alignment horizontal="center" vertical="center"/>
    </xf>
    <xf numFmtId="0" fontId="25" fillId="0" borderId="7" xfId="0" applyFont="1" applyBorder="1" applyAlignment="1">
      <alignment horizontal="center" vertical="center"/>
    </xf>
    <xf numFmtId="0" fontId="33" fillId="6" borderId="1" xfId="0" applyFont="1" applyFill="1" applyBorder="1" applyAlignment="1">
      <alignment horizontal="center" vertical="center" wrapText="1"/>
    </xf>
    <xf numFmtId="0" fontId="47" fillId="0" borderId="10" xfId="0" applyFont="1" applyBorder="1" applyAlignment="1">
      <alignment horizontal="center" vertical="center"/>
    </xf>
    <xf numFmtId="0" fontId="47" fillId="0" borderId="11" xfId="0" applyFont="1" applyBorder="1" applyAlignment="1">
      <alignment horizontal="center" vertical="center"/>
    </xf>
    <xf numFmtId="0" fontId="47" fillId="0" borderId="7" xfId="0" applyFont="1" applyBorder="1" applyAlignment="1">
      <alignment horizontal="center" vertical="center"/>
    </xf>
    <xf numFmtId="0" fontId="48" fillId="5" borderId="1" xfId="0" applyFont="1" applyFill="1" applyBorder="1" applyAlignment="1">
      <alignment horizontal="center" vertical="center" wrapText="1"/>
    </xf>
    <xf numFmtId="0" fontId="48" fillId="5" borderId="0" xfId="0" applyFont="1" applyFill="1" applyAlignment="1">
      <alignment horizontal="center" vertical="center" wrapText="1"/>
    </xf>
    <xf numFmtId="0" fontId="46" fillId="5" borderId="1" xfId="0" applyFont="1" applyFill="1" applyBorder="1" applyAlignment="1">
      <alignment horizontal="center" vertical="center" wrapText="1"/>
    </xf>
    <xf numFmtId="0" fontId="46" fillId="5" borderId="0" xfId="0" applyFont="1" applyFill="1" applyAlignment="1">
      <alignment horizontal="center" vertical="center" wrapText="1"/>
    </xf>
    <xf numFmtId="0" fontId="24" fillId="0" borderId="0" xfId="0" applyFont="1" applyAlignment="1">
      <alignment horizontal="left" vertical="center" wrapText="1"/>
    </xf>
    <xf numFmtId="0" fontId="33" fillId="15" borderId="1" xfId="0" applyFont="1" applyFill="1" applyBorder="1" applyAlignment="1">
      <alignment horizontal="center" vertical="center" wrapText="1"/>
    </xf>
    <xf numFmtId="0" fontId="28" fillId="3" borderId="0" xfId="0" applyFont="1" applyFill="1" applyAlignment="1">
      <alignment horizontal="left" vertical="top" wrapText="1"/>
    </xf>
    <xf numFmtId="0" fontId="40" fillId="0" borderId="1" xfId="0" applyFont="1" applyFill="1" applyBorder="1" applyAlignment="1">
      <alignment horizontal="center" vertical="center" wrapText="1"/>
    </xf>
    <xf numFmtId="0" fontId="41" fillId="6" borderId="22" xfId="0" applyFont="1" applyFill="1" applyBorder="1" applyAlignment="1">
      <alignment horizontal="center" vertical="center" wrapText="1"/>
    </xf>
    <xf numFmtId="0" fontId="41" fillId="6" borderId="12" xfId="0" applyFont="1" applyFill="1" applyBorder="1" applyAlignment="1">
      <alignment horizontal="center" vertical="center" wrapText="1"/>
    </xf>
    <xf numFmtId="0" fontId="41" fillId="6" borderId="16" xfId="0" applyFont="1" applyFill="1" applyBorder="1" applyAlignment="1">
      <alignment horizontal="center" vertical="center" wrapText="1"/>
    </xf>
    <xf numFmtId="0" fontId="41" fillId="0" borderId="25" xfId="0" applyFont="1" applyFill="1" applyBorder="1" applyAlignment="1">
      <alignment horizontal="left" vertical="center" wrapText="1"/>
    </xf>
    <xf numFmtId="0" fontId="41" fillId="0" borderId="0" xfId="0" applyFont="1" applyFill="1" applyAlignment="1">
      <alignment horizontal="left" vertical="center" wrapText="1"/>
    </xf>
    <xf numFmtId="0" fontId="49" fillId="0" borderId="0" xfId="0" applyFont="1" applyAlignment="1">
      <alignment horizontal="left" vertical="center"/>
    </xf>
    <xf numFmtId="0" fontId="49" fillId="0" borderId="0" xfId="0" applyFont="1" applyBorder="1" applyAlignment="1">
      <alignment horizontal="left" vertical="center"/>
    </xf>
    <xf numFmtId="0" fontId="25" fillId="15" borderId="1" xfId="0" applyFont="1" applyFill="1" applyBorder="1" applyAlignment="1">
      <alignment horizontal="center" vertical="center"/>
    </xf>
    <xf numFmtId="14" fontId="25" fillId="0" borderId="1" xfId="0" applyNumberFormat="1" applyFont="1" applyBorder="1" applyAlignment="1">
      <alignment horizontal="center" vertical="center"/>
    </xf>
    <xf numFmtId="0" fontId="46" fillId="0" borderId="0" xfId="0" applyFont="1">
      <alignment vertical="center"/>
    </xf>
    <xf numFmtId="0" fontId="41" fillId="0" borderId="1" xfId="0" applyFont="1" applyFill="1" applyBorder="1" applyAlignment="1">
      <alignment horizontal="center" vertical="center" wrapText="1"/>
    </xf>
    <xf numFmtId="0" fontId="40" fillId="5" borderId="17" xfId="0" applyFont="1" applyFill="1" applyBorder="1" applyAlignment="1">
      <alignment horizontal="center" vertical="center" wrapText="1"/>
    </xf>
    <xf numFmtId="0" fontId="3" fillId="0" borderId="17" xfId="0" applyFont="1" applyBorder="1" applyAlignment="1">
      <alignment horizontal="center" vertical="center"/>
    </xf>
    <xf numFmtId="0" fontId="40" fillId="5" borderId="19" xfId="0" applyFont="1" applyFill="1" applyBorder="1" applyAlignment="1">
      <alignment horizontal="center" vertical="center" wrapText="1"/>
    </xf>
    <xf numFmtId="0" fontId="40" fillId="5" borderId="21" xfId="0" applyFont="1" applyFill="1" applyBorder="1" applyAlignment="1">
      <alignment horizontal="center" vertical="center" wrapText="1"/>
    </xf>
    <xf numFmtId="0" fontId="3" fillId="0" borderId="21" xfId="0" applyFont="1" applyBorder="1" applyAlignment="1">
      <alignment horizontal="center" vertical="center"/>
    </xf>
    <xf numFmtId="14" fontId="25" fillId="5" borderId="1" xfId="0" applyNumberFormat="1" applyFont="1" applyFill="1" applyBorder="1" applyAlignment="1">
      <alignment horizontal="center" vertical="center" wrapText="1"/>
    </xf>
    <xf numFmtId="14" fontId="13" fillId="5" borderId="21" xfId="0" applyNumberFormat="1" applyFont="1" applyFill="1" applyBorder="1" applyAlignment="1">
      <alignment horizontal="center" vertical="center" wrapText="1"/>
    </xf>
    <xf numFmtId="0" fontId="13" fillId="5" borderId="21" xfId="0" applyFont="1" applyFill="1" applyBorder="1" applyAlignment="1">
      <alignment horizontal="center" vertical="center" wrapText="1"/>
    </xf>
    <xf numFmtId="14" fontId="13" fillId="5" borderId="1" xfId="0" applyNumberFormat="1" applyFont="1" applyFill="1" applyBorder="1" applyAlignment="1">
      <alignment horizontal="center" vertical="center" wrapText="1"/>
    </xf>
    <xf numFmtId="0" fontId="13" fillId="5" borderId="1" xfId="0" applyFont="1" applyFill="1" applyBorder="1" applyAlignment="1">
      <alignment horizontal="center" vertical="center" wrapText="1"/>
    </xf>
    <xf numFmtId="14" fontId="16" fillId="8" borderId="1" xfId="0" applyNumberFormat="1" applyFont="1" applyFill="1" applyBorder="1" applyAlignment="1">
      <alignment horizontal="center" vertical="center" wrapText="1"/>
    </xf>
    <xf numFmtId="0" fontId="50" fillId="0" borderId="1" xfId="0" applyFont="1" applyBorder="1" applyAlignment="1">
      <alignment horizontal="center" vertical="center"/>
    </xf>
    <xf numFmtId="0" fontId="16" fillId="8" borderId="21" xfId="0" applyFont="1" applyFill="1" applyBorder="1" applyAlignment="1">
      <alignment horizontal="center" vertical="center" wrapText="1"/>
    </xf>
    <xf numFmtId="180" fontId="16" fillId="8" borderId="1" xfId="0" applyNumberFormat="1" applyFont="1" applyFill="1" applyBorder="1" applyAlignment="1">
      <alignment horizontal="center" vertical="center" wrapText="1"/>
    </xf>
    <xf numFmtId="0" fontId="16" fillId="8" borderId="1" xfId="0" applyFont="1" applyFill="1" applyBorder="1" applyAlignment="1">
      <alignment vertical="center" wrapText="1"/>
    </xf>
    <xf numFmtId="177" fontId="23" fillId="8" borderId="1" xfId="0" applyNumberFormat="1" applyFont="1" applyFill="1" applyBorder="1" applyAlignment="1">
      <alignment horizontal="center" vertical="center" wrapText="1"/>
    </xf>
    <xf numFmtId="0" fontId="23" fillId="8" borderId="1" xfId="0" applyNumberFormat="1" applyFont="1" applyFill="1" applyBorder="1" applyAlignment="1">
      <alignment horizontal="center" vertical="center" wrapText="1"/>
    </xf>
    <xf numFmtId="14" fontId="31" fillId="8" borderId="1" xfId="0" applyNumberFormat="1" applyFont="1" applyFill="1" applyBorder="1" applyAlignment="1">
      <alignment horizontal="center" vertical="center" wrapText="1"/>
    </xf>
    <xf numFmtId="14" fontId="31" fillId="7" borderId="1" xfId="0" applyNumberFormat="1" applyFont="1" applyFill="1" applyBorder="1" applyAlignment="1">
      <alignment horizontal="center" vertical="center" wrapText="1"/>
    </xf>
    <xf numFmtId="0" fontId="31" fillId="7" borderId="1" xfId="0" applyFont="1" applyFill="1" applyBorder="1" applyAlignment="1">
      <alignment horizontal="center" vertical="center" wrapText="1"/>
    </xf>
    <xf numFmtId="0" fontId="51" fillId="6"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5" borderId="1" xfId="0" applyFont="1" applyFill="1" applyBorder="1" applyAlignment="1">
      <alignment horizontal="center" vertical="top" wrapText="1"/>
    </xf>
    <xf numFmtId="0" fontId="10" fillId="5" borderId="1" xfId="0" applyFont="1" applyFill="1" applyBorder="1" applyAlignment="1">
      <alignment horizontal="left" vertical="center" wrapText="1"/>
    </xf>
    <xf numFmtId="0" fontId="11" fillId="6"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52" fillId="5" borderId="1" xfId="0" applyFont="1" applyFill="1" applyBorder="1" applyAlignment="1">
      <alignment horizontal="center" vertical="center" wrapText="1"/>
    </xf>
    <xf numFmtId="0" fontId="25" fillId="5" borderId="1" xfId="0" applyFont="1" applyFill="1" applyBorder="1" applyAlignment="1">
      <alignment horizontal="center" vertical="top" wrapText="1"/>
    </xf>
    <xf numFmtId="0" fontId="0" fillId="0" borderId="0" xfId="0" applyProtection="1">
      <alignment vertical="center"/>
      <protection locked="0"/>
    </xf>
    <xf numFmtId="0" fontId="0" fillId="0" borderId="0" xfId="0" applyProtection="1">
      <alignment vertical="center"/>
    </xf>
    <xf numFmtId="0" fontId="14" fillId="16" borderId="1" xfId="0" applyFont="1" applyFill="1" applyBorder="1" applyAlignment="1" applyProtection="1">
      <alignment horizontal="center" vertical="center"/>
      <protection locked="0"/>
    </xf>
    <xf numFmtId="0" fontId="14" fillId="16" borderId="1" xfId="0" applyFont="1" applyFill="1" applyBorder="1" applyAlignment="1" applyProtection="1">
      <alignment horizontal="center" vertical="center"/>
    </xf>
    <xf numFmtId="0" fontId="2" fillId="0" borderId="1" xfId="0" applyFont="1" applyBorder="1" applyAlignment="1" applyProtection="1">
      <alignment horizontal="center" vertical="center"/>
      <protection locked="0"/>
    </xf>
    <xf numFmtId="0" fontId="2" fillId="0" borderId="1" xfId="0" applyFont="1" applyBorder="1" applyAlignment="1" applyProtection="1">
      <alignment horizontal="center" vertical="center" wrapText="1"/>
    </xf>
    <xf numFmtId="0" fontId="2" fillId="0" borderId="1" xfId="0" applyFont="1" applyBorder="1" applyAlignment="1" applyProtection="1">
      <alignment horizontal="center" vertical="center"/>
    </xf>
    <xf numFmtId="31" fontId="2" fillId="0" borderId="1" xfId="0" applyNumberFormat="1" applyFont="1" applyBorder="1" applyAlignment="1" applyProtection="1">
      <alignment horizontal="center" vertical="center"/>
      <protection locked="0"/>
    </xf>
    <xf numFmtId="0" fontId="2" fillId="0" borderId="1" xfId="0" applyNumberFormat="1" applyFont="1" applyBorder="1" applyAlignment="1" applyProtection="1">
      <alignment horizontal="center" vertical="center"/>
      <protection locked="0"/>
    </xf>
    <xf numFmtId="179" fontId="2" fillId="0" borderId="1" xfId="0" applyNumberFormat="1" applyFont="1" applyBorder="1" applyAlignment="1" applyProtection="1">
      <alignment horizontal="center" vertical="center"/>
      <protection locked="0"/>
    </xf>
    <xf numFmtId="0" fontId="2" fillId="0" borderId="0" xfId="0" applyFont="1" applyProtection="1">
      <alignment vertical="center"/>
      <protection locked="0"/>
    </xf>
    <xf numFmtId="0" fontId="2" fillId="0" borderId="0" xfId="0" applyFont="1" applyProtection="1">
      <alignment vertical="center"/>
    </xf>
    <xf numFmtId="178" fontId="0" fillId="0" borderId="0" xfId="0" applyNumberFormat="1">
      <alignment vertical="center"/>
    </xf>
    <xf numFmtId="0" fontId="0" fillId="0" borderId="0" xfId="0" applyNumberFormat="1">
      <alignment vertical="center"/>
    </xf>
    <xf numFmtId="181" fontId="0" fillId="0" borderId="0" xfId="0" applyNumberFormat="1">
      <alignment vertical="center"/>
    </xf>
    <xf numFmtId="0" fontId="25" fillId="0" borderId="1" xfId="0" applyFont="1" applyBorder="1">
      <alignment vertical="center"/>
    </xf>
    <xf numFmtId="0" fontId="21" fillId="8" borderId="0" xfId="0" applyFont="1" applyFill="1" applyAlignment="1">
      <alignment vertical="center" wrapText="1"/>
    </xf>
    <xf numFmtId="0" fontId="23" fillId="8" borderId="0" xfId="0" applyFont="1" applyFill="1" applyAlignment="1">
      <alignment vertical="center" wrapText="1"/>
    </xf>
    <xf numFmtId="0" fontId="23" fillId="0" borderId="0" xfId="0" applyFont="1">
      <alignment vertical="center"/>
    </xf>
    <xf numFmtId="0" fontId="25" fillId="17" borderId="1" xfId="0" applyFont="1" applyFill="1" applyBorder="1" applyAlignment="1">
      <alignment horizontal="center" vertical="center"/>
    </xf>
    <xf numFmtId="0" fontId="21" fillId="0" borderId="0" xfId="0" applyFont="1">
      <alignment vertical="center"/>
    </xf>
    <xf numFmtId="0" fontId="31" fillId="0" borderId="22" xfId="0" applyFont="1" applyBorder="1" applyAlignment="1">
      <alignment horizontal="left" vertical="center" wrapText="1"/>
    </xf>
    <xf numFmtId="0" fontId="31" fillId="0" borderId="12" xfId="0" applyFont="1" applyBorder="1" applyAlignment="1">
      <alignment horizontal="left" vertical="center" wrapText="1"/>
    </xf>
    <xf numFmtId="0" fontId="31" fillId="0" borderId="16" xfId="0" applyFont="1" applyBorder="1" applyAlignment="1">
      <alignment horizontal="left" vertical="center" wrapText="1"/>
    </xf>
    <xf numFmtId="0" fontId="31" fillId="0" borderId="23" xfId="0" applyFont="1" applyBorder="1" applyAlignment="1">
      <alignment horizontal="left" vertical="center" wrapText="1"/>
    </xf>
    <xf numFmtId="0" fontId="31" fillId="0" borderId="24" xfId="0" applyFont="1" applyBorder="1" applyAlignment="1">
      <alignment horizontal="left" vertical="center" wrapText="1"/>
    </xf>
    <xf numFmtId="0" fontId="31" fillId="0" borderId="20" xfId="0" applyFont="1" applyBorder="1" applyAlignment="1">
      <alignment horizontal="left" vertical="center" wrapText="1"/>
    </xf>
    <xf numFmtId="178" fontId="31" fillId="8" borderId="1" xfId="0" applyNumberFormat="1" applyFont="1" applyFill="1" applyBorder="1" applyAlignment="1">
      <alignment horizontal="center" vertical="center" wrapText="1"/>
    </xf>
    <xf numFmtId="0" fontId="31" fillId="5" borderId="1" xfId="0" applyNumberFormat="1" applyFont="1" applyFill="1" applyBorder="1" applyAlignment="1">
      <alignment horizontal="center" vertical="center" wrapText="1"/>
    </xf>
    <xf numFmtId="0" fontId="33" fillId="12" borderId="1" xfId="0" applyFont="1" applyFill="1" applyBorder="1" applyAlignment="1">
      <alignment horizontal="center" vertical="center" wrapText="1"/>
    </xf>
    <xf numFmtId="0" fontId="31" fillId="8" borderId="17" xfId="0" applyFont="1" applyFill="1" applyBorder="1" applyAlignment="1">
      <alignment horizontal="center" vertical="center" wrapText="1"/>
    </xf>
    <xf numFmtId="14" fontId="31" fillId="5" borderId="1" xfId="0" applyNumberFormat="1" applyFont="1" applyFill="1" applyBorder="1" applyAlignment="1">
      <alignment horizontal="center" vertical="center" wrapText="1"/>
    </xf>
    <xf numFmtId="14" fontId="31" fillId="5" borderId="10" xfId="0" applyNumberFormat="1" applyFont="1" applyFill="1" applyBorder="1" applyAlignment="1">
      <alignment horizontal="center" vertical="center" wrapText="1"/>
    </xf>
    <xf numFmtId="14" fontId="31" fillId="5" borderId="11" xfId="0" applyNumberFormat="1" applyFont="1" applyFill="1" applyBorder="1" applyAlignment="1">
      <alignment horizontal="center" vertical="center" wrapText="1"/>
    </xf>
    <xf numFmtId="14" fontId="31" fillId="5" borderId="7" xfId="0" applyNumberFormat="1" applyFont="1" applyFill="1" applyBorder="1" applyAlignment="1">
      <alignment horizontal="center" vertical="center" wrapText="1"/>
    </xf>
    <xf numFmtId="0" fontId="53" fillId="0" borderId="0" xfId="10" applyFont="1">
      <alignment vertical="center"/>
    </xf>
    <xf numFmtId="49" fontId="54" fillId="0" borderId="0" xfId="10" applyNumberFormat="1" applyFont="1">
      <alignment vertical="center"/>
    </xf>
    <xf numFmtId="49" fontId="0" fillId="0" borderId="0" xfId="0" applyNumberFormat="1">
      <alignment vertical="center"/>
    </xf>
    <xf numFmtId="0" fontId="0" fillId="0" borderId="0" xfId="0" applyAlignment="1">
      <alignment horizontal="left" vertical="center" wrapText="1"/>
    </xf>
    <xf numFmtId="0" fontId="55" fillId="0" borderId="0" xfId="10" applyFont="1">
      <alignment vertical="center"/>
    </xf>
    <xf numFmtId="0" fontId="44" fillId="11" borderId="1" xfId="0" applyNumberFormat="1" applyFont="1" applyFill="1" applyBorder="1" applyAlignment="1">
      <alignment horizontal="center" vertical="center"/>
    </xf>
    <xf numFmtId="0" fontId="44" fillId="11" borderId="0" xfId="0" applyNumberFormat="1" applyFont="1" applyFill="1" applyAlignment="1">
      <alignment horizontal="center" vertical="center"/>
    </xf>
    <xf numFmtId="0" fontId="0" fillId="7" borderId="0" xfId="0" applyFill="1">
      <alignment vertical="center"/>
    </xf>
    <xf numFmtId="0" fontId="3" fillId="0" borderId="1" xfId="0" applyNumberFormat="1" applyFont="1" applyBorder="1" applyAlignment="1">
      <alignment horizontal="center" vertical="center"/>
    </xf>
    <xf numFmtId="0" fontId="56" fillId="0" borderId="1" xfId="10" applyNumberFormat="1" applyFont="1" applyBorder="1">
      <alignment vertical="center"/>
    </xf>
    <xf numFmtId="0" fontId="57" fillId="0" borderId="1" xfId="0" applyNumberFormat="1" applyFont="1" applyBorder="1">
      <alignment vertical="center"/>
    </xf>
    <xf numFmtId="0" fontId="56" fillId="0" borderId="20" xfId="10" applyFont="1" applyBorder="1">
      <alignment vertical="center"/>
    </xf>
    <xf numFmtId="0" fontId="56" fillId="0" borderId="0" xfId="10" applyFont="1">
      <alignment vertical="center"/>
    </xf>
    <xf numFmtId="0" fontId="44" fillId="0" borderId="0" xfId="0" applyFont="1" applyAlignment="1">
      <alignment horizontal="left" vertical="center" wrapText="1"/>
    </xf>
    <xf numFmtId="0" fontId="44" fillId="0" borderId="0" xfId="0" applyFont="1" applyAlignment="1">
      <alignment horizontal="left" vertical="center"/>
    </xf>
    <xf numFmtId="0" fontId="33" fillId="12" borderId="10" xfId="0" applyFont="1" applyFill="1" applyBorder="1" applyAlignment="1">
      <alignment horizontal="center" vertical="center" wrapText="1"/>
    </xf>
    <xf numFmtId="0" fontId="33" fillId="12" borderId="7" xfId="0" applyFont="1" applyFill="1" applyBorder="1" applyAlignment="1">
      <alignment horizontal="center" vertical="center" wrapText="1"/>
    </xf>
    <xf numFmtId="0" fontId="31" fillId="17" borderId="10" xfId="0" applyFont="1" applyFill="1" applyBorder="1" applyAlignment="1">
      <alignment horizontal="center" vertical="center" wrapText="1"/>
    </xf>
    <xf numFmtId="0" fontId="31" fillId="17" borderId="7" xfId="0" applyFont="1" applyFill="1" applyBorder="1" applyAlignment="1">
      <alignment horizontal="center" vertical="center" wrapText="1"/>
    </xf>
    <xf numFmtId="0" fontId="31" fillId="8" borderId="10" xfId="0" applyFont="1" applyFill="1" applyBorder="1" applyAlignment="1">
      <alignment horizontal="center" vertical="center" wrapText="1"/>
    </xf>
    <xf numFmtId="0" fontId="31" fillId="8" borderId="7" xfId="0" applyFont="1" applyFill="1" applyBorder="1" applyAlignment="1">
      <alignment horizontal="center" vertical="center" wrapText="1"/>
    </xf>
    <xf numFmtId="0" fontId="31" fillId="17" borderId="1" xfId="0" applyFont="1" applyFill="1" applyBorder="1" applyAlignment="1">
      <alignment horizontal="center" vertical="center" wrapText="1"/>
    </xf>
    <xf numFmtId="0" fontId="33" fillId="17" borderId="1" xfId="0" applyFont="1" applyFill="1" applyBorder="1" applyAlignment="1">
      <alignment horizontal="center" vertical="center" wrapText="1"/>
    </xf>
    <xf numFmtId="0" fontId="31" fillId="8" borderId="1" xfId="0" applyNumberFormat="1" applyFont="1" applyFill="1" applyBorder="1" applyAlignment="1">
      <alignment horizontal="center" vertical="center" wrapText="1"/>
    </xf>
    <xf numFmtId="0" fontId="31" fillId="0" borderId="1" xfId="0" applyFont="1" applyBorder="1">
      <alignment vertical="center"/>
    </xf>
    <xf numFmtId="0" fontId="31" fillId="8" borderId="10" xfId="0" applyNumberFormat="1" applyFont="1" applyFill="1" applyBorder="1" applyAlignment="1">
      <alignment horizontal="center" vertical="center" wrapText="1"/>
    </xf>
    <xf numFmtId="0" fontId="31" fillId="8" borderId="7" xfId="0" applyNumberFormat="1" applyFont="1" applyFill="1" applyBorder="1" applyAlignment="1">
      <alignment horizontal="center" vertical="center" wrapText="1"/>
    </xf>
    <xf numFmtId="0" fontId="44" fillId="0" borderId="0" xfId="0" applyFont="1">
      <alignment vertical="center"/>
    </xf>
    <xf numFmtId="3" fontId="31" fillId="8" borderId="1" xfId="0" applyNumberFormat="1" applyFont="1" applyFill="1" applyBorder="1" applyAlignment="1">
      <alignment horizontal="center" vertical="center" wrapText="1"/>
    </xf>
    <xf numFmtId="9" fontId="31" fillId="8" borderId="1" xfId="0" applyNumberFormat="1" applyFont="1" applyFill="1" applyBorder="1" applyAlignment="1">
      <alignment horizontal="center" vertical="center" wrapText="1"/>
    </xf>
    <xf numFmtId="0" fontId="25" fillId="8" borderId="1" xfId="0" applyFont="1" applyFill="1" applyBorder="1" applyAlignment="1">
      <alignment horizontal="center" vertical="center"/>
    </xf>
    <xf numFmtId="8" fontId="25" fillId="8" borderId="1" xfId="0" applyNumberFormat="1" applyFont="1" applyFill="1" applyBorder="1" applyAlignment="1">
      <alignment horizontal="center" vertical="center"/>
    </xf>
    <xf numFmtId="0" fontId="46" fillId="0" borderId="1" xfId="0" applyFont="1" applyBorder="1" applyAlignment="1">
      <alignment horizontal="left" vertical="center" wrapText="1"/>
    </xf>
    <xf numFmtId="0" fontId="46" fillId="0" borderId="1" xfId="0" applyFont="1" applyFill="1" applyBorder="1" applyAlignment="1">
      <alignment horizontal="left" vertical="center" wrapText="1"/>
    </xf>
    <xf numFmtId="6" fontId="31" fillId="8" borderId="1" xfId="0" applyNumberFormat="1" applyFont="1" applyFill="1" applyBorder="1" applyAlignment="1">
      <alignment horizontal="center" vertical="center" wrapText="1"/>
    </xf>
    <xf numFmtId="0" fontId="25" fillId="0" borderId="0" xfId="0" applyFont="1" applyAlignment="1">
      <alignment horizontal="center" vertical="center" wrapText="1"/>
    </xf>
    <xf numFmtId="0" fontId="33" fillId="0" borderId="10" xfId="0" applyFont="1" applyBorder="1" applyAlignment="1">
      <alignment horizontal="left" vertical="center" wrapText="1"/>
    </xf>
    <xf numFmtId="0" fontId="33" fillId="0" borderId="7" xfId="0" applyFont="1" applyBorder="1" applyAlignment="1">
      <alignment horizontal="left" vertical="center" wrapText="1"/>
    </xf>
    <xf numFmtId="0" fontId="25" fillId="18" borderId="1" xfId="0" applyFont="1" applyFill="1" applyBorder="1" applyAlignment="1">
      <alignment horizontal="center" vertical="center"/>
    </xf>
    <xf numFmtId="0" fontId="58" fillId="6" borderId="1" xfId="0" applyFont="1" applyFill="1" applyBorder="1" applyAlignment="1">
      <alignment horizontal="center" vertical="center" wrapText="1"/>
    </xf>
    <xf numFmtId="0" fontId="33" fillId="8" borderId="25" xfId="0" applyFont="1" applyFill="1" applyBorder="1" applyAlignment="1">
      <alignment horizontal="left" vertical="center" wrapText="1"/>
    </xf>
    <xf numFmtId="0" fontId="33" fillId="8" borderId="0" xfId="0" applyFont="1" applyFill="1" applyAlignment="1">
      <alignment horizontal="left" vertical="center" wrapText="1"/>
    </xf>
    <xf numFmtId="0" fontId="11" fillId="0" borderId="0" xfId="0" applyFont="1">
      <alignment vertical="center"/>
    </xf>
    <xf numFmtId="0" fontId="10" fillId="0" borderId="0" xfId="0" applyFont="1" applyAlignment="1">
      <alignment horizontal="left" vertical="center" indent="1"/>
    </xf>
    <xf numFmtId="0" fontId="10" fillId="5" borderId="9" xfId="0" applyFont="1" applyFill="1" applyBorder="1" applyAlignment="1">
      <alignment horizontal="center" vertical="center" wrapText="1"/>
    </xf>
    <xf numFmtId="182" fontId="10" fillId="5" borderId="9" xfId="0" applyNumberFormat="1" applyFont="1" applyFill="1" applyBorder="1" applyAlignment="1">
      <alignment horizontal="center" vertical="center" wrapText="1"/>
    </xf>
    <xf numFmtId="3" fontId="10" fillId="5" borderId="9" xfId="0" applyNumberFormat="1" applyFont="1" applyFill="1" applyBorder="1" applyAlignment="1">
      <alignment horizontal="left" vertical="center" wrapText="1"/>
    </xf>
    <xf numFmtId="0" fontId="31" fillId="5" borderId="25" xfId="0" applyFont="1" applyFill="1" applyBorder="1" applyAlignment="1">
      <alignment horizontal="left" vertical="center" wrapText="1"/>
    </xf>
    <xf numFmtId="0" fontId="31" fillId="5" borderId="0" xfId="0" applyFont="1" applyFill="1" applyAlignment="1">
      <alignment horizontal="left" vertical="center" wrapText="1"/>
    </xf>
    <xf numFmtId="0" fontId="25" fillId="5" borderId="25" xfId="0" applyFont="1" applyFill="1" applyBorder="1" applyAlignment="1">
      <alignment horizontal="left" vertical="center" wrapText="1"/>
    </xf>
    <xf numFmtId="0" fontId="25" fillId="5" borderId="0" xfId="0" applyFont="1" applyFill="1" applyAlignment="1">
      <alignment horizontal="left" vertical="center" wrapText="1"/>
    </xf>
    <xf numFmtId="9" fontId="25" fillId="5" borderId="1" xfId="0" applyNumberFormat="1" applyFont="1" applyFill="1" applyBorder="1" applyAlignment="1">
      <alignment horizontal="center" vertical="center" wrapText="1"/>
    </xf>
    <xf numFmtId="3" fontId="25" fillId="5" borderId="1" xfId="0" applyNumberFormat="1" applyFont="1" applyFill="1" applyBorder="1" applyAlignment="1">
      <alignment horizontal="center" vertical="center" wrapText="1"/>
    </xf>
    <xf numFmtId="8" fontId="25" fillId="5" borderId="1" xfId="0" applyNumberFormat="1" applyFont="1" applyFill="1" applyBorder="1" applyAlignment="1">
      <alignment horizontal="center" vertical="center" wrapText="1"/>
    </xf>
    <xf numFmtId="0" fontId="25" fillId="5" borderId="1" xfId="0" applyFont="1" applyFill="1" applyBorder="1" applyAlignment="1">
      <alignment horizontal="center" vertical="center"/>
    </xf>
    <xf numFmtId="0" fontId="24" fillId="6" borderId="1" xfId="0" applyFont="1" applyFill="1" applyBorder="1" applyAlignment="1">
      <alignment horizontal="left" vertical="center" wrapText="1"/>
    </xf>
    <xf numFmtId="0" fontId="25" fillId="5" borderId="1" xfId="0" applyFont="1" applyFill="1" applyBorder="1" applyAlignment="1">
      <alignment horizontal="left" vertical="center" wrapText="1"/>
    </xf>
    <xf numFmtId="10" fontId="31" fillId="8" borderId="1" xfId="0" applyNumberFormat="1" applyFont="1" applyFill="1" applyBorder="1" applyAlignment="1">
      <alignment horizontal="center" vertical="center" wrapText="1"/>
    </xf>
    <xf numFmtId="0" fontId="31" fillId="0" borderId="1" xfId="0" applyFont="1" applyBorder="1" applyAlignment="1">
      <alignment horizontal="center" vertical="center" wrapText="1"/>
    </xf>
    <xf numFmtId="0" fontId="58" fillId="6" borderId="8" xfId="0" applyFont="1" applyFill="1" applyBorder="1" applyAlignment="1">
      <alignment horizontal="center" vertical="center" wrapText="1"/>
    </xf>
    <xf numFmtId="10" fontId="25" fillId="5" borderId="1" xfId="0" applyNumberFormat="1" applyFont="1" applyFill="1" applyBorder="1" applyAlignment="1">
      <alignment horizontal="center" vertical="center" wrapText="1"/>
    </xf>
    <xf numFmtId="6" fontId="25" fillId="5" borderId="1" xfId="0" applyNumberFormat="1" applyFont="1" applyFill="1" applyBorder="1" applyAlignment="1">
      <alignment horizontal="center" vertical="center" wrapText="1"/>
    </xf>
    <xf numFmtId="0" fontId="29" fillId="0" borderId="0" xfId="0" applyFont="1" applyFill="1" applyAlignment="1">
      <alignment horizontal="left" vertical="top"/>
    </xf>
    <xf numFmtId="0" fontId="58" fillId="6" borderId="8" xfId="0" applyFont="1" applyFill="1" applyBorder="1" applyAlignment="1">
      <alignment horizontal="left" vertical="center" wrapText="1"/>
    </xf>
    <xf numFmtId="0" fontId="45" fillId="5" borderId="1" xfId="0" applyFont="1" applyFill="1" applyBorder="1" applyAlignment="1">
      <alignment horizontal="center" vertical="center" wrapText="1"/>
    </xf>
    <xf numFmtId="0" fontId="4" fillId="4" borderId="0" xfId="0" applyFont="1" applyFill="1" applyAlignment="1">
      <alignment horizontal="center" vertical="center"/>
    </xf>
    <xf numFmtId="0" fontId="5" fillId="4" borderId="13" xfId="0" applyFont="1" applyFill="1" applyBorder="1" applyAlignment="1">
      <alignment horizontal="center" vertical="center"/>
    </xf>
    <xf numFmtId="0" fontId="5" fillId="4" borderId="0" xfId="0" applyFont="1" applyFill="1" applyAlignment="1">
      <alignment horizontal="center" vertical="center"/>
    </xf>
    <xf numFmtId="0" fontId="59" fillId="6" borderId="1" xfId="0" applyFont="1" applyFill="1" applyBorder="1" applyAlignment="1">
      <alignment horizontal="center" vertical="center" wrapText="1"/>
    </xf>
    <xf numFmtId="0" fontId="60" fillId="0" borderId="1" xfId="0" applyFont="1" applyBorder="1" applyAlignment="1">
      <alignment horizontal="left" vertical="center" wrapText="1"/>
    </xf>
    <xf numFmtId="0" fontId="12" fillId="9" borderId="1" xfId="0" applyFont="1" applyFill="1" applyBorder="1" applyAlignment="1">
      <alignment horizontal="center" vertical="center"/>
    </xf>
    <xf numFmtId="0" fontId="11" fillId="9" borderId="1" xfId="0" applyFont="1" applyFill="1" applyBorder="1" applyAlignment="1">
      <alignment horizontal="center" vertical="center"/>
    </xf>
    <xf numFmtId="0" fontId="45" fillId="0" borderId="1" xfId="0" applyFont="1" applyBorder="1" applyAlignment="1">
      <alignment horizontal="center" vertical="center"/>
    </xf>
    <xf numFmtId="0" fontId="0" fillId="19" borderId="0" xfId="0" applyFill="1">
      <alignment vertical="center"/>
    </xf>
    <xf numFmtId="0" fontId="61" fillId="20" borderId="0" xfId="0" applyFont="1" applyFill="1" applyProtection="1">
      <alignment vertical="center"/>
      <protection locked="0"/>
    </xf>
    <xf numFmtId="0" fontId="9" fillId="3" borderId="2" xfId="0" applyFont="1" applyFill="1" applyBorder="1">
      <alignment vertical="center"/>
    </xf>
    <xf numFmtId="0" fontId="3" fillId="7" borderId="27" xfId="0" applyFont="1" applyFill="1" applyBorder="1" applyAlignment="1" applyProtection="1">
      <alignment horizontal="center" vertical="center"/>
      <protection locked="0"/>
    </xf>
    <xf numFmtId="0" fontId="3" fillId="3" borderId="2" xfId="0" applyFont="1" applyFill="1" applyBorder="1" applyAlignment="1">
      <alignment horizontal="center" vertical="center"/>
    </xf>
    <xf numFmtId="0" fontId="62" fillId="3" borderId="2" xfId="0" applyFont="1" applyFill="1" applyBorder="1">
      <alignment vertical="center"/>
    </xf>
    <xf numFmtId="0" fontId="61" fillId="20" borderId="0" xfId="0" applyFont="1" applyFill="1">
      <alignment vertical="center"/>
    </xf>
    <xf numFmtId="0" fontId="9" fillId="9" borderId="28" xfId="0" applyFont="1" applyFill="1" applyBorder="1" applyAlignment="1">
      <alignment horizontal="center" vertical="center"/>
    </xf>
    <xf numFmtId="0" fontId="9" fillId="9" borderId="29" xfId="0" applyFont="1" applyFill="1" applyBorder="1" applyAlignment="1">
      <alignment horizontal="center" vertical="center"/>
    </xf>
    <xf numFmtId="0" fontId="9" fillId="9" borderId="30" xfId="0" applyFont="1" applyFill="1" applyBorder="1" applyAlignment="1">
      <alignment horizontal="center" vertical="center"/>
    </xf>
    <xf numFmtId="0" fontId="25" fillId="0" borderId="31" xfId="0" applyFont="1" applyBorder="1" applyAlignment="1">
      <alignment horizontal="center" vertical="center" wrapText="1"/>
    </xf>
    <xf numFmtId="0" fontId="63" fillId="0" borderId="32" xfId="10" applyFont="1" applyBorder="1" applyAlignment="1">
      <alignment horizontal="left" vertical="center" wrapText="1"/>
    </xf>
    <xf numFmtId="0" fontId="25" fillId="0" borderId="32" xfId="0" applyFont="1" applyBorder="1" applyAlignment="1">
      <alignment vertical="center" wrapText="1"/>
    </xf>
    <xf numFmtId="0" fontId="25" fillId="0" borderId="32" xfId="0" applyFont="1" applyBorder="1" applyAlignment="1">
      <alignment horizontal="center" vertical="center" wrapText="1"/>
    </xf>
    <xf numFmtId="0" fontId="25" fillId="0" borderId="33" xfId="0" applyFont="1" applyBorder="1" applyAlignment="1">
      <alignment vertical="center" wrapText="1"/>
    </xf>
    <xf numFmtId="0" fontId="53" fillId="0" borderId="0" xfId="12">
      <alignment vertical="center"/>
    </xf>
    <xf numFmtId="0" fontId="25" fillId="0" borderId="34" xfId="0" applyFont="1" applyBorder="1" applyAlignment="1">
      <alignment horizontal="center" vertical="center" wrapText="1"/>
    </xf>
    <xf numFmtId="0" fontId="63" fillId="0" borderId="35" xfId="10" applyFont="1" applyBorder="1" applyAlignment="1">
      <alignment horizontal="left" vertical="center" wrapText="1"/>
    </xf>
    <xf numFmtId="0" fontId="25" fillId="0" borderId="35" xfId="0" applyFont="1" applyBorder="1" applyAlignment="1">
      <alignment vertical="center" wrapText="1"/>
    </xf>
    <xf numFmtId="0" fontId="25" fillId="0" borderId="35" xfId="0" applyFont="1" applyBorder="1" applyAlignment="1">
      <alignment horizontal="center" vertical="center" wrapText="1"/>
    </xf>
    <xf numFmtId="0" fontId="25" fillId="0" borderId="36" xfId="0" applyFont="1" applyBorder="1" applyAlignment="1">
      <alignment vertical="center" wrapText="1"/>
    </xf>
    <xf numFmtId="0" fontId="25" fillId="0" borderId="1" xfId="0" applyFont="1" applyBorder="1" applyAlignment="1" quotePrefix="1">
      <alignment horizontal="center" vertical="center"/>
    </xf>
    <xf numFmtId="0" fontId="31" fillId="5" borderId="1" xfId="0" applyFont="1" applyFill="1" applyBorder="1" applyAlignment="1" quotePrefix="1">
      <alignment horizontal="center" vertical="center" wrapText="1"/>
    </xf>
    <xf numFmtId="0" fontId="3" fillId="0" borderId="1" xfId="0" applyFont="1" applyBorder="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4" Type="http://schemas.openxmlformats.org/officeDocument/2006/relationships/sharedStrings" Target="sharedStrings.xml"/><Relationship Id="rId273" Type="http://schemas.openxmlformats.org/officeDocument/2006/relationships/styles" Target="styles.xml"/><Relationship Id="rId272" Type="http://schemas.openxmlformats.org/officeDocument/2006/relationships/theme" Target="theme/theme1.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trlProps/ctrlProp1.xml><?xml version="1.0" encoding="utf-8"?>
<formControlPr xmlns="http://schemas.microsoft.com/office/spreadsheetml/2009/9/main" objectType="Spin" dx="16" fmlaLink="$G$1" horiz="1" max="2" min="1" page="10" val="1"/>
</file>

<file path=xl/drawings/_rels/drawing1.xml.rels><?xml version="1.0" encoding="UTF-8" standalone="yes"?>
<Relationships xmlns="http://schemas.openxmlformats.org/package/2006/relationships"><Relationship Id="rId1" Type="http://schemas.openxmlformats.org/officeDocument/2006/relationships/hyperlink" Target="#&#35828;&#26126;!A1"/></Relationships>
</file>

<file path=xl/drawings/_rels/drawing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39318;&#39029;!A1"/></Relationships>
</file>

<file path=xl/drawings/_rels/drawing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39318;&#39029;!A1"/></Relationships>
</file>

<file path=xl/drawings/_rels/drawing1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39318;&#39029;!A1"/></Relationships>
</file>

<file path=xl/drawings/_rels/drawing1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hyperlink" Target="#&#39318;&#39029;!A1"/></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39318;&#39029;!A1"/></Relationships>
</file>

<file path=xl/drawings/_rels/drawing2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hyperlink" Target="#&#39318;&#39029;!A1"/></Relationships>
</file>

<file path=xl/drawings/_rels/drawing2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39318;&#39029;!A1"/></Relationships>
</file>

<file path=xl/drawings/_rels/drawing2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39318;&#39029;!A1"/></Relationships>
</file>

<file path=xl/drawings/_rels/drawing3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hyperlink" Target="#&#39318;&#39029;!A1"/></Relationships>
</file>

<file path=xl/drawings/_rels/drawing3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39318;&#39029;!A1"/></Relationships>
</file>

<file path=xl/drawings/_rels/drawing3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3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hyperlink" Target="#&#39318;&#39029;!A1"/></Relationships>
</file>

<file path=xl/drawings/_rels/drawing3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hyperlink" Target="#&#39318;&#39029;!A1"/></Relationships>
</file>

<file path=xl/drawings/_rels/drawing3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hyperlink" Target="#&#39318;&#39029;!A1"/></Relationships>
</file>

<file path=xl/drawings/_rels/drawing4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4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hyperlink" Target="#&#39318;&#39029;!A1"/></Relationships>
</file>

<file path=xl/drawings/_rels/drawing5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hyperlink" Target="#&#39318;&#39029;!A1"/></Relationships>
</file>

<file path=xl/drawings/_rels/drawing5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hyperlink" Target="#&#39318;&#39029;!A1"/></Relationships>
</file>

<file path=xl/drawings/_rels/drawing5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5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hyperlink" Target="#&#39318;&#39029;!A1"/></Relationships>
</file>

<file path=xl/drawings/_rels/drawing5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hyperlink" Target="#&#39318;&#39029;!A1"/></Relationships>
</file>

<file path=xl/drawings/_rels/drawing6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hyperlink" Target="#&#39318;&#39029;!A1"/></Relationships>
</file>

<file path=xl/drawings/_rels/drawing6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hyperlink" Target="#&#39318;&#39029;!A1"/></Relationships>
</file>

<file path=xl/drawings/_rels/drawing6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6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3.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4.jpeg"/><Relationship Id="rId1" Type="http://schemas.openxmlformats.org/officeDocument/2006/relationships/hyperlink" Target="#&#39318;&#39029;!A1"/></Relationships>
</file>

<file path=xl/drawings/_rels/drawing7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7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89.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5.jpeg"/><Relationship Id="rId1" Type="http://schemas.openxmlformats.org/officeDocument/2006/relationships/hyperlink" Target="#&#39318;&#39029;!A1"/></Relationships>
</file>

<file path=xl/drawings/_rels/drawing9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9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07.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6.jpeg"/><Relationship Id="rId1" Type="http://schemas.openxmlformats.org/officeDocument/2006/relationships/hyperlink" Target="#&#39318;&#39029;!A1"/></Relationships>
</file>

<file path=xl/drawings/_rels/drawing108.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7.jpeg"/><Relationship Id="rId1" Type="http://schemas.openxmlformats.org/officeDocument/2006/relationships/hyperlink" Target="#&#39318;&#39029;!A1"/></Relationships>
</file>

<file path=xl/drawings/_rels/drawing10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1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6.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8.jpeg"/><Relationship Id="rId1" Type="http://schemas.openxmlformats.org/officeDocument/2006/relationships/hyperlink" Target="#&#39318;&#39029;!A1"/></Relationships>
</file>

<file path=xl/drawings/_rels/drawing127.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9.jpeg"/><Relationship Id="rId1" Type="http://schemas.openxmlformats.org/officeDocument/2006/relationships/hyperlink" Target="#&#39318;&#39029;!A1"/></Relationships>
</file>

<file path=xl/drawings/_rels/drawing12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2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4.xml.rels><?xml version="1.0" encoding="UTF-8" standalone="yes"?>
<Relationships xmlns="http://schemas.openxmlformats.org/package/2006/relationships"><Relationship Id="rId4" Type="http://schemas.openxmlformats.org/officeDocument/2006/relationships/image" Target="../media/image31.jpeg"/><Relationship Id="rId3" Type="http://schemas.openxmlformats.org/officeDocument/2006/relationships/image" Target="NULL" TargetMode="External"/><Relationship Id="rId2" Type="http://schemas.openxmlformats.org/officeDocument/2006/relationships/image" Target="../media/image30.jpeg"/><Relationship Id="rId1" Type="http://schemas.openxmlformats.org/officeDocument/2006/relationships/hyperlink" Target="#&#39318;&#39029;!A1"/></Relationships>
</file>

<file path=xl/drawings/_rels/drawing13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3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4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5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6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7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8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19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0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1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2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3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4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3.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hyperlink" Target="#&#39318;&#39029;!A1"/></Relationships>
</file>

<file path=xl/drawings/_rels/drawing25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6.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8.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59.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0.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1.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2.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3.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4.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5.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hyperlink" Target="#&#39318;&#39029;!A1"/></Relationships>
</file>

<file path=xl/drawings/_rels/drawing267.xml.rels><?xml version="1.0" encoding="UTF-8" standalone="yes"?>
<Relationships xmlns="http://schemas.openxmlformats.org/package/2006/relationships"><Relationship Id="rId1" Type="http://schemas.openxmlformats.org/officeDocument/2006/relationships/hyperlink" Target="#&#39318;&#39029;!A1"/></Relationships>
</file>

<file path=xl/drawings/_rels/drawing268.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hyperlink" Target="#&#39318;&#39029;!A1"/></Relationships>
</file>

<file path=xl/drawings/_rels/drawing269.xml.rels><?xml version="1.0" encoding="UTF-8" standalone="yes"?>
<Relationships xmlns="http://schemas.openxmlformats.org/package/2006/relationships"><Relationship Id="rId1" Type="http://schemas.openxmlformats.org/officeDocument/2006/relationships/hyperlink" Target="#&#39318;&#39029;!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2</xdr:col>
      <xdr:colOff>1038860</xdr:colOff>
      <xdr:row>0</xdr:row>
      <xdr:rowOff>10795</xdr:rowOff>
    </xdr:from>
    <xdr:to>
      <xdr:col>2</xdr:col>
      <xdr:colOff>1332865</xdr:colOff>
      <xdr:row>0</xdr:row>
      <xdr:rowOff>264160</xdr:rowOff>
    </xdr:to>
    <xdr:grpSp>
      <xdr:nvGrpSpPr>
        <xdr:cNvPr id="2" name="组合 1">
          <a:hlinkClick xmlns:r="http://schemas.openxmlformats.org/officeDocument/2006/relationships" r:id="rId1"/>
        </xdr:cNvPr>
        <xdr:cNvGrpSpPr/>
      </xdr:nvGrpSpPr>
      <xdr:grpSpPr>
        <a:xfrm>
          <a:off x="2715260" y="10795"/>
          <a:ext cx="294005" cy="253365"/>
          <a:chOff x="4272" y="2659"/>
          <a:chExt cx="5364" cy="4505"/>
        </a:xfrm>
      </xdr:grpSpPr>
      <xdr:sp>
        <xdr:nvSpPr>
          <xdr:cNvPr id="3" name="任意多边形 2"/>
          <xdr:cNvSpPr/>
        </xdr:nvSpPr>
        <xdr:spPr>
          <a:xfrm>
            <a:off x="4272" y="3711"/>
            <a:ext cx="2329" cy="2742"/>
          </a:xfrm>
          <a:custGeom>
            <a:avLst/>
            <a:gdLst>
              <a:gd name="connsiteX0" fmla="*/ 1936 w 2328"/>
              <a:gd name="connsiteY0" fmla="*/ 249 h 2741"/>
              <a:gd name="connsiteX1" fmla="*/ 1906 w 2328"/>
              <a:gd name="connsiteY1" fmla="*/ 864 h 2741"/>
              <a:gd name="connsiteX2" fmla="*/ 1771 w 2328"/>
              <a:gd name="connsiteY2" fmla="*/ 1374 h 2741"/>
              <a:gd name="connsiteX3" fmla="*/ 1036 w 2328"/>
              <a:gd name="connsiteY3" fmla="*/ 1959 h 2741"/>
              <a:gd name="connsiteX4" fmla="*/ 136 w 2328"/>
              <a:gd name="connsiteY4" fmla="*/ 2364 h 2741"/>
              <a:gd name="connsiteX5" fmla="*/ 91 w 2328"/>
              <a:gd name="connsiteY5" fmla="*/ 2724 h 2741"/>
              <a:gd name="connsiteX6" fmla="*/ 706 w 2328"/>
              <a:gd name="connsiteY6" fmla="*/ 2589 h 2741"/>
              <a:gd name="connsiteX7" fmla="*/ 1711 w 2328"/>
              <a:gd name="connsiteY7" fmla="*/ 2004 h 2741"/>
              <a:gd name="connsiteX8" fmla="*/ 2221 w 2328"/>
              <a:gd name="connsiteY8" fmla="*/ 1419 h 2741"/>
              <a:gd name="connsiteX9" fmla="*/ 2311 w 2328"/>
              <a:gd name="connsiteY9" fmla="*/ 339 h 2741"/>
              <a:gd name="connsiteX10" fmla="*/ 2281 w 2328"/>
              <a:gd name="connsiteY10" fmla="*/ 39 h 2741"/>
              <a:gd name="connsiteX11" fmla="*/ 1936 w 2328"/>
              <a:gd name="connsiteY11" fmla="*/ 39 h 2741"/>
              <a:gd name="connsiteX12" fmla="*/ 1936 w 2328"/>
              <a:gd name="connsiteY12" fmla="*/ 249 h 27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29" h="2742">
                <a:moveTo>
                  <a:pt x="1936" y="249"/>
                </a:moveTo>
                <a:cubicBezTo>
                  <a:pt x="1930" y="414"/>
                  <a:pt x="1942" y="633"/>
                  <a:pt x="1906" y="864"/>
                </a:cubicBezTo>
                <a:cubicBezTo>
                  <a:pt x="1870" y="1095"/>
                  <a:pt x="1831" y="1269"/>
                  <a:pt x="1771" y="1374"/>
                </a:cubicBezTo>
                <a:cubicBezTo>
                  <a:pt x="1711" y="1479"/>
                  <a:pt x="1360" y="1767"/>
                  <a:pt x="1036" y="1959"/>
                </a:cubicBezTo>
                <a:cubicBezTo>
                  <a:pt x="712" y="2151"/>
                  <a:pt x="325" y="2211"/>
                  <a:pt x="136" y="2364"/>
                </a:cubicBezTo>
                <a:cubicBezTo>
                  <a:pt x="-53" y="2517"/>
                  <a:pt x="-23" y="2679"/>
                  <a:pt x="91" y="2724"/>
                </a:cubicBezTo>
                <a:cubicBezTo>
                  <a:pt x="205" y="2769"/>
                  <a:pt x="382" y="2733"/>
                  <a:pt x="706" y="2589"/>
                </a:cubicBezTo>
                <a:cubicBezTo>
                  <a:pt x="1030" y="2445"/>
                  <a:pt x="1408" y="2238"/>
                  <a:pt x="1711" y="2004"/>
                </a:cubicBezTo>
                <a:cubicBezTo>
                  <a:pt x="2014" y="1770"/>
                  <a:pt x="2101" y="1752"/>
                  <a:pt x="2221" y="1419"/>
                </a:cubicBezTo>
                <a:cubicBezTo>
                  <a:pt x="2341" y="1086"/>
                  <a:pt x="2299" y="615"/>
                  <a:pt x="2311" y="339"/>
                </a:cubicBezTo>
                <a:cubicBezTo>
                  <a:pt x="2323" y="63"/>
                  <a:pt x="2356" y="99"/>
                  <a:pt x="2281" y="39"/>
                </a:cubicBezTo>
                <a:cubicBezTo>
                  <a:pt x="2206" y="-21"/>
                  <a:pt x="2005" y="-3"/>
                  <a:pt x="1936" y="39"/>
                </a:cubicBezTo>
                <a:cubicBezTo>
                  <a:pt x="1867" y="81"/>
                  <a:pt x="1942" y="84"/>
                  <a:pt x="1936" y="249"/>
                </a:cubicBezTo>
                <a:close/>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4" name="任意多边形 3"/>
          <xdr:cNvSpPr/>
        </xdr:nvSpPr>
        <xdr:spPr>
          <a:xfrm flipH="1">
            <a:off x="7307" y="3711"/>
            <a:ext cx="2329" cy="2742"/>
          </a:xfrm>
          <a:custGeom>
            <a:avLst/>
            <a:gdLst>
              <a:gd name="connsiteX0" fmla="*/ 1936 w 2328"/>
              <a:gd name="connsiteY0" fmla="*/ 249 h 2741"/>
              <a:gd name="connsiteX1" fmla="*/ 1906 w 2328"/>
              <a:gd name="connsiteY1" fmla="*/ 864 h 2741"/>
              <a:gd name="connsiteX2" fmla="*/ 1771 w 2328"/>
              <a:gd name="connsiteY2" fmla="*/ 1374 h 2741"/>
              <a:gd name="connsiteX3" fmla="*/ 1036 w 2328"/>
              <a:gd name="connsiteY3" fmla="*/ 1959 h 2741"/>
              <a:gd name="connsiteX4" fmla="*/ 136 w 2328"/>
              <a:gd name="connsiteY4" fmla="*/ 2364 h 2741"/>
              <a:gd name="connsiteX5" fmla="*/ 91 w 2328"/>
              <a:gd name="connsiteY5" fmla="*/ 2724 h 2741"/>
              <a:gd name="connsiteX6" fmla="*/ 706 w 2328"/>
              <a:gd name="connsiteY6" fmla="*/ 2589 h 2741"/>
              <a:gd name="connsiteX7" fmla="*/ 1711 w 2328"/>
              <a:gd name="connsiteY7" fmla="*/ 2004 h 2741"/>
              <a:gd name="connsiteX8" fmla="*/ 2221 w 2328"/>
              <a:gd name="connsiteY8" fmla="*/ 1419 h 2741"/>
              <a:gd name="connsiteX9" fmla="*/ 2311 w 2328"/>
              <a:gd name="connsiteY9" fmla="*/ 339 h 2741"/>
              <a:gd name="connsiteX10" fmla="*/ 2281 w 2328"/>
              <a:gd name="connsiteY10" fmla="*/ 39 h 2741"/>
              <a:gd name="connsiteX11" fmla="*/ 1936 w 2328"/>
              <a:gd name="connsiteY11" fmla="*/ 39 h 2741"/>
              <a:gd name="connsiteX12" fmla="*/ 1936 w 2328"/>
              <a:gd name="connsiteY12" fmla="*/ 249 h 27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329" h="2742">
                <a:moveTo>
                  <a:pt x="1936" y="249"/>
                </a:moveTo>
                <a:cubicBezTo>
                  <a:pt x="1930" y="414"/>
                  <a:pt x="1942" y="633"/>
                  <a:pt x="1906" y="864"/>
                </a:cubicBezTo>
                <a:cubicBezTo>
                  <a:pt x="1870" y="1095"/>
                  <a:pt x="1831" y="1269"/>
                  <a:pt x="1771" y="1374"/>
                </a:cubicBezTo>
                <a:cubicBezTo>
                  <a:pt x="1711" y="1479"/>
                  <a:pt x="1360" y="1767"/>
                  <a:pt x="1036" y="1959"/>
                </a:cubicBezTo>
                <a:cubicBezTo>
                  <a:pt x="712" y="2151"/>
                  <a:pt x="325" y="2211"/>
                  <a:pt x="136" y="2364"/>
                </a:cubicBezTo>
                <a:cubicBezTo>
                  <a:pt x="-53" y="2517"/>
                  <a:pt x="-23" y="2679"/>
                  <a:pt x="91" y="2724"/>
                </a:cubicBezTo>
                <a:cubicBezTo>
                  <a:pt x="205" y="2769"/>
                  <a:pt x="382" y="2733"/>
                  <a:pt x="706" y="2589"/>
                </a:cubicBezTo>
                <a:cubicBezTo>
                  <a:pt x="1030" y="2445"/>
                  <a:pt x="1408" y="2238"/>
                  <a:pt x="1711" y="2004"/>
                </a:cubicBezTo>
                <a:cubicBezTo>
                  <a:pt x="2014" y="1770"/>
                  <a:pt x="2101" y="1752"/>
                  <a:pt x="2221" y="1419"/>
                </a:cubicBezTo>
                <a:cubicBezTo>
                  <a:pt x="2341" y="1086"/>
                  <a:pt x="2299" y="615"/>
                  <a:pt x="2311" y="339"/>
                </a:cubicBezTo>
                <a:cubicBezTo>
                  <a:pt x="2323" y="63"/>
                  <a:pt x="2356" y="99"/>
                  <a:pt x="2281" y="39"/>
                </a:cubicBezTo>
                <a:cubicBezTo>
                  <a:pt x="2206" y="-21"/>
                  <a:pt x="2005" y="-3"/>
                  <a:pt x="1936" y="39"/>
                </a:cubicBezTo>
                <a:cubicBezTo>
                  <a:pt x="1867" y="81"/>
                  <a:pt x="1942" y="84"/>
                  <a:pt x="1936" y="249"/>
                </a:cubicBezTo>
                <a:close/>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nvGrpSpPr>
          <xdr:cNvPr id="5" name="组合 4"/>
          <xdr:cNvGrpSpPr/>
        </xdr:nvGrpSpPr>
        <xdr:grpSpPr>
          <a:xfrm>
            <a:off x="4542" y="2659"/>
            <a:ext cx="4862" cy="4505"/>
            <a:chOff x="4542" y="2659"/>
            <a:chExt cx="4862" cy="4505"/>
          </a:xfrm>
        </xdr:grpSpPr>
        <xdr:sp>
          <xdr:nvSpPr>
            <xdr:cNvPr id="6" name="任意多边形 5"/>
            <xdr:cNvSpPr/>
          </xdr:nvSpPr>
          <xdr:spPr>
            <a:xfrm>
              <a:off x="4542" y="3986"/>
              <a:ext cx="1692" cy="1688"/>
            </a:xfrm>
            <a:custGeom>
              <a:avLst/>
              <a:gdLst>
                <a:gd name="connsiteX0" fmla="*/ 1346 w 1691"/>
                <a:gd name="connsiteY0" fmla="*/ 189 h 1688"/>
                <a:gd name="connsiteX1" fmla="*/ 1127 w 1691"/>
                <a:gd name="connsiteY1" fmla="*/ 864 h 1688"/>
                <a:gd name="connsiteX2" fmla="*/ 761 w 1691"/>
                <a:gd name="connsiteY2" fmla="*/ 1163 h 1688"/>
                <a:gd name="connsiteX3" fmla="*/ 446 w 1691"/>
                <a:gd name="connsiteY3" fmla="*/ 1268 h 1688"/>
                <a:gd name="connsiteX4" fmla="*/ 47 w 1691"/>
                <a:gd name="connsiteY4" fmla="*/ 1509 h 1688"/>
                <a:gd name="connsiteX5" fmla="*/ 71 w 1691"/>
                <a:gd name="connsiteY5" fmla="*/ 1673 h 1688"/>
                <a:gd name="connsiteX6" fmla="*/ 611 w 1691"/>
                <a:gd name="connsiteY6" fmla="*/ 1628 h 1688"/>
                <a:gd name="connsiteX7" fmla="*/ 1487 w 1691"/>
                <a:gd name="connsiteY7" fmla="*/ 1104 h 1688"/>
                <a:gd name="connsiteX8" fmla="*/ 1691 w 1691"/>
                <a:gd name="connsiteY8" fmla="*/ 354 h 1688"/>
                <a:gd name="connsiteX9" fmla="*/ 1616 w 1691"/>
                <a:gd name="connsiteY9" fmla="*/ 9 h 1688"/>
                <a:gd name="connsiteX10" fmla="*/ 1346 w 1691"/>
                <a:gd name="connsiteY10" fmla="*/ 189 h 16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92" h="1688">
                  <a:moveTo>
                    <a:pt x="1346" y="189"/>
                  </a:moveTo>
                  <a:cubicBezTo>
                    <a:pt x="1283" y="339"/>
                    <a:pt x="1235" y="783"/>
                    <a:pt x="1127" y="864"/>
                  </a:cubicBezTo>
                  <a:cubicBezTo>
                    <a:pt x="1019" y="945"/>
                    <a:pt x="914" y="1091"/>
                    <a:pt x="761" y="1163"/>
                  </a:cubicBezTo>
                  <a:cubicBezTo>
                    <a:pt x="608" y="1235"/>
                    <a:pt x="551" y="1238"/>
                    <a:pt x="446" y="1268"/>
                  </a:cubicBezTo>
                  <a:cubicBezTo>
                    <a:pt x="341" y="1298"/>
                    <a:pt x="104" y="1423"/>
                    <a:pt x="47" y="1509"/>
                  </a:cubicBezTo>
                  <a:cubicBezTo>
                    <a:pt x="-10" y="1595"/>
                    <a:pt x="-28" y="1643"/>
                    <a:pt x="71" y="1673"/>
                  </a:cubicBezTo>
                  <a:cubicBezTo>
                    <a:pt x="170" y="1703"/>
                    <a:pt x="407" y="1691"/>
                    <a:pt x="611" y="1628"/>
                  </a:cubicBezTo>
                  <a:cubicBezTo>
                    <a:pt x="815" y="1565"/>
                    <a:pt x="1370" y="1236"/>
                    <a:pt x="1487" y="1104"/>
                  </a:cubicBezTo>
                  <a:cubicBezTo>
                    <a:pt x="1604" y="972"/>
                    <a:pt x="1703" y="491"/>
                    <a:pt x="1691" y="354"/>
                  </a:cubicBezTo>
                  <a:cubicBezTo>
                    <a:pt x="1679" y="216"/>
                    <a:pt x="1685" y="42"/>
                    <a:pt x="1616" y="9"/>
                  </a:cubicBezTo>
                  <a:cubicBezTo>
                    <a:pt x="1547" y="-24"/>
                    <a:pt x="1409" y="39"/>
                    <a:pt x="1346" y="189"/>
                  </a:cubicBezTo>
                  <a:close/>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7" name="任意多边形 6"/>
            <xdr:cNvSpPr/>
          </xdr:nvSpPr>
          <xdr:spPr>
            <a:xfrm>
              <a:off x="5191" y="3517"/>
              <a:ext cx="1785" cy="3647"/>
            </a:xfrm>
            <a:custGeom>
              <a:avLst/>
              <a:gdLst>
                <a:gd name="connisteX0" fmla="*/ 875963 w 1133588"/>
                <a:gd name="connsiteY0" fmla="*/ 157338 h 2315919"/>
                <a:gd name="connisteX1" fmla="*/ 866438 w 1133588"/>
                <a:gd name="connsiteY1" fmla="*/ 814563 h 2315919"/>
                <a:gd name="connisteX2" fmla="*/ 628313 w 1133588"/>
                <a:gd name="connsiteY2" fmla="*/ 1528938 h 2315919"/>
                <a:gd name="connisteX3" fmla="*/ 266363 w 1133588"/>
                <a:gd name="connsiteY3" fmla="*/ 1919463 h 2315919"/>
                <a:gd name="connisteX4" fmla="*/ 37763 w 1133588"/>
                <a:gd name="connsiteY4" fmla="*/ 2100438 h 2315919"/>
                <a:gd name="connisteX5" fmla="*/ 28238 w 1133588"/>
                <a:gd name="connsiteY5" fmla="*/ 2252838 h 2315919"/>
                <a:gd name="connisteX6" fmla="*/ 237788 w 1133588"/>
                <a:gd name="connsiteY6" fmla="*/ 2281413 h 2315919"/>
                <a:gd name="connisteX7" fmla="*/ 694988 w 1133588"/>
                <a:gd name="connsiteY7" fmla="*/ 1871838 h 2315919"/>
                <a:gd name="connisteX8" fmla="*/ 1028363 w 1133588"/>
                <a:gd name="connsiteY8" fmla="*/ 1186038 h 2315919"/>
                <a:gd name="connisteX9" fmla="*/ 1123613 w 1133588"/>
                <a:gd name="connsiteY9" fmla="*/ 566913 h 2315919"/>
                <a:gd name="connisteX10" fmla="*/ 1095038 w 1133588"/>
                <a:gd name="connsiteY10" fmla="*/ 62088 h 2315919"/>
                <a:gd name="connisteX11" fmla="*/ 875963 w 1133588"/>
                <a:gd name="connsiteY11" fmla="*/ 33513 h 2315919"/>
                <a:gd name="connisteX12" fmla="*/ 875963 w 1133588"/>
                <a:gd name="connsiteY12" fmla="*/ 157338 h 2315919"/>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Lst>
              <a:rect l="l" t="t" r="r" b="b"/>
              <a:pathLst>
                <a:path w="1133589" h="2315919">
                  <a:moveTo>
                    <a:pt x="875964" y="157339"/>
                  </a:moveTo>
                  <a:cubicBezTo>
                    <a:pt x="874059" y="313549"/>
                    <a:pt x="915969" y="540244"/>
                    <a:pt x="866439" y="814564"/>
                  </a:cubicBezTo>
                  <a:cubicBezTo>
                    <a:pt x="816909" y="1088884"/>
                    <a:pt x="748329" y="1307959"/>
                    <a:pt x="628314" y="1528939"/>
                  </a:cubicBezTo>
                  <a:cubicBezTo>
                    <a:pt x="508299" y="1749919"/>
                    <a:pt x="384474" y="1805164"/>
                    <a:pt x="266364" y="1919464"/>
                  </a:cubicBezTo>
                  <a:cubicBezTo>
                    <a:pt x="148254" y="2033764"/>
                    <a:pt x="85389" y="2033764"/>
                    <a:pt x="37764" y="2100439"/>
                  </a:cubicBezTo>
                  <a:cubicBezTo>
                    <a:pt x="-9861" y="2167114"/>
                    <a:pt x="-11766" y="2216644"/>
                    <a:pt x="28239" y="2252839"/>
                  </a:cubicBezTo>
                  <a:cubicBezTo>
                    <a:pt x="68244" y="2289034"/>
                    <a:pt x="104439" y="2357614"/>
                    <a:pt x="237789" y="2281414"/>
                  </a:cubicBezTo>
                  <a:cubicBezTo>
                    <a:pt x="371139" y="2205214"/>
                    <a:pt x="536874" y="2090914"/>
                    <a:pt x="694989" y="1871839"/>
                  </a:cubicBezTo>
                  <a:cubicBezTo>
                    <a:pt x="853104" y="1652764"/>
                    <a:pt x="942639" y="1447024"/>
                    <a:pt x="1028364" y="1186039"/>
                  </a:cubicBezTo>
                  <a:cubicBezTo>
                    <a:pt x="1114089" y="925054"/>
                    <a:pt x="1110279" y="791704"/>
                    <a:pt x="1123614" y="566914"/>
                  </a:cubicBezTo>
                  <a:cubicBezTo>
                    <a:pt x="1136949" y="342124"/>
                    <a:pt x="1144569" y="168769"/>
                    <a:pt x="1095039" y="62089"/>
                  </a:cubicBezTo>
                  <a:cubicBezTo>
                    <a:pt x="1045509" y="-44591"/>
                    <a:pt x="919779" y="14464"/>
                    <a:pt x="875964" y="33514"/>
                  </a:cubicBezTo>
                  <a:cubicBezTo>
                    <a:pt x="832149" y="52564"/>
                    <a:pt x="877869" y="1129"/>
                    <a:pt x="875964" y="157339"/>
                  </a:cubicBezTo>
                  <a:close/>
                </a:path>
              </a:pathLst>
            </a:custGeom>
            <a:solidFill>
              <a:schemeClr val="bg1">
                <a:alpha val="83000"/>
              </a:schemeClr>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8" name="任意多边形 7"/>
            <xdr:cNvSpPr/>
          </xdr:nvSpPr>
          <xdr:spPr>
            <a:xfrm flipH="1">
              <a:off x="7712" y="3961"/>
              <a:ext cx="1692" cy="1688"/>
            </a:xfrm>
            <a:custGeom>
              <a:avLst/>
              <a:gdLst>
                <a:gd name="connsiteX0" fmla="*/ 1346 w 1691"/>
                <a:gd name="connsiteY0" fmla="*/ 189 h 1688"/>
                <a:gd name="connsiteX1" fmla="*/ 1127 w 1691"/>
                <a:gd name="connsiteY1" fmla="*/ 864 h 1688"/>
                <a:gd name="connsiteX2" fmla="*/ 761 w 1691"/>
                <a:gd name="connsiteY2" fmla="*/ 1163 h 1688"/>
                <a:gd name="connsiteX3" fmla="*/ 446 w 1691"/>
                <a:gd name="connsiteY3" fmla="*/ 1268 h 1688"/>
                <a:gd name="connsiteX4" fmla="*/ 47 w 1691"/>
                <a:gd name="connsiteY4" fmla="*/ 1509 h 1688"/>
                <a:gd name="connsiteX5" fmla="*/ 71 w 1691"/>
                <a:gd name="connsiteY5" fmla="*/ 1673 h 1688"/>
                <a:gd name="connsiteX6" fmla="*/ 611 w 1691"/>
                <a:gd name="connsiteY6" fmla="*/ 1628 h 1688"/>
                <a:gd name="connsiteX7" fmla="*/ 1487 w 1691"/>
                <a:gd name="connsiteY7" fmla="*/ 1104 h 1688"/>
                <a:gd name="connsiteX8" fmla="*/ 1691 w 1691"/>
                <a:gd name="connsiteY8" fmla="*/ 354 h 1688"/>
                <a:gd name="connsiteX9" fmla="*/ 1616 w 1691"/>
                <a:gd name="connsiteY9" fmla="*/ 9 h 1688"/>
                <a:gd name="connsiteX10" fmla="*/ 1346 w 1691"/>
                <a:gd name="connsiteY10" fmla="*/ 189 h 16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692" h="1688">
                  <a:moveTo>
                    <a:pt x="1346" y="189"/>
                  </a:moveTo>
                  <a:cubicBezTo>
                    <a:pt x="1283" y="339"/>
                    <a:pt x="1235" y="783"/>
                    <a:pt x="1127" y="864"/>
                  </a:cubicBezTo>
                  <a:cubicBezTo>
                    <a:pt x="1019" y="945"/>
                    <a:pt x="914" y="1091"/>
                    <a:pt x="761" y="1163"/>
                  </a:cubicBezTo>
                  <a:cubicBezTo>
                    <a:pt x="608" y="1235"/>
                    <a:pt x="551" y="1238"/>
                    <a:pt x="446" y="1268"/>
                  </a:cubicBezTo>
                  <a:cubicBezTo>
                    <a:pt x="341" y="1298"/>
                    <a:pt x="104" y="1423"/>
                    <a:pt x="47" y="1509"/>
                  </a:cubicBezTo>
                  <a:cubicBezTo>
                    <a:pt x="-10" y="1595"/>
                    <a:pt x="-28" y="1643"/>
                    <a:pt x="71" y="1673"/>
                  </a:cubicBezTo>
                  <a:cubicBezTo>
                    <a:pt x="170" y="1703"/>
                    <a:pt x="407" y="1691"/>
                    <a:pt x="611" y="1628"/>
                  </a:cubicBezTo>
                  <a:cubicBezTo>
                    <a:pt x="815" y="1565"/>
                    <a:pt x="1370" y="1236"/>
                    <a:pt x="1487" y="1104"/>
                  </a:cubicBezTo>
                  <a:cubicBezTo>
                    <a:pt x="1604" y="972"/>
                    <a:pt x="1703" y="491"/>
                    <a:pt x="1691" y="354"/>
                  </a:cubicBezTo>
                  <a:cubicBezTo>
                    <a:pt x="1679" y="216"/>
                    <a:pt x="1685" y="42"/>
                    <a:pt x="1616" y="9"/>
                  </a:cubicBezTo>
                  <a:cubicBezTo>
                    <a:pt x="1547" y="-24"/>
                    <a:pt x="1409" y="39"/>
                    <a:pt x="1346" y="189"/>
                  </a:cubicBezTo>
                  <a:close/>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9" name="任意多边形 8"/>
            <xdr:cNvSpPr/>
          </xdr:nvSpPr>
          <xdr:spPr>
            <a:xfrm flipH="1">
              <a:off x="6950" y="3492"/>
              <a:ext cx="1785" cy="3647"/>
            </a:xfrm>
            <a:custGeom>
              <a:avLst/>
              <a:gdLst>
                <a:gd name="connisteX0" fmla="*/ 875963 w 1133588"/>
                <a:gd name="connsiteY0" fmla="*/ 157338 h 2315919"/>
                <a:gd name="connisteX1" fmla="*/ 866438 w 1133588"/>
                <a:gd name="connsiteY1" fmla="*/ 814563 h 2315919"/>
                <a:gd name="connisteX2" fmla="*/ 628313 w 1133588"/>
                <a:gd name="connsiteY2" fmla="*/ 1528938 h 2315919"/>
                <a:gd name="connisteX3" fmla="*/ 266363 w 1133588"/>
                <a:gd name="connsiteY3" fmla="*/ 1919463 h 2315919"/>
                <a:gd name="connisteX4" fmla="*/ 37763 w 1133588"/>
                <a:gd name="connsiteY4" fmla="*/ 2100438 h 2315919"/>
                <a:gd name="connisteX5" fmla="*/ 28238 w 1133588"/>
                <a:gd name="connsiteY5" fmla="*/ 2252838 h 2315919"/>
                <a:gd name="connisteX6" fmla="*/ 237788 w 1133588"/>
                <a:gd name="connsiteY6" fmla="*/ 2281413 h 2315919"/>
                <a:gd name="connisteX7" fmla="*/ 694988 w 1133588"/>
                <a:gd name="connsiteY7" fmla="*/ 1871838 h 2315919"/>
                <a:gd name="connisteX8" fmla="*/ 1028363 w 1133588"/>
                <a:gd name="connsiteY8" fmla="*/ 1186038 h 2315919"/>
                <a:gd name="connisteX9" fmla="*/ 1123613 w 1133588"/>
                <a:gd name="connsiteY9" fmla="*/ 566913 h 2315919"/>
                <a:gd name="connisteX10" fmla="*/ 1095038 w 1133588"/>
                <a:gd name="connsiteY10" fmla="*/ 62088 h 2315919"/>
                <a:gd name="connisteX11" fmla="*/ 875963 w 1133588"/>
                <a:gd name="connsiteY11" fmla="*/ 33513 h 2315919"/>
                <a:gd name="connisteX12" fmla="*/ 875963 w 1133588"/>
                <a:gd name="connsiteY12" fmla="*/ 157338 h 2315919"/>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Lst>
              <a:rect l="l" t="t" r="r" b="b"/>
              <a:pathLst>
                <a:path w="1133589" h="2315919">
                  <a:moveTo>
                    <a:pt x="875964" y="157339"/>
                  </a:moveTo>
                  <a:cubicBezTo>
                    <a:pt x="874059" y="313549"/>
                    <a:pt x="915969" y="540244"/>
                    <a:pt x="866439" y="814564"/>
                  </a:cubicBezTo>
                  <a:cubicBezTo>
                    <a:pt x="816909" y="1088884"/>
                    <a:pt x="748329" y="1307959"/>
                    <a:pt x="628314" y="1528939"/>
                  </a:cubicBezTo>
                  <a:cubicBezTo>
                    <a:pt x="508299" y="1749919"/>
                    <a:pt x="384474" y="1805164"/>
                    <a:pt x="266364" y="1919464"/>
                  </a:cubicBezTo>
                  <a:cubicBezTo>
                    <a:pt x="148254" y="2033764"/>
                    <a:pt x="85389" y="2033764"/>
                    <a:pt x="37764" y="2100439"/>
                  </a:cubicBezTo>
                  <a:cubicBezTo>
                    <a:pt x="-9861" y="2167114"/>
                    <a:pt x="-11766" y="2216644"/>
                    <a:pt x="28239" y="2252839"/>
                  </a:cubicBezTo>
                  <a:cubicBezTo>
                    <a:pt x="68244" y="2289034"/>
                    <a:pt x="104439" y="2357614"/>
                    <a:pt x="237789" y="2281414"/>
                  </a:cubicBezTo>
                  <a:cubicBezTo>
                    <a:pt x="371139" y="2205214"/>
                    <a:pt x="536874" y="2090914"/>
                    <a:pt x="694989" y="1871839"/>
                  </a:cubicBezTo>
                  <a:cubicBezTo>
                    <a:pt x="853104" y="1652764"/>
                    <a:pt x="942639" y="1447024"/>
                    <a:pt x="1028364" y="1186039"/>
                  </a:cubicBezTo>
                  <a:cubicBezTo>
                    <a:pt x="1114089" y="925054"/>
                    <a:pt x="1110279" y="791704"/>
                    <a:pt x="1123614" y="566914"/>
                  </a:cubicBezTo>
                  <a:cubicBezTo>
                    <a:pt x="1136949" y="342124"/>
                    <a:pt x="1144569" y="168769"/>
                    <a:pt x="1095039" y="62089"/>
                  </a:cubicBezTo>
                  <a:cubicBezTo>
                    <a:pt x="1045509" y="-44591"/>
                    <a:pt x="919779" y="14464"/>
                    <a:pt x="875964" y="33514"/>
                  </a:cubicBezTo>
                  <a:cubicBezTo>
                    <a:pt x="832149" y="52564"/>
                    <a:pt x="877869" y="1129"/>
                    <a:pt x="875964" y="157339"/>
                  </a:cubicBezTo>
                  <a:close/>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0" name="任意多边形 9"/>
            <xdr:cNvSpPr/>
          </xdr:nvSpPr>
          <xdr:spPr>
            <a:xfrm>
              <a:off x="5001" y="2659"/>
              <a:ext cx="3626" cy="2062"/>
            </a:xfrm>
            <a:custGeom>
              <a:avLst/>
              <a:gdLst>
                <a:gd name="connisteX0" fmla="*/ 435075 w 1674211"/>
                <a:gd name="connsiteY0" fmla="*/ 86444 h 805300"/>
                <a:gd name="connisteX1" fmla="*/ 25500 w 1674211"/>
                <a:gd name="connsiteY1" fmla="*/ 372194 h 805300"/>
                <a:gd name="connisteX2" fmla="*/ 139800 w 1674211"/>
                <a:gd name="connsiteY2" fmla="*/ 667469 h 805300"/>
                <a:gd name="connisteX3" fmla="*/ 663675 w 1674211"/>
                <a:gd name="connsiteY3" fmla="*/ 800819 h 805300"/>
                <a:gd name="connisteX4" fmla="*/ 1292325 w 1674211"/>
                <a:gd name="connsiteY4" fmla="*/ 743669 h 805300"/>
                <a:gd name="connisteX5" fmla="*/ 1663800 w 1674211"/>
                <a:gd name="connsiteY5" fmla="*/ 562694 h 805300"/>
                <a:gd name="connisteX6" fmla="*/ 1511400 w 1674211"/>
                <a:gd name="connsiteY6" fmla="*/ 267419 h 805300"/>
                <a:gd name="connisteX7" fmla="*/ 1197075 w 1674211"/>
                <a:gd name="connsiteY7" fmla="*/ 76919 h 805300"/>
                <a:gd name="connisteX8" fmla="*/ 873225 w 1674211"/>
                <a:gd name="connsiteY8" fmla="*/ 719 h 805300"/>
                <a:gd name="connisteX9" fmla="*/ 396975 w 1674211"/>
                <a:gd name="connsiteY9" fmla="*/ 105494 h 805300"/>
                <a:gd name="connisteX10" fmla="*/ 396975 w 1674211"/>
                <a:gd name="connsiteY10" fmla="*/ 115019 h 805300"/>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Lst>
              <a:rect l="l" t="t" r="r" b="b"/>
              <a:pathLst>
                <a:path w="1674211" h="805301">
                  <a:moveTo>
                    <a:pt x="435076" y="86445"/>
                  </a:moveTo>
                  <a:cubicBezTo>
                    <a:pt x="350621" y="137880"/>
                    <a:pt x="84556" y="255990"/>
                    <a:pt x="25501" y="372195"/>
                  </a:cubicBezTo>
                  <a:cubicBezTo>
                    <a:pt x="-33554" y="488400"/>
                    <a:pt x="12166" y="581745"/>
                    <a:pt x="139801" y="667470"/>
                  </a:cubicBezTo>
                  <a:cubicBezTo>
                    <a:pt x="267436" y="753195"/>
                    <a:pt x="433171" y="785580"/>
                    <a:pt x="663676" y="800820"/>
                  </a:cubicBezTo>
                  <a:cubicBezTo>
                    <a:pt x="894181" y="816060"/>
                    <a:pt x="1092301" y="791295"/>
                    <a:pt x="1292326" y="743670"/>
                  </a:cubicBezTo>
                  <a:cubicBezTo>
                    <a:pt x="1492351" y="696045"/>
                    <a:pt x="1619986" y="657945"/>
                    <a:pt x="1663801" y="562695"/>
                  </a:cubicBezTo>
                  <a:cubicBezTo>
                    <a:pt x="1707616" y="467445"/>
                    <a:pt x="1604746" y="364575"/>
                    <a:pt x="1511401" y="267420"/>
                  </a:cubicBezTo>
                  <a:cubicBezTo>
                    <a:pt x="1418056" y="170265"/>
                    <a:pt x="1324711" y="130260"/>
                    <a:pt x="1197076" y="76920"/>
                  </a:cubicBezTo>
                  <a:cubicBezTo>
                    <a:pt x="1069441" y="23580"/>
                    <a:pt x="1033246" y="-4995"/>
                    <a:pt x="873226" y="720"/>
                  </a:cubicBezTo>
                  <a:cubicBezTo>
                    <a:pt x="713206" y="6435"/>
                    <a:pt x="492226" y="82635"/>
                    <a:pt x="396976" y="105495"/>
                  </a:cubicBezTo>
                  <a:cubicBezTo>
                    <a:pt x="301726" y="128355"/>
                    <a:pt x="387451" y="115020"/>
                    <a:pt x="396976" y="115020"/>
                  </a:cubicBezTo>
                </a:path>
              </a:pathLst>
            </a:cu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1" name="圆角矩形 10"/>
            <xdr:cNvSpPr/>
          </xdr:nvSpPr>
          <xdr:spPr>
            <a:xfrm>
              <a:off x="6030" y="3254"/>
              <a:ext cx="330" cy="661"/>
            </a:xfrm>
            <a:prstGeom prst="roundRect">
              <a:avLst>
                <a:gd name="adj" fmla="val 39393"/>
              </a:avLst>
            </a:pr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2" name="圆角矩形 11"/>
            <xdr:cNvSpPr/>
          </xdr:nvSpPr>
          <xdr:spPr>
            <a:xfrm>
              <a:off x="7140" y="3254"/>
              <a:ext cx="330" cy="661"/>
            </a:xfrm>
            <a:prstGeom prst="roundRect">
              <a:avLst>
                <a:gd name="adj" fmla="val 39393"/>
              </a:avLst>
            </a:prstGeom>
            <a:solidFill>
              <a:schemeClr val="bg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3" name="任意多边形 12"/>
            <xdr:cNvSpPr/>
          </xdr:nvSpPr>
          <xdr:spPr>
            <a:xfrm>
              <a:off x="6025" y="3555"/>
              <a:ext cx="330" cy="380"/>
            </a:xfrm>
            <a:custGeom>
              <a:avLst/>
              <a:gdLst>
                <a:gd name="connsiteX0" fmla="*/ 325 w 330"/>
                <a:gd name="connsiteY0" fmla="*/ 0 h 380"/>
                <a:gd name="connsiteX1" fmla="*/ 330 w 330"/>
                <a:gd name="connsiteY1" fmla="*/ 250 h 380"/>
                <a:gd name="connsiteX2" fmla="*/ 200 w 330"/>
                <a:gd name="connsiteY2" fmla="*/ 380 h 380"/>
                <a:gd name="connsiteX3" fmla="*/ 130 w 330"/>
                <a:gd name="connsiteY3" fmla="*/ 380 h 380"/>
                <a:gd name="connsiteX4" fmla="*/ 0 w 330"/>
                <a:gd name="connsiteY4" fmla="*/ 250 h 380"/>
                <a:gd name="connsiteX5" fmla="*/ 325 w 330"/>
                <a:gd name="connsiteY5" fmla="*/ 0 h 3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30" h="380">
                  <a:moveTo>
                    <a:pt x="325" y="0"/>
                  </a:moveTo>
                  <a:lnTo>
                    <a:pt x="330" y="250"/>
                  </a:lnTo>
                  <a:cubicBezTo>
                    <a:pt x="330" y="322"/>
                    <a:pt x="272" y="380"/>
                    <a:pt x="200" y="380"/>
                  </a:cubicBezTo>
                  <a:lnTo>
                    <a:pt x="130" y="380"/>
                  </a:lnTo>
                  <a:cubicBezTo>
                    <a:pt x="58" y="380"/>
                    <a:pt x="0" y="322"/>
                    <a:pt x="0" y="250"/>
                  </a:cubicBezTo>
                  <a:lnTo>
                    <a:pt x="325" y="0"/>
                  </a:lnTo>
                  <a:close/>
                </a:path>
              </a:pathLst>
            </a:custGeom>
            <a:solidFill>
              <a:schemeClr val="tx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4" name="任意多边形 13"/>
            <xdr:cNvSpPr/>
          </xdr:nvSpPr>
          <xdr:spPr>
            <a:xfrm>
              <a:off x="6255" y="4245"/>
              <a:ext cx="1110" cy="206"/>
            </a:xfrm>
            <a:custGeom>
              <a:avLst/>
              <a:gdLst>
                <a:gd name="connisteX0" fmla="*/ 0 w 704850"/>
                <a:gd name="connsiteY0" fmla="*/ 0 h 130738"/>
                <a:gd name="connisteX1" fmla="*/ 171450 w 704850"/>
                <a:gd name="connsiteY1" fmla="*/ 114300 h 130738"/>
                <a:gd name="connisteX2" fmla="*/ 514350 w 704850"/>
                <a:gd name="connsiteY2" fmla="*/ 114300 h 130738"/>
                <a:gd name="connisteX3" fmla="*/ 704850 w 704850"/>
                <a:gd name="connsiteY3" fmla="*/ 9525 h 130738"/>
                <a:gd name="connisteX4" fmla="*/ 762000 w 704850"/>
                <a:gd name="connsiteY4" fmla="*/ -76200 h 130738"/>
              </a:gdLst>
              <a:ahLst/>
              <a:cxnLst>
                <a:cxn ang="0">
                  <a:pos x="connisteX0" y="connsiteY0"/>
                </a:cxn>
                <a:cxn ang="0">
                  <a:pos x="connisteX1" y="connsiteY1"/>
                </a:cxn>
                <a:cxn ang="0">
                  <a:pos x="connisteX2" y="connsiteY2"/>
                </a:cxn>
                <a:cxn ang="0">
                  <a:pos x="connisteX3" y="connsiteY3"/>
                </a:cxn>
                <a:cxn ang="0">
                  <a:pos x="connisteX4" y="connsiteY4"/>
                </a:cxn>
              </a:cxnLst>
              <a:rect l="l" t="t" r="r" b="b"/>
              <a:pathLst>
                <a:path w="704850" h="130738">
                  <a:moveTo>
                    <a:pt x="0" y="0"/>
                  </a:moveTo>
                  <a:cubicBezTo>
                    <a:pt x="27305" y="22860"/>
                    <a:pt x="68580" y="91440"/>
                    <a:pt x="171450" y="114300"/>
                  </a:cubicBezTo>
                  <a:cubicBezTo>
                    <a:pt x="274320" y="137160"/>
                    <a:pt x="407670" y="135255"/>
                    <a:pt x="514350" y="114300"/>
                  </a:cubicBezTo>
                  <a:cubicBezTo>
                    <a:pt x="621030" y="93345"/>
                    <a:pt x="655320" y="47625"/>
                    <a:pt x="704850" y="9525"/>
                  </a:cubicBezTo>
                </a:path>
              </a:pathLst>
            </a:custGeom>
            <a:noFill/>
            <a:ln w="19050">
              <a:solidFill>
                <a:schemeClr val="tx1">
                  <a:lumMod val="65000"/>
                  <a:lumOff val="3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5" name="任意多边形 14"/>
            <xdr:cNvSpPr/>
          </xdr:nvSpPr>
          <xdr:spPr>
            <a:xfrm>
              <a:off x="7150" y="3555"/>
              <a:ext cx="330" cy="380"/>
            </a:xfrm>
            <a:custGeom>
              <a:avLst/>
              <a:gdLst>
                <a:gd name="connsiteX0" fmla="*/ 325 w 330"/>
                <a:gd name="connsiteY0" fmla="*/ 0 h 380"/>
                <a:gd name="connsiteX1" fmla="*/ 330 w 330"/>
                <a:gd name="connsiteY1" fmla="*/ 250 h 380"/>
                <a:gd name="connsiteX2" fmla="*/ 200 w 330"/>
                <a:gd name="connsiteY2" fmla="*/ 380 h 380"/>
                <a:gd name="connsiteX3" fmla="*/ 130 w 330"/>
                <a:gd name="connsiteY3" fmla="*/ 380 h 380"/>
                <a:gd name="connsiteX4" fmla="*/ 0 w 330"/>
                <a:gd name="connsiteY4" fmla="*/ 250 h 380"/>
                <a:gd name="connsiteX5" fmla="*/ 325 w 330"/>
                <a:gd name="connsiteY5" fmla="*/ 0 h 3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30" h="380">
                  <a:moveTo>
                    <a:pt x="325" y="0"/>
                  </a:moveTo>
                  <a:lnTo>
                    <a:pt x="330" y="250"/>
                  </a:lnTo>
                  <a:cubicBezTo>
                    <a:pt x="330" y="322"/>
                    <a:pt x="272" y="380"/>
                    <a:pt x="200" y="380"/>
                  </a:cubicBezTo>
                  <a:lnTo>
                    <a:pt x="130" y="380"/>
                  </a:lnTo>
                  <a:cubicBezTo>
                    <a:pt x="58" y="380"/>
                    <a:pt x="0" y="322"/>
                    <a:pt x="0" y="250"/>
                  </a:cubicBezTo>
                  <a:lnTo>
                    <a:pt x="325" y="0"/>
                  </a:lnTo>
                  <a:close/>
                </a:path>
              </a:pathLst>
            </a:custGeom>
            <a:solidFill>
              <a:schemeClr val="tx1"/>
            </a:solidFill>
            <a:ln>
              <a:solidFill>
                <a:schemeClr val="bg1">
                  <a:lumMod val="75000"/>
                  <a:alpha val="2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grpSp>
    <xdr:clientData/>
  </xdr:twoCellAnchor>
  <mc:AlternateContent xmlns:mc="http://schemas.openxmlformats.org/markup-compatibility/2006">
    <mc:Choice xmlns:a14="http://schemas.microsoft.com/office/drawing/2010/main" Requires="a14">
      <xdr:twoCellAnchor editAs="oneCell">
        <xdr:from>
          <xdr:col>4</xdr:col>
          <xdr:colOff>276225</xdr:colOff>
          <xdr:row>0</xdr:row>
          <xdr:rowOff>27305</xdr:rowOff>
        </xdr:from>
        <xdr:to>
          <xdr:col>4</xdr:col>
          <xdr:colOff>485775</xdr:colOff>
          <xdr:row>1</xdr:row>
          <xdr:rowOff>0</xdr:rowOff>
        </xdr:to>
        <xdr:sp>
          <xdr:nvSpPr>
            <xdr:cNvPr id="218113" name="Spinner 1" hidden="1">
              <a:extLst>
                <a:ext uri="{63B3BB69-23CF-44E3-9099-C40C66FF867C}">
                  <a14:compatExt spid="_x0000_s218113"/>
                </a:ext>
              </a:extLst>
            </xdr:cNvPr>
            <xdr:cNvSpPr/>
          </xdr:nvSpPr>
          <xdr:spPr>
            <a:xfrm>
              <a:off x="4724400" y="27305"/>
              <a:ext cx="209550" cy="252095"/>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1</xdr:col>
      <xdr:colOff>1097915</xdr:colOff>
      <xdr:row>1</xdr:row>
      <xdr:rowOff>139700</xdr:rowOff>
    </xdr:from>
    <xdr:to>
      <xdr:col>3</xdr:col>
      <xdr:colOff>476885</xdr:colOff>
      <xdr:row>2</xdr:row>
      <xdr:rowOff>0</xdr:rowOff>
    </xdr:to>
    <xdr:pic>
      <xdr:nvPicPr>
        <xdr:cNvPr id="3" name="图片 2"/>
        <xdr:cNvPicPr>
          <a:picLocks noChangeAspect="1"/>
        </xdr:cNvPicPr>
      </xdr:nvPicPr>
      <xdr:blipFill>
        <a:blip r:embed="rId2"/>
        <a:stretch>
          <a:fillRect/>
        </a:stretch>
      </xdr:blipFill>
      <xdr:spPr>
        <a:xfrm>
          <a:off x="3688715" y="469900"/>
          <a:ext cx="2884170" cy="8890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1591310</xdr:colOff>
      <xdr:row>1</xdr:row>
      <xdr:rowOff>1120775</xdr:rowOff>
    </xdr:from>
    <xdr:to>
      <xdr:col>0</xdr:col>
      <xdr:colOff>2381885</xdr:colOff>
      <xdr:row>1</xdr:row>
      <xdr:rowOff>1625600</xdr:rowOff>
    </xdr:to>
    <xdr:pic>
      <xdr:nvPicPr>
        <xdr:cNvPr id="3" name="图片 2"/>
        <xdr:cNvPicPr>
          <a:picLocks noChangeAspect="1"/>
        </xdr:cNvPicPr>
      </xdr:nvPicPr>
      <xdr:blipFill>
        <a:blip r:embed="rId2"/>
        <a:stretch>
          <a:fillRect/>
        </a:stretch>
      </xdr:blipFill>
      <xdr:spPr>
        <a:xfrm>
          <a:off x="1591310" y="1450975"/>
          <a:ext cx="790575" cy="50482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2429510</xdr:colOff>
      <xdr:row>1</xdr:row>
      <xdr:rowOff>1473200</xdr:rowOff>
    </xdr:from>
    <xdr:to>
      <xdr:col>1</xdr:col>
      <xdr:colOff>1800860</xdr:colOff>
      <xdr:row>1</xdr:row>
      <xdr:rowOff>1997075</xdr:rowOff>
    </xdr:to>
    <xdr:pic>
      <xdr:nvPicPr>
        <xdr:cNvPr id="3" name="图片 2"/>
        <xdr:cNvPicPr>
          <a:picLocks noChangeAspect="1"/>
        </xdr:cNvPicPr>
      </xdr:nvPicPr>
      <xdr:blipFill>
        <a:blip r:embed="rId2"/>
        <a:stretch>
          <a:fillRect/>
        </a:stretch>
      </xdr:blipFill>
      <xdr:spPr>
        <a:xfrm>
          <a:off x="2429510" y="1803400"/>
          <a:ext cx="1962150" cy="52387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0</xdr:colOff>
      <xdr:row>2</xdr:row>
      <xdr:rowOff>0</xdr:rowOff>
    </xdr:from>
    <xdr:to>
      <xdr:col>1</xdr:col>
      <xdr:colOff>504190</xdr:colOff>
      <xdr:row>2</xdr:row>
      <xdr:rowOff>571500</xdr:rowOff>
    </xdr:to>
    <xdr:pic>
      <xdr:nvPicPr>
        <xdr:cNvPr id="3" name="图片 2"/>
        <xdr:cNvPicPr>
          <a:picLocks noChangeAspect="1"/>
        </xdr:cNvPicPr>
      </xdr:nvPicPr>
      <xdr:blipFill>
        <a:blip r:embed="rId2"/>
        <a:stretch>
          <a:fillRect/>
        </a:stretch>
      </xdr:blipFill>
      <xdr:spPr>
        <a:xfrm>
          <a:off x="0" y="1790700"/>
          <a:ext cx="3094990" cy="571500"/>
        </a:xfrm>
        <a:prstGeom prst="rect">
          <a:avLst/>
        </a:prstGeom>
        <a:noFill/>
        <a:ln w="9525">
          <a:noFill/>
        </a:ln>
      </xdr:spPr>
    </xdr:pic>
    <xdr:clientData/>
  </xdr:twoCellAnchor>
  <xdr:twoCellAnchor editAs="oneCell">
    <xdr:from>
      <xdr:col>1</xdr:col>
      <xdr:colOff>1162685</xdr:colOff>
      <xdr:row>2</xdr:row>
      <xdr:rowOff>1470025</xdr:rowOff>
    </xdr:from>
    <xdr:to>
      <xdr:col>3</xdr:col>
      <xdr:colOff>257175</xdr:colOff>
      <xdr:row>2</xdr:row>
      <xdr:rowOff>2136775</xdr:rowOff>
    </xdr:to>
    <xdr:pic>
      <xdr:nvPicPr>
        <xdr:cNvPr id="4" name="图片 3"/>
        <xdr:cNvPicPr>
          <a:picLocks noChangeAspect="1"/>
        </xdr:cNvPicPr>
      </xdr:nvPicPr>
      <xdr:blipFill>
        <a:blip r:embed="rId3"/>
        <a:stretch>
          <a:fillRect/>
        </a:stretch>
      </xdr:blipFill>
      <xdr:spPr>
        <a:xfrm>
          <a:off x="3753485" y="3260725"/>
          <a:ext cx="2599690" cy="66675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0</xdr:colOff>
      <xdr:row>2</xdr:row>
      <xdr:rowOff>0</xdr:rowOff>
    </xdr:from>
    <xdr:to>
      <xdr:col>1</xdr:col>
      <xdr:colOff>504190</xdr:colOff>
      <xdr:row>2</xdr:row>
      <xdr:rowOff>571500</xdr:rowOff>
    </xdr:to>
    <xdr:pic>
      <xdr:nvPicPr>
        <xdr:cNvPr id="3" name="图片 2"/>
        <xdr:cNvPicPr>
          <a:picLocks noChangeAspect="1"/>
        </xdr:cNvPicPr>
      </xdr:nvPicPr>
      <xdr:blipFill>
        <a:blip r:embed="rId2"/>
        <a:stretch>
          <a:fillRect/>
        </a:stretch>
      </xdr:blipFill>
      <xdr:spPr>
        <a:xfrm>
          <a:off x="0" y="2159000"/>
          <a:ext cx="3094990" cy="5715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0</xdr:colOff>
      <xdr:row>2</xdr:row>
      <xdr:rowOff>0</xdr:rowOff>
    </xdr:from>
    <xdr:to>
      <xdr:col>1</xdr:col>
      <xdr:colOff>504190</xdr:colOff>
      <xdr:row>2</xdr:row>
      <xdr:rowOff>571500</xdr:rowOff>
    </xdr:to>
    <xdr:pic>
      <xdr:nvPicPr>
        <xdr:cNvPr id="3" name="图片 2"/>
        <xdr:cNvPicPr>
          <a:picLocks noChangeAspect="1"/>
        </xdr:cNvPicPr>
      </xdr:nvPicPr>
      <xdr:blipFill>
        <a:blip r:embed="rId2"/>
        <a:stretch>
          <a:fillRect/>
        </a:stretch>
      </xdr:blipFill>
      <xdr:spPr>
        <a:xfrm>
          <a:off x="0" y="3060700"/>
          <a:ext cx="3094990" cy="571500"/>
        </a:xfrm>
        <a:prstGeom prst="rect">
          <a:avLst/>
        </a:prstGeom>
        <a:noFill/>
        <a:ln w="9525">
          <a:noFill/>
        </a:ln>
      </xdr:spPr>
    </xdr:pic>
    <xdr:clientData/>
  </xdr:twoCellAnchor>
  <xdr:twoCellAnchor editAs="oneCell">
    <xdr:from>
      <xdr:col>1</xdr:col>
      <xdr:colOff>1162685</xdr:colOff>
      <xdr:row>2</xdr:row>
      <xdr:rowOff>1470025</xdr:rowOff>
    </xdr:from>
    <xdr:to>
      <xdr:col>3</xdr:col>
      <xdr:colOff>257175</xdr:colOff>
      <xdr:row>2</xdr:row>
      <xdr:rowOff>2136775</xdr:rowOff>
    </xdr:to>
    <xdr:pic>
      <xdr:nvPicPr>
        <xdr:cNvPr id="4" name="图片 3"/>
        <xdr:cNvPicPr>
          <a:picLocks noChangeAspect="1"/>
        </xdr:cNvPicPr>
      </xdr:nvPicPr>
      <xdr:blipFill>
        <a:blip r:embed="rId3"/>
        <a:stretch>
          <a:fillRect/>
        </a:stretch>
      </xdr:blipFill>
      <xdr:spPr>
        <a:xfrm>
          <a:off x="3753485" y="4530725"/>
          <a:ext cx="2599690" cy="66675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635</xdr:colOff>
      <xdr:row>1</xdr:row>
      <xdr:rowOff>1787525</xdr:rowOff>
    </xdr:from>
    <xdr:to>
      <xdr:col>1</xdr:col>
      <xdr:colOff>876300</xdr:colOff>
      <xdr:row>1</xdr:row>
      <xdr:rowOff>2257425</xdr:rowOff>
    </xdr:to>
    <xdr:pic>
      <xdr:nvPicPr>
        <xdr:cNvPr id="3" name="图片 2"/>
        <xdr:cNvPicPr>
          <a:picLocks noChangeAspect="1"/>
        </xdr:cNvPicPr>
      </xdr:nvPicPr>
      <xdr:blipFill>
        <a:blip r:embed="rId2"/>
        <a:stretch>
          <a:fillRect/>
        </a:stretch>
      </xdr:blipFill>
      <xdr:spPr>
        <a:xfrm>
          <a:off x="635" y="2117725"/>
          <a:ext cx="3466465" cy="469900"/>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2</xdr:col>
      <xdr:colOff>9525</xdr:colOff>
      <xdr:row>1</xdr:row>
      <xdr:rowOff>377190</xdr:rowOff>
    </xdr:from>
    <xdr:to>
      <xdr:col>4</xdr:col>
      <xdr:colOff>552450</xdr:colOff>
      <xdr:row>1</xdr:row>
      <xdr:rowOff>1778000</xdr:rowOff>
    </xdr:to>
    <xdr:pic>
      <xdr:nvPicPr>
        <xdr:cNvPr id="3" name="图片 2"/>
        <xdr:cNvPicPr>
          <a:picLocks noChangeAspect="1"/>
        </xdr:cNvPicPr>
      </xdr:nvPicPr>
      <xdr:blipFill>
        <a:blip r:embed="rId2"/>
        <a:srcRect l="1459" b="1818"/>
        <a:stretch>
          <a:fillRect/>
        </a:stretch>
      </xdr:blipFill>
      <xdr:spPr>
        <a:xfrm>
          <a:off x="4791075" y="707390"/>
          <a:ext cx="4505325" cy="140081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1866900</xdr:colOff>
      <xdr:row>1</xdr:row>
      <xdr:rowOff>1816100</xdr:rowOff>
    </xdr:from>
    <xdr:to>
      <xdr:col>1</xdr:col>
      <xdr:colOff>847725</xdr:colOff>
      <xdr:row>1</xdr:row>
      <xdr:rowOff>2273300</xdr:rowOff>
    </xdr:to>
    <xdr:pic>
      <xdr:nvPicPr>
        <xdr:cNvPr id="3" name="图片 2"/>
        <xdr:cNvPicPr>
          <a:picLocks noChangeAspect="1"/>
        </xdr:cNvPicPr>
      </xdr:nvPicPr>
      <xdr:blipFill>
        <a:blip r:embed="rId2"/>
        <a:stretch>
          <a:fillRect/>
        </a:stretch>
      </xdr:blipFill>
      <xdr:spPr>
        <a:xfrm>
          <a:off x="1866900" y="2146300"/>
          <a:ext cx="1571625" cy="457200"/>
        </a:xfrm>
        <a:prstGeom prst="rect">
          <a:avLst/>
        </a:prstGeom>
        <a:noFill/>
        <a:ln w="9525">
          <a:noFill/>
        </a:ln>
      </xdr:spPr>
    </xdr:pic>
    <xdr:clientData/>
  </xdr:twoCellAnchor>
  <xdr:twoCellAnchor editAs="oneCell">
    <xdr:from>
      <xdr:col>0</xdr:col>
      <xdr:colOff>1847850</xdr:colOff>
      <xdr:row>1</xdr:row>
      <xdr:rowOff>2390775</xdr:rowOff>
    </xdr:from>
    <xdr:to>
      <xdr:col>1</xdr:col>
      <xdr:colOff>1219200</xdr:colOff>
      <xdr:row>1</xdr:row>
      <xdr:rowOff>2847975</xdr:rowOff>
    </xdr:to>
    <xdr:pic>
      <xdr:nvPicPr>
        <xdr:cNvPr id="4" name="图片 3"/>
        <xdr:cNvPicPr>
          <a:picLocks noChangeAspect="1"/>
        </xdr:cNvPicPr>
      </xdr:nvPicPr>
      <xdr:blipFill>
        <a:blip r:embed="rId3"/>
        <a:stretch>
          <a:fillRect/>
        </a:stretch>
      </xdr:blipFill>
      <xdr:spPr>
        <a:xfrm>
          <a:off x="1847850" y="2720975"/>
          <a:ext cx="1962150" cy="45720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1800860</xdr:colOff>
      <xdr:row>1</xdr:row>
      <xdr:rowOff>968375</xdr:rowOff>
    </xdr:from>
    <xdr:to>
      <xdr:col>1</xdr:col>
      <xdr:colOff>19685</xdr:colOff>
      <xdr:row>2</xdr:row>
      <xdr:rowOff>0</xdr:rowOff>
    </xdr:to>
    <xdr:pic>
      <xdr:nvPicPr>
        <xdr:cNvPr id="3" name="图片 2"/>
        <xdr:cNvPicPr>
          <a:picLocks noChangeAspect="1"/>
        </xdr:cNvPicPr>
      </xdr:nvPicPr>
      <xdr:blipFill>
        <a:blip r:embed="rId2"/>
        <a:stretch>
          <a:fillRect/>
        </a:stretch>
      </xdr:blipFill>
      <xdr:spPr>
        <a:xfrm>
          <a:off x="1800860" y="1298575"/>
          <a:ext cx="809625" cy="428625"/>
        </a:xfrm>
        <a:prstGeom prst="rect">
          <a:avLst/>
        </a:prstGeom>
        <a:noFill/>
        <a:ln w="9525">
          <a:noFill/>
        </a:ln>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429260</xdr:colOff>
      <xdr:row>1</xdr:row>
      <xdr:rowOff>1435100</xdr:rowOff>
    </xdr:from>
    <xdr:to>
      <xdr:col>0</xdr:col>
      <xdr:colOff>2448560</xdr:colOff>
      <xdr:row>1</xdr:row>
      <xdr:rowOff>1711325</xdr:rowOff>
    </xdr:to>
    <xdr:pic>
      <xdr:nvPicPr>
        <xdr:cNvPr id="3" name="图片 2"/>
        <xdr:cNvPicPr>
          <a:picLocks noChangeAspect="1"/>
        </xdr:cNvPicPr>
      </xdr:nvPicPr>
      <xdr:blipFill>
        <a:blip r:embed="rId2"/>
        <a:stretch>
          <a:fillRect/>
        </a:stretch>
      </xdr:blipFill>
      <xdr:spPr>
        <a:xfrm>
          <a:off x="429260" y="1765300"/>
          <a:ext cx="2019300" cy="276225"/>
        </a:xfrm>
        <a:prstGeom prst="rect">
          <a:avLst/>
        </a:prstGeom>
        <a:noFill/>
        <a:ln w="9525">
          <a:noFill/>
        </a:ln>
      </xdr:spPr>
    </xdr:pic>
    <xdr:clientData/>
  </xdr:twoCellAnchor>
  <xdr:twoCellAnchor editAs="oneCell">
    <xdr:from>
      <xdr:col>0</xdr:col>
      <xdr:colOff>400685</xdr:colOff>
      <xdr:row>1</xdr:row>
      <xdr:rowOff>1844675</xdr:rowOff>
    </xdr:from>
    <xdr:to>
      <xdr:col>0</xdr:col>
      <xdr:colOff>1924685</xdr:colOff>
      <xdr:row>1</xdr:row>
      <xdr:rowOff>2663825</xdr:rowOff>
    </xdr:to>
    <xdr:pic>
      <xdr:nvPicPr>
        <xdr:cNvPr id="4" name="图片 3"/>
        <xdr:cNvPicPr>
          <a:picLocks noChangeAspect="1"/>
        </xdr:cNvPicPr>
      </xdr:nvPicPr>
      <xdr:blipFill>
        <a:blip r:embed="rId3"/>
        <a:stretch>
          <a:fillRect/>
        </a:stretch>
      </xdr:blipFill>
      <xdr:spPr>
        <a:xfrm>
          <a:off x="400685" y="2174875"/>
          <a:ext cx="1524000" cy="819150"/>
        </a:xfrm>
        <a:prstGeom prst="rect">
          <a:avLst/>
        </a:prstGeom>
        <a:noFill/>
        <a:ln w="9525">
          <a:noFill/>
        </a:ln>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734060</xdr:colOff>
      <xdr:row>1</xdr:row>
      <xdr:rowOff>1635125</xdr:rowOff>
    </xdr:from>
    <xdr:to>
      <xdr:col>0</xdr:col>
      <xdr:colOff>2229485</xdr:colOff>
      <xdr:row>1</xdr:row>
      <xdr:rowOff>2387600</xdr:rowOff>
    </xdr:to>
    <xdr:pic>
      <xdr:nvPicPr>
        <xdr:cNvPr id="5" name="图片 4"/>
        <xdr:cNvPicPr>
          <a:picLocks noChangeAspect="1"/>
        </xdr:cNvPicPr>
      </xdr:nvPicPr>
      <xdr:blipFill>
        <a:blip r:embed="rId2"/>
        <a:stretch>
          <a:fillRect/>
        </a:stretch>
      </xdr:blipFill>
      <xdr:spPr>
        <a:xfrm>
          <a:off x="734060" y="1965325"/>
          <a:ext cx="1495425" cy="752475"/>
        </a:xfrm>
        <a:prstGeom prst="rect">
          <a:avLst/>
        </a:prstGeom>
        <a:noFill/>
        <a:ln w="9525">
          <a:noFill/>
        </a:ln>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1705610</xdr:colOff>
      <xdr:row>1</xdr:row>
      <xdr:rowOff>1428750</xdr:rowOff>
    </xdr:from>
    <xdr:to>
      <xdr:col>1</xdr:col>
      <xdr:colOff>334010</xdr:colOff>
      <xdr:row>1</xdr:row>
      <xdr:rowOff>1971675</xdr:rowOff>
    </xdr:to>
    <xdr:pic>
      <xdr:nvPicPr>
        <xdr:cNvPr id="3" name="图片 2"/>
        <xdr:cNvPicPr>
          <a:picLocks noChangeAspect="1"/>
        </xdr:cNvPicPr>
      </xdr:nvPicPr>
      <xdr:blipFill>
        <a:blip r:embed="rId2"/>
        <a:stretch>
          <a:fillRect/>
        </a:stretch>
      </xdr:blipFill>
      <xdr:spPr>
        <a:xfrm>
          <a:off x="1705610" y="1758950"/>
          <a:ext cx="1219200" cy="542925"/>
        </a:xfrm>
        <a:prstGeom prst="rect">
          <a:avLst/>
        </a:prstGeom>
        <a:noFill/>
        <a:ln w="9525">
          <a:noFill/>
        </a:ln>
      </xdr:spPr>
    </xdr:pic>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1628775</xdr:colOff>
      <xdr:row>1</xdr:row>
      <xdr:rowOff>898525</xdr:rowOff>
    </xdr:from>
    <xdr:to>
      <xdr:col>1</xdr:col>
      <xdr:colOff>314325</xdr:colOff>
      <xdr:row>1</xdr:row>
      <xdr:rowOff>1441450</xdr:rowOff>
    </xdr:to>
    <xdr:pic>
      <xdr:nvPicPr>
        <xdr:cNvPr id="3" name="图片 2"/>
        <xdr:cNvPicPr>
          <a:picLocks noChangeAspect="1"/>
        </xdr:cNvPicPr>
      </xdr:nvPicPr>
      <xdr:blipFill>
        <a:blip r:embed="rId2"/>
        <a:stretch>
          <a:fillRect/>
        </a:stretch>
      </xdr:blipFill>
      <xdr:spPr>
        <a:xfrm>
          <a:off x="1628775" y="1228725"/>
          <a:ext cx="1276350" cy="542925"/>
        </a:xfrm>
        <a:prstGeom prst="rect">
          <a:avLst/>
        </a:prstGeom>
        <a:noFill/>
        <a:ln w="9525">
          <a:noFill/>
        </a:ln>
      </xdr:spPr>
    </xdr:pic>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686435</xdr:colOff>
      <xdr:row>2</xdr:row>
      <xdr:rowOff>320675</xdr:rowOff>
    </xdr:from>
    <xdr:to>
      <xdr:col>1</xdr:col>
      <xdr:colOff>2038985</xdr:colOff>
      <xdr:row>2</xdr:row>
      <xdr:rowOff>768350</xdr:rowOff>
    </xdr:to>
    <xdr:pic>
      <xdr:nvPicPr>
        <xdr:cNvPr id="3" name="图片 2"/>
        <xdr:cNvPicPr>
          <a:picLocks noChangeAspect="1"/>
        </xdr:cNvPicPr>
      </xdr:nvPicPr>
      <xdr:blipFill>
        <a:blip r:embed="rId2"/>
        <a:stretch>
          <a:fillRect/>
        </a:stretch>
      </xdr:blipFill>
      <xdr:spPr>
        <a:xfrm>
          <a:off x="3277235" y="2314575"/>
          <a:ext cx="1352550" cy="447675"/>
        </a:xfrm>
        <a:prstGeom prst="rect">
          <a:avLst/>
        </a:prstGeom>
        <a:noFill/>
        <a:ln w="9525">
          <a:noFill/>
        </a:ln>
      </xdr:spPr>
    </xdr:pic>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1647825</xdr:colOff>
      <xdr:row>1</xdr:row>
      <xdr:rowOff>1203325</xdr:rowOff>
    </xdr:from>
    <xdr:to>
      <xdr:col>1</xdr:col>
      <xdr:colOff>76200</xdr:colOff>
      <xdr:row>1</xdr:row>
      <xdr:rowOff>1641475</xdr:rowOff>
    </xdr:to>
    <xdr:pic>
      <xdr:nvPicPr>
        <xdr:cNvPr id="4" name="图片 3"/>
        <xdr:cNvPicPr>
          <a:picLocks noChangeAspect="1"/>
        </xdr:cNvPicPr>
      </xdr:nvPicPr>
      <xdr:blipFill>
        <a:blip r:embed="rId2"/>
        <a:stretch>
          <a:fillRect/>
        </a:stretch>
      </xdr:blipFill>
      <xdr:spPr>
        <a:xfrm>
          <a:off x="1647825" y="1533525"/>
          <a:ext cx="1019175" cy="438150"/>
        </a:xfrm>
        <a:prstGeom prst="rect">
          <a:avLst/>
        </a:prstGeom>
        <a:noFill/>
        <a:ln w="9525">
          <a:noFill/>
        </a:ln>
      </xdr:spPr>
    </xdr:pic>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635</xdr:colOff>
      <xdr:row>14</xdr:row>
      <xdr:rowOff>9525</xdr:rowOff>
    </xdr:from>
    <xdr:to>
      <xdr:col>1</xdr:col>
      <xdr:colOff>476250</xdr:colOff>
      <xdr:row>19</xdr:row>
      <xdr:rowOff>57150</xdr:rowOff>
    </xdr:to>
    <xdr:pic>
      <xdr:nvPicPr>
        <xdr:cNvPr id="3" name="图片 2"/>
        <xdr:cNvPicPr>
          <a:picLocks noChangeAspect="1"/>
        </xdr:cNvPicPr>
      </xdr:nvPicPr>
      <xdr:blipFill>
        <a:blip r:embed="rId2"/>
        <a:stretch>
          <a:fillRect/>
        </a:stretch>
      </xdr:blipFill>
      <xdr:spPr>
        <a:xfrm>
          <a:off x="635" y="6927850"/>
          <a:ext cx="3066415" cy="904875"/>
        </a:xfrm>
        <a:prstGeom prst="rect">
          <a:avLst/>
        </a:prstGeom>
        <a:noFill/>
        <a:ln w="9525">
          <a:noFill/>
        </a:ln>
      </xdr:spPr>
    </xdr:pic>
    <xdr:clientData/>
  </xdr:twoCellAnchor>
  <xdr:twoCellAnchor editAs="oneCell">
    <xdr:from>
      <xdr:col>0</xdr:col>
      <xdr:colOff>95885</xdr:colOff>
      <xdr:row>34</xdr:row>
      <xdr:rowOff>38100</xdr:rowOff>
    </xdr:from>
    <xdr:to>
      <xdr:col>0</xdr:col>
      <xdr:colOff>2410460</xdr:colOff>
      <xdr:row>41</xdr:row>
      <xdr:rowOff>104775</xdr:rowOff>
    </xdr:to>
    <xdr:pic>
      <xdr:nvPicPr>
        <xdr:cNvPr id="4" name="图片 3"/>
        <xdr:cNvPicPr>
          <a:picLocks noChangeAspect="1"/>
        </xdr:cNvPicPr>
      </xdr:nvPicPr>
      <xdr:blipFill>
        <a:blip r:embed="rId3"/>
        <a:stretch>
          <a:fillRect/>
        </a:stretch>
      </xdr:blipFill>
      <xdr:spPr>
        <a:xfrm>
          <a:off x="95885" y="10385425"/>
          <a:ext cx="2314575" cy="1266825"/>
        </a:xfrm>
        <a:prstGeom prst="rect">
          <a:avLst/>
        </a:prstGeom>
        <a:noFill/>
        <a:ln w="9525">
          <a:noFill/>
        </a:ln>
      </xdr:spPr>
    </xdr:pic>
    <xdr:clientData/>
  </xdr:two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362585</xdr:colOff>
      <xdr:row>1</xdr:row>
      <xdr:rowOff>1768475</xdr:rowOff>
    </xdr:from>
    <xdr:to>
      <xdr:col>0</xdr:col>
      <xdr:colOff>1296035</xdr:colOff>
      <xdr:row>1</xdr:row>
      <xdr:rowOff>2178050</xdr:rowOff>
    </xdr:to>
    <xdr:pic>
      <xdr:nvPicPr>
        <xdr:cNvPr id="3" name="图片 2"/>
        <xdr:cNvPicPr>
          <a:picLocks noChangeAspect="1"/>
        </xdr:cNvPicPr>
      </xdr:nvPicPr>
      <xdr:blipFill>
        <a:blip r:embed="rId2"/>
        <a:stretch>
          <a:fillRect/>
        </a:stretch>
      </xdr:blipFill>
      <xdr:spPr>
        <a:xfrm>
          <a:off x="362585" y="2098675"/>
          <a:ext cx="933450" cy="409575"/>
        </a:xfrm>
        <a:prstGeom prst="rect">
          <a:avLst/>
        </a:prstGeom>
        <a:noFill/>
        <a:ln w="9525">
          <a:noFill/>
        </a:ln>
      </xdr:spPr>
    </xdr:pic>
    <xdr:clientData/>
  </xdr:twoCellAnchor>
  <xdr:twoCellAnchor editAs="oneCell">
    <xdr:from>
      <xdr:col>0</xdr:col>
      <xdr:colOff>353060</xdr:colOff>
      <xdr:row>1</xdr:row>
      <xdr:rowOff>2339975</xdr:rowOff>
    </xdr:from>
    <xdr:to>
      <xdr:col>0</xdr:col>
      <xdr:colOff>1867535</xdr:colOff>
      <xdr:row>1</xdr:row>
      <xdr:rowOff>2863850</xdr:rowOff>
    </xdr:to>
    <xdr:pic>
      <xdr:nvPicPr>
        <xdr:cNvPr id="4" name="图片 3"/>
        <xdr:cNvPicPr>
          <a:picLocks noChangeAspect="1"/>
        </xdr:cNvPicPr>
      </xdr:nvPicPr>
      <xdr:blipFill>
        <a:blip r:embed="rId3"/>
        <a:stretch>
          <a:fillRect/>
        </a:stretch>
      </xdr:blipFill>
      <xdr:spPr>
        <a:xfrm>
          <a:off x="353060" y="2670175"/>
          <a:ext cx="1514475" cy="523875"/>
        </a:xfrm>
        <a:prstGeom prst="rect">
          <a:avLst/>
        </a:prstGeom>
        <a:noFill/>
        <a:ln w="9525">
          <a:noFill/>
        </a:ln>
      </xdr:spPr>
    </xdr:pic>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1905635</xdr:colOff>
      <xdr:row>1</xdr:row>
      <xdr:rowOff>1425575</xdr:rowOff>
    </xdr:from>
    <xdr:to>
      <xdr:col>2</xdr:col>
      <xdr:colOff>847725</xdr:colOff>
      <xdr:row>2</xdr:row>
      <xdr:rowOff>3175</xdr:rowOff>
    </xdr:to>
    <xdr:pic>
      <xdr:nvPicPr>
        <xdr:cNvPr id="3" name="图片 2"/>
        <xdr:cNvPicPr>
          <a:picLocks noChangeAspect="1"/>
        </xdr:cNvPicPr>
      </xdr:nvPicPr>
      <xdr:blipFill>
        <a:blip r:embed="rId2"/>
        <a:stretch>
          <a:fillRect/>
        </a:stretch>
      </xdr:blipFill>
      <xdr:spPr>
        <a:xfrm>
          <a:off x="1905635" y="1755775"/>
          <a:ext cx="3723640" cy="419100"/>
        </a:xfrm>
        <a:prstGeom prst="rect">
          <a:avLst/>
        </a:prstGeom>
        <a:noFill/>
        <a:ln w="9525">
          <a:noFill/>
        </a:ln>
      </xdr:spPr>
    </xdr:pic>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2</xdr:col>
      <xdr:colOff>0</xdr:colOff>
      <xdr:row>8</xdr:row>
      <xdr:rowOff>0</xdr:rowOff>
    </xdr:from>
    <xdr:to>
      <xdr:col>2</xdr:col>
      <xdr:colOff>304800</xdr:colOff>
      <xdr:row>8</xdr:row>
      <xdr:rowOff>304800</xdr:rowOff>
    </xdr:to>
    <xdr:pic>
      <xdr:nvPicPr>
        <xdr:cNvPr id="5" name="图片 4"/>
        <xdr:cNvPicPr>
          <a:picLocks noChangeAspect="1"/>
        </xdr:cNvPicPr>
      </xdr:nvPicPr>
      <xdr:blipFill>
        <a:stretch>
          <a:fillRect/>
        </a:stretch>
      </xdr:blipFill>
      <xdr:spPr>
        <a:xfrm>
          <a:off x="4781550" y="3965575"/>
          <a:ext cx="304800" cy="304800"/>
        </a:xfrm>
        <a:prstGeom prst="rect">
          <a:avLst/>
        </a:prstGeom>
        <a:noFill/>
        <a:ln w="9525">
          <a:noFill/>
        </a:ln>
      </xdr:spPr>
    </xdr:pic>
    <xdr:clientData/>
  </xdr:twoCellAnchor>
  <xdr:twoCellAnchor editAs="oneCell">
    <xdr:from>
      <xdr:col>0</xdr:col>
      <xdr:colOff>1800860</xdr:colOff>
      <xdr:row>1</xdr:row>
      <xdr:rowOff>1863725</xdr:rowOff>
    </xdr:from>
    <xdr:to>
      <xdr:col>1</xdr:col>
      <xdr:colOff>1686560</xdr:colOff>
      <xdr:row>2</xdr:row>
      <xdr:rowOff>6350</xdr:rowOff>
    </xdr:to>
    <xdr:pic>
      <xdr:nvPicPr>
        <xdr:cNvPr id="6" name="图片 5"/>
        <xdr:cNvPicPr>
          <a:picLocks noChangeAspect="1"/>
        </xdr:cNvPicPr>
      </xdr:nvPicPr>
      <xdr:blipFill>
        <a:blip r:embed="rId2"/>
        <a:stretch>
          <a:fillRect/>
        </a:stretch>
      </xdr:blipFill>
      <xdr:spPr>
        <a:xfrm>
          <a:off x="1800860" y="2193925"/>
          <a:ext cx="2476500" cy="352425"/>
        </a:xfrm>
        <a:prstGeom prst="rect">
          <a:avLst/>
        </a:prstGeom>
        <a:noFill/>
        <a:ln w="9525">
          <a:noFill/>
        </a:ln>
      </xdr:spPr>
    </xdr:pic>
    <xdr:clientData/>
  </xdr:two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6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381000</xdr:colOff>
      <xdr:row>1</xdr:row>
      <xdr:rowOff>1066800</xdr:rowOff>
    </xdr:from>
    <xdr:to>
      <xdr:col>1</xdr:col>
      <xdr:colOff>1610360</xdr:colOff>
      <xdr:row>2</xdr:row>
      <xdr:rowOff>0</xdr:rowOff>
    </xdr:to>
    <xdr:pic>
      <xdr:nvPicPr>
        <xdr:cNvPr id="3" name="图片 2"/>
        <xdr:cNvPicPr>
          <a:picLocks noChangeAspect="1"/>
        </xdr:cNvPicPr>
      </xdr:nvPicPr>
      <xdr:blipFill>
        <a:blip r:embed="rId2" r:link="rId3"/>
        <a:stretch>
          <a:fillRect/>
        </a:stretch>
      </xdr:blipFill>
      <xdr:spPr>
        <a:xfrm>
          <a:off x="1724025" y="1397000"/>
          <a:ext cx="1229360" cy="609600"/>
        </a:xfrm>
        <a:prstGeom prst="rect">
          <a:avLst/>
        </a:prstGeom>
        <a:noFill/>
        <a:ln w="9525">
          <a:noFill/>
        </a:ln>
      </xdr:spPr>
    </xdr:pic>
    <xdr:clientData/>
  </xdr:twoCellAnchor>
</xdr:wsDr>
</file>

<file path=xl/drawings/drawing7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7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8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66675</xdr:colOff>
      <xdr:row>1</xdr:row>
      <xdr:rowOff>1279525</xdr:rowOff>
    </xdr:from>
    <xdr:to>
      <xdr:col>2</xdr:col>
      <xdr:colOff>876935</xdr:colOff>
      <xdr:row>1</xdr:row>
      <xdr:rowOff>1822450</xdr:rowOff>
    </xdr:to>
    <xdr:pic>
      <xdr:nvPicPr>
        <xdr:cNvPr id="5" name="图片 4"/>
        <xdr:cNvPicPr>
          <a:picLocks noChangeAspect="1"/>
        </xdr:cNvPicPr>
      </xdr:nvPicPr>
      <xdr:blipFill>
        <a:blip r:embed="rId2" r:link="rId3"/>
        <a:srcRect b="30488"/>
        <a:stretch>
          <a:fillRect/>
        </a:stretch>
      </xdr:blipFill>
      <xdr:spPr>
        <a:xfrm>
          <a:off x="1409700" y="1609725"/>
          <a:ext cx="3077210" cy="542925"/>
        </a:xfrm>
        <a:prstGeom prst="rect">
          <a:avLst/>
        </a:prstGeom>
        <a:noFill/>
        <a:ln w="9525">
          <a:noFill/>
        </a:ln>
      </xdr:spPr>
    </xdr:pic>
    <xdr:clientData/>
  </xdr:twoCellAnchor>
</xdr:wsDr>
</file>

<file path=xl/drawings/drawing9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9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0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219075</xdr:colOff>
      <xdr:row>1</xdr:row>
      <xdr:rowOff>1270000</xdr:rowOff>
    </xdr:from>
    <xdr:to>
      <xdr:col>1</xdr:col>
      <xdr:colOff>1285875</xdr:colOff>
      <xdr:row>2</xdr:row>
      <xdr:rowOff>12700</xdr:rowOff>
    </xdr:to>
    <xdr:pic>
      <xdr:nvPicPr>
        <xdr:cNvPr id="3" name="图片 2"/>
        <xdr:cNvPicPr>
          <a:picLocks noChangeAspect="1"/>
        </xdr:cNvPicPr>
      </xdr:nvPicPr>
      <xdr:blipFill>
        <a:blip r:embed="rId2" r:link="rId3"/>
        <a:stretch>
          <a:fillRect/>
        </a:stretch>
      </xdr:blipFill>
      <xdr:spPr>
        <a:xfrm>
          <a:off x="1562100" y="1600200"/>
          <a:ext cx="1066800" cy="571500"/>
        </a:xfrm>
        <a:prstGeom prst="rect">
          <a:avLst/>
        </a:prstGeom>
        <a:noFill/>
        <a:ln w="9525">
          <a:noFill/>
        </a:ln>
      </xdr:spPr>
    </xdr:pic>
    <xdr:clientData/>
  </xdr:twoCellAnchor>
</xdr:wsDr>
</file>

<file path=xl/drawings/drawing10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3</xdr:col>
      <xdr:colOff>285750</xdr:colOff>
      <xdr:row>1</xdr:row>
      <xdr:rowOff>485775</xdr:rowOff>
    </xdr:from>
    <xdr:to>
      <xdr:col>3</xdr:col>
      <xdr:colOff>2258060</xdr:colOff>
      <xdr:row>1</xdr:row>
      <xdr:rowOff>1838325</xdr:rowOff>
    </xdr:to>
    <xdr:pic>
      <xdr:nvPicPr>
        <xdr:cNvPr id="3" name="图片 2"/>
        <xdr:cNvPicPr>
          <a:picLocks noChangeAspect="1"/>
        </xdr:cNvPicPr>
      </xdr:nvPicPr>
      <xdr:blipFill>
        <a:blip r:embed="rId2" r:link="rId3"/>
        <a:stretch>
          <a:fillRect/>
        </a:stretch>
      </xdr:blipFill>
      <xdr:spPr>
        <a:xfrm>
          <a:off x="5105400" y="815975"/>
          <a:ext cx="1972310" cy="1352550"/>
        </a:xfrm>
        <a:prstGeom prst="rect">
          <a:avLst/>
        </a:prstGeom>
        <a:noFill/>
        <a:ln w="9525">
          <a:noFill/>
        </a:ln>
      </xdr:spPr>
    </xdr:pic>
    <xdr:clientData/>
  </xdr:twoCellAnchor>
</xdr:wsDr>
</file>

<file path=xl/drawings/drawing10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1</xdr:col>
      <xdr:colOff>19050</xdr:colOff>
      <xdr:row>15</xdr:row>
      <xdr:rowOff>19050</xdr:rowOff>
    </xdr:from>
    <xdr:to>
      <xdr:col>3</xdr:col>
      <xdr:colOff>171450</xdr:colOff>
      <xdr:row>17</xdr:row>
      <xdr:rowOff>123190</xdr:rowOff>
    </xdr:to>
    <xdr:sp>
      <xdr:nvSpPr>
        <xdr:cNvPr id="3" name="圆角矩形 2"/>
        <xdr:cNvSpPr/>
      </xdr:nvSpPr>
      <xdr:spPr>
        <a:xfrm>
          <a:off x="704850" y="4337050"/>
          <a:ext cx="2781300" cy="447040"/>
        </a:xfrm>
        <a:prstGeom prst="roundRect">
          <a:avLst/>
        </a:prstGeom>
        <a:gradFill>
          <a:gsLst>
            <a:gs pos="0">
              <a:srgbClr val="007BD3"/>
            </a:gs>
            <a:gs pos="100000">
              <a:srgbClr val="03437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400" b="1">
              <a:latin typeface="微软雅黑" panose="020B0503020204020204" charset="-122"/>
              <a:ea typeface="微软雅黑" panose="020B0503020204020204" charset="-122"/>
            </a:rPr>
            <a:t>用法</a:t>
          </a:r>
          <a:endParaRPr lang="zh-CN" altLang="en-US" sz="1400" b="1">
            <a:latin typeface="微软雅黑" panose="020B0503020204020204" charset="-122"/>
            <a:ea typeface="微软雅黑" panose="020B0503020204020204" charset="-122"/>
          </a:endParaRPr>
        </a:p>
      </xdr:txBody>
    </xdr:sp>
    <xdr:clientData/>
  </xdr:twoCellAnchor>
  <xdr:twoCellAnchor>
    <xdr:from>
      <xdr:col>0</xdr:col>
      <xdr:colOff>676275</xdr:colOff>
      <xdr:row>4</xdr:row>
      <xdr:rowOff>19050</xdr:rowOff>
    </xdr:from>
    <xdr:to>
      <xdr:col>3</xdr:col>
      <xdr:colOff>570865</xdr:colOff>
      <xdr:row>14</xdr:row>
      <xdr:rowOff>53340</xdr:rowOff>
    </xdr:to>
    <xdr:sp>
      <xdr:nvSpPr>
        <xdr:cNvPr id="4" name="圆角矩形 3"/>
        <xdr:cNvSpPr/>
      </xdr:nvSpPr>
      <xdr:spPr>
        <a:xfrm>
          <a:off x="676275" y="2451100"/>
          <a:ext cx="3209290" cy="1748790"/>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Hyperlink</a:t>
          </a:r>
          <a:r>
            <a:rPr lang="zh-CN" altLang="en-US" sz="1400" b="1">
              <a:latin typeface="微软雅黑" panose="020B0503020204020204" charset="-122"/>
              <a:ea typeface="微软雅黑" panose="020B0503020204020204" charset="-122"/>
            </a:rPr>
            <a:t>函数</a:t>
          </a:r>
          <a:endParaRPr lang="zh-CN" altLang="en-US" sz="1400" b="1">
            <a:latin typeface="微软雅黑" panose="020B0503020204020204" charset="-122"/>
            <a:ea typeface="微软雅黑" panose="020B0503020204020204" charset="-122"/>
          </a:endParaRPr>
        </a:p>
        <a:p>
          <a:pPr algn="l"/>
          <a:r>
            <a:rPr lang="zh-CN" altLang="en-US" sz="1400" b="1">
              <a:latin typeface="微软雅黑" panose="020B0503020204020204" charset="-122"/>
              <a:ea typeface="微软雅黑" panose="020B0503020204020204" charset="-122"/>
            </a:rPr>
            <a:t>  </a:t>
          </a:r>
          <a:endParaRPr lang="zh-CN" altLang="en-US" sz="1400" b="1">
            <a:latin typeface="微软雅黑" panose="020B0503020204020204" charset="-122"/>
            <a:ea typeface="微软雅黑" panose="020B0503020204020204" charset="-122"/>
          </a:endParaRPr>
        </a:p>
        <a:p>
          <a:pPr algn="l"/>
          <a:r>
            <a:rPr lang="en-US" altLang="zh-CN" sz="1400" b="1">
              <a:latin typeface="微软雅黑" panose="020B0503020204020204" charset="-122"/>
              <a:ea typeface="微软雅黑" panose="020B0503020204020204" charset="-122"/>
            </a:rPr>
            <a:t>    HYperlink</a:t>
          </a:r>
          <a:r>
            <a:rPr lang="zh-CN" altLang="en-US" sz="1400" b="1">
              <a:latin typeface="微软雅黑" panose="020B0503020204020204" charset="-122"/>
              <a:ea typeface="微软雅黑" panose="020B0503020204020204" charset="-122"/>
            </a:rPr>
            <a:t>（参数</a:t>
          </a:r>
          <a:r>
            <a:rPr lang="en-US" altLang="zh-CN" sz="1400" b="1">
              <a:latin typeface="微软雅黑" panose="020B0503020204020204" charset="-122"/>
              <a:ea typeface="微软雅黑" panose="020B0503020204020204" charset="-122"/>
            </a:rPr>
            <a:t>1</a:t>
          </a:r>
          <a:r>
            <a:rPr lang="zh-CN" altLang="en-US" sz="1400" b="1">
              <a:latin typeface="微软雅黑" panose="020B0503020204020204" charset="-122"/>
              <a:ea typeface="微软雅黑" panose="020B0503020204020204" charset="-122"/>
            </a:rPr>
            <a:t>，参数</a:t>
          </a:r>
          <a:r>
            <a:rPr lang="en-US" altLang="zh-CN" sz="1400" b="1">
              <a:latin typeface="微软雅黑" panose="020B0503020204020204" charset="-122"/>
              <a:ea typeface="微软雅黑" panose="020B0503020204020204" charset="-122"/>
            </a:rPr>
            <a:t>2</a:t>
          </a:r>
          <a:r>
            <a:rPr lang="zh-CN" altLang="en-US" sz="1400" b="1">
              <a:latin typeface="微软雅黑" panose="020B0503020204020204" charset="-122"/>
              <a:ea typeface="微软雅黑" panose="020B0503020204020204" charset="-122"/>
            </a:rPr>
            <a:t>）</a:t>
          </a:r>
          <a:endParaRPr lang="zh-CN" altLang="en-US" sz="1400" b="1">
            <a:latin typeface="微软雅黑" panose="020B0503020204020204" charset="-122"/>
            <a:ea typeface="微软雅黑" panose="020B0503020204020204" charset="-122"/>
          </a:endParaRPr>
        </a:p>
        <a:p>
          <a:pPr algn="l"/>
          <a:endParaRPr lang="zh-CN" altLang="en-US" sz="1400" b="1">
            <a:latin typeface="微软雅黑" panose="020B0503020204020204" charset="-122"/>
            <a:ea typeface="微软雅黑" panose="020B0503020204020204" charset="-122"/>
          </a:endParaRPr>
        </a:p>
        <a:p>
          <a:pPr algn="l"/>
          <a:r>
            <a:rPr lang="zh-CN" altLang="en-US" sz="1400" b="1">
              <a:solidFill>
                <a:srgbClr val="FFFF00"/>
              </a:solidFill>
              <a:latin typeface="微软雅黑" panose="020B0503020204020204" charset="-122"/>
              <a:ea typeface="微软雅黑" panose="020B0503020204020204" charset="-122"/>
            </a:rPr>
            <a:t>参数</a:t>
          </a:r>
          <a:r>
            <a:rPr lang="en-US" altLang="zh-CN" sz="1400" b="1">
              <a:solidFill>
                <a:srgbClr val="FFFF00"/>
              </a:solidFill>
              <a:latin typeface="微软雅黑" panose="020B0503020204020204" charset="-122"/>
              <a:ea typeface="微软雅黑" panose="020B0503020204020204" charset="-122"/>
            </a:rPr>
            <a:t>1</a:t>
          </a:r>
          <a:r>
            <a:rPr lang="zh-CN" altLang="en-US" sz="1400" b="1">
              <a:solidFill>
                <a:srgbClr val="FFFF00"/>
              </a:solidFill>
              <a:latin typeface="微软雅黑" panose="020B0503020204020204" charset="-122"/>
              <a:ea typeface="微软雅黑" panose="020B0503020204020204" charset="-122"/>
            </a:rPr>
            <a:t>：需要跳转的链接地址</a:t>
          </a:r>
          <a:endParaRPr lang="zh-CN" altLang="en-US" sz="1400" b="1">
            <a:solidFill>
              <a:srgbClr val="FFFF00"/>
            </a:solidFill>
            <a:latin typeface="微软雅黑" panose="020B0503020204020204" charset="-122"/>
            <a:ea typeface="微软雅黑" panose="020B0503020204020204" charset="-122"/>
          </a:endParaRPr>
        </a:p>
        <a:p>
          <a:pPr algn="l"/>
          <a:r>
            <a:rPr lang="zh-CN" altLang="en-US" sz="1400" b="1">
              <a:solidFill>
                <a:srgbClr val="FFFF00"/>
              </a:solidFill>
              <a:latin typeface="微软雅黑" panose="020B0503020204020204" charset="-122"/>
              <a:ea typeface="微软雅黑" panose="020B0503020204020204" charset="-122"/>
            </a:rPr>
            <a:t>参数</a:t>
          </a:r>
          <a:r>
            <a:rPr lang="en-US" altLang="zh-CN" sz="1400" b="1">
              <a:solidFill>
                <a:srgbClr val="FFFF00"/>
              </a:solidFill>
              <a:latin typeface="微软雅黑" panose="020B0503020204020204" charset="-122"/>
              <a:ea typeface="微软雅黑" panose="020B0503020204020204" charset="-122"/>
            </a:rPr>
            <a:t>2</a:t>
          </a:r>
          <a:r>
            <a:rPr lang="zh-CN" altLang="en-US" sz="1400" b="1">
              <a:solidFill>
                <a:srgbClr val="FFFF00"/>
              </a:solidFill>
              <a:latin typeface="微软雅黑" panose="020B0503020204020204" charset="-122"/>
              <a:ea typeface="微软雅黑" panose="020B0503020204020204" charset="-122"/>
            </a:rPr>
            <a:t>：单元格显示的文字</a:t>
          </a:r>
          <a:endParaRPr lang="zh-CN" altLang="en-US" sz="1400" b="1">
            <a:solidFill>
              <a:srgbClr val="FFFF00"/>
            </a:solidFill>
            <a:latin typeface="微软雅黑" panose="020B0503020204020204" charset="-122"/>
            <a:ea typeface="微软雅黑" panose="020B0503020204020204" charset="-122"/>
          </a:endParaRPr>
        </a:p>
      </xdr:txBody>
    </xdr:sp>
    <xdr:clientData/>
  </xdr:twoCellAnchor>
  <xdr:twoCellAnchor>
    <xdr:from>
      <xdr:col>1</xdr:col>
      <xdr:colOff>19050</xdr:colOff>
      <xdr:row>18</xdr:row>
      <xdr:rowOff>133350</xdr:rowOff>
    </xdr:from>
    <xdr:to>
      <xdr:col>6</xdr:col>
      <xdr:colOff>219710</xdr:colOff>
      <xdr:row>21</xdr:row>
      <xdr:rowOff>66040</xdr:rowOff>
    </xdr:to>
    <xdr:sp>
      <xdr:nvSpPr>
        <xdr:cNvPr id="5" name="圆角矩形 4"/>
        <xdr:cNvSpPr/>
      </xdr:nvSpPr>
      <xdr:spPr>
        <a:xfrm>
          <a:off x="704850" y="4965700"/>
          <a:ext cx="7201535"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1.</a:t>
          </a:r>
          <a:r>
            <a:rPr lang="zh-CN" altLang="en-US" sz="1400" b="1">
              <a:latin typeface="微软雅黑" panose="020B0503020204020204" charset="-122"/>
              <a:ea typeface="微软雅黑" panose="020B0503020204020204" charset="-122"/>
            </a:rPr>
            <a:t>跳转到本地文件夹</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9525</xdr:colOff>
      <xdr:row>24</xdr:row>
      <xdr:rowOff>161925</xdr:rowOff>
    </xdr:from>
    <xdr:to>
      <xdr:col>6</xdr:col>
      <xdr:colOff>210185</xdr:colOff>
      <xdr:row>27</xdr:row>
      <xdr:rowOff>94615</xdr:rowOff>
    </xdr:to>
    <xdr:sp>
      <xdr:nvSpPr>
        <xdr:cNvPr id="6" name="圆角矩形 5"/>
        <xdr:cNvSpPr/>
      </xdr:nvSpPr>
      <xdr:spPr>
        <a:xfrm>
          <a:off x="695325" y="6061075"/>
          <a:ext cx="7201535"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2.</a:t>
          </a:r>
          <a:r>
            <a:rPr lang="zh-CN" altLang="en-US" sz="1400" b="1">
              <a:latin typeface="微软雅黑" panose="020B0503020204020204" charset="-122"/>
              <a:ea typeface="微软雅黑" panose="020B0503020204020204" charset="-122"/>
            </a:rPr>
            <a:t>跳转到本地文件夹文件</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19050</xdr:colOff>
      <xdr:row>31</xdr:row>
      <xdr:rowOff>28575</xdr:rowOff>
    </xdr:from>
    <xdr:to>
      <xdr:col>6</xdr:col>
      <xdr:colOff>428625</xdr:colOff>
      <xdr:row>33</xdr:row>
      <xdr:rowOff>132715</xdr:rowOff>
    </xdr:to>
    <xdr:sp>
      <xdr:nvSpPr>
        <xdr:cNvPr id="7" name="圆角矩形 6"/>
        <xdr:cNvSpPr/>
      </xdr:nvSpPr>
      <xdr:spPr>
        <a:xfrm>
          <a:off x="704850" y="7127875"/>
          <a:ext cx="7410450"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3.</a:t>
          </a:r>
          <a:r>
            <a:rPr lang="zh-CN" altLang="en-US" sz="1400" b="1">
              <a:latin typeface="微软雅黑" panose="020B0503020204020204" charset="-122"/>
              <a:ea typeface="微软雅黑" panose="020B0503020204020204" charset="-122"/>
            </a:rPr>
            <a:t>跳转到当前工作簿中的某个单元格</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19050</xdr:colOff>
      <xdr:row>37</xdr:row>
      <xdr:rowOff>28575</xdr:rowOff>
    </xdr:from>
    <xdr:to>
      <xdr:col>6</xdr:col>
      <xdr:colOff>351790</xdr:colOff>
      <xdr:row>39</xdr:row>
      <xdr:rowOff>132715</xdr:rowOff>
    </xdr:to>
    <xdr:sp>
      <xdr:nvSpPr>
        <xdr:cNvPr id="8" name="圆角矩形 7"/>
        <xdr:cNvSpPr/>
      </xdr:nvSpPr>
      <xdr:spPr>
        <a:xfrm>
          <a:off x="704850" y="8156575"/>
          <a:ext cx="7333615"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4.</a:t>
          </a:r>
          <a:r>
            <a:rPr lang="zh-CN" altLang="en-US" sz="1400" b="1">
              <a:latin typeface="微软雅黑" panose="020B0503020204020204" charset="-122"/>
              <a:ea typeface="微软雅黑" panose="020B0503020204020204" charset="-122"/>
            </a:rPr>
            <a:t>跳转到当前工作簿中其他工作表中某个位置</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9525</xdr:colOff>
      <xdr:row>45</xdr:row>
      <xdr:rowOff>0</xdr:rowOff>
    </xdr:from>
    <xdr:to>
      <xdr:col>6</xdr:col>
      <xdr:colOff>304165</xdr:colOff>
      <xdr:row>47</xdr:row>
      <xdr:rowOff>104140</xdr:rowOff>
    </xdr:to>
    <xdr:sp>
      <xdr:nvSpPr>
        <xdr:cNvPr id="9" name="圆角矩形 8"/>
        <xdr:cNvSpPr/>
      </xdr:nvSpPr>
      <xdr:spPr>
        <a:xfrm>
          <a:off x="695325" y="9499600"/>
          <a:ext cx="7295515"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5.</a:t>
          </a:r>
          <a:r>
            <a:rPr lang="zh-CN" altLang="en-US" sz="1400" b="1">
              <a:latin typeface="微软雅黑" panose="020B0503020204020204" charset="-122"/>
              <a:ea typeface="微软雅黑" panose="020B0503020204020204" charset="-122"/>
            </a:rPr>
            <a:t>跳转到其他工作簿中工作表中某个位置</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0</xdr:colOff>
      <xdr:row>53</xdr:row>
      <xdr:rowOff>9525</xdr:rowOff>
    </xdr:from>
    <xdr:to>
      <xdr:col>6</xdr:col>
      <xdr:colOff>304800</xdr:colOff>
      <xdr:row>55</xdr:row>
      <xdr:rowOff>113665</xdr:rowOff>
    </xdr:to>
    <xdr:sp>
      <xdr:nvSpPr>
        <xdr:cNvPr id="10" name="圆角矩形 9"/>
        <xdr:cNvSpPr/>
      </xdr:nvSpPr>
      <xdr:spPr>
        <a:xfrm>
          <a:off x="685800" y="11458575"/>
          <a:ext cx="7305675"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6.</a:t>
          </a:r>
          <a:r>
            <a:rPr lang="zh-CN" altLang="en-US" sz="1400" b="1">
              <a:latin typeface="微软雅黑" panose="020B0503020204020204" charset="-122"/>
              <a:ea typeface="微软雅黑" panose="020B0503020204020204" charset="-122"/>
            </a:rPr>
            <a:t>跳转至网络地址</a:t>
          </a:r>
          <a:endParaRPr lang="zh-CN" altLang="en-US" sz="1400" b="1">
            <a:latin typeface="微软雅黑" panose="020B0503020204020204" charset="-122"/>
            <a:ea typeface="微软雅黑" panose="020B0503020204020204" charset="-122"/>
          </a:endParaRPr>
        </a:p>
      </xdr:txBody>
    </xdr:sp>
    <xdr:clientData/>
  </xdr:twoCellAnchor>
  <xdr:twoCellAnchor>
    <xdr:from>
      <xdr:col>0</xdr:col>
      <xdr:colOff>676275</xdr:colOff>
      <xdr:row>59</xdr:row>
      <xdr:rowOff>19050</xdr:rowOff>
    </xdr:from>
    <xdr:to>
      <xdr:col>6</xdr:col>
      <xdr:colOff>351790</xdr:colOff>
      <xdr:row>61</xdr:row>
      <xdr:rowOff>123190</xdr:rowOff>
    </xdr:to>
    <xdr:sp>
      <xdr:nvSpPr>
        <xdr:cNvPr id="11" name="圆角矩形 10"/>
        <xdr:cNvSpPr/>
      </xdr:nvSpPr>
      <xdr:spPr>
        <a:xfrm>
          <a:off x="676275" y="12496800"/>
          <a:ext cx="7362190"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7.</a:t>
          </a:r>
          <a:r>
            <a:rPr lang="zh-CN" altLang="en-US" sz="1400" b="1">
              <a:latin typeface="微软雅黑" panose="020B0503020204020204" charset="-122"/>
              <a:ea typeface="微软雅黑" panose="020B0503020204020204" charset="-122"/>
            </a:rPr>
            <a:t>单元格参数引用</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9525</xdr:colOff>
      <xdr:row>67</xdr:row>
      <xdr:rowOff>0</xdr:rowOff>
    </xdr:from>
    <xdr:to>
      <xdr:col>6</xdr:col>
      <xdr:colOff>294640</xdr:colOff>
      <xdr:row>69</xdr:row>
      <xdr:rowOff>104140</xdr:rowOff>
    </xdr:to>
    <xdr:sp>
      <xdr:nvSpPr>
        <xdr:cNvPr id="12" name="圆角矩形 11"/>
        <xdr:cNvSpPr/>
      </xdr:nvSpPr>
      <xdr:spPr>
        <a:xfrm>
          <a:off x="695325" y="13925550"/>
          <a:ext cx="7285990"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8.</a:t>
          </a:r>
          <a:r>
            <a:rPr lang="zh-CN" altLang="en-US" sz="1400" b="1">
              <a:latin typeface="微软雅黑" panose="020B0503020204020204" charset="-122"/>
              <a:ea typeface="微软雅黑" panose="020B0503020204020204" charset="-122"/>
            </a:rPr>
            <a:t>跳转至名称管理器</a:t>
          </a:r>
          <a:endParaRPr lang="zh-CN" altLang="en-US" sz="1400" b="1">
            <a:latin typeface="微软雅黑" panose="020B0503020204020204" charset="-122"/>
            <a:ea typeface="微软雅黑" panose="020B0503020204020204" charset="-122"/>
          </a:endParaRPr>
        </a:p>
      </xdr:txBody>
    </xdr:sp>
    <xdr:clientData/>
  </xdr:twoCellAnchor>
  <xdr:twoCellAnchor>
    <xdr:from>
      <xdr:col>1</xdr:col>
      <xdr:colOff>19050</xdr:colOff>
      <xdr:row>72</xdr:row>
      <xdr:rowOff>133350</xdr:rowOff>
    </xdr:from>
    <xdr:to>
      <xdr:col>6</xdr:col>
      <xdr:colOff>418465</xdr:colOff>
      <xdr:row>75</xdr:row>
      <xdr:rowOff>66040</xdr:rowOff>
    </xdr:to>
    <xdr:sp>
      <xdr:nvSpPr>
        <xdr:cNvPr id="13" name="圆角矩形 12"/>
        <xdr:cNvSpPr/>
      </xdr:nvSpPr>
      <xdr:spPr>
        <a:xfrm>
          <a:off x="704850" y="15976600"/>
          <a:ext cx="7400290" cy="447040"/>
        </a:xfrm>
        <a:prstGeom prst="roundRect">
          <a:avLst/>
        </a:prstGeom>
        <a:gradFill>
          <a:gsLst>
            <a:gs pos="0">
              <a:srgbClr val="E30000"/>
            </a:gs>
            <a:gs pos="100000">
              <a:srgbClr val="760303"/>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400" b="1">
              <a:latin typeface="微软雅黑" panose="020B0503020204020204" charset="-122"/>
              <a:ea typeface="微软雅黑" panose="020B0503020204020204" charset="-122"/>
            </a:rPr>
            <a:t>9.</a:t>
          </a:r>
          <a:r>
            <a:rPr lang="zh-CN" altLang="en-US" sz="1400" b="1">
              <a:latin typeface="微软雅黑" panose="020B0503020204020204" charset="-122"/>
              <a:ea typeface="微软雅黑" panose="020B0503020204020204" charset="-122"/>
            </a:rPr>
            <a:t>跳转至宏编辑器</a:t>
          </a:r>
          <a:endParaRPr lang="zh-CN" altLang="en-US" sz="1400" b="1">
            <a:latin typeface="微软雅黑" panose="020B0503020204020204" charset="-122"/>
            <a:ea typeface="微软雅黑" panose="020B0503020204020204" charset="-122"/>
          </a:endParaRPr>
        </a:p>
      </xdr:txBody>
    </xdr:sp>
    <xdr:clientData/>
  </xdr:twoCellAnchor>
</xdr:wsDr>
</file>

<file path=xl/drawings/drawing11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1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801370</xdr:colOff>
      <xdr:row>1</xdr:row>
      <xdr:rowOff>352425</xdr:rowOff>
    </xdr:from>
    <xdr:to>
      <xdr:col>3</xdr:col>
      <xdr:colOff>1270</xdr:colOff>
      <xdr:row>1</xdr:row>
      <xdr:rowOff>991235</xdr:rowOff>
    </xdr:to>
    <xdr:pic>
      <xdr:nvPicPr>
        <xdr:cNvPr id="3" name="图片 2"/>
        <xdr:cNvPicPr>
          <a:picLocks noChangeAspect="1"/>
        </xdr:cNvPicPr>
      </xdr:nvPicPr>
      <xdr:blipFill>
        <a:blip r:embed="rId2" r:link="rId3"/>
        <a:stretch>
          <a:fillRect/>
        </a:stretch>
      </xdr:blipFill>
      <xdr:spPr>
        <a:xfrm>
          <a:off x="2144395" y="682625"/>
          <a:ext cx="2209800" cy="638810"/>
        </a:xfrm>
        <a:prstGeom prst="rect">
          <a:avLst/>
        </a:prstGeom>
        <a:noFill/>
        <a:ln w="9525">
          <a:noFill/>
        </a:ln>
      </xdr:spPr>
    </xdr:pic>
    <xdr:clientData/>
  </xdr:twoCellAnchor>
</xdr:wsDr>
</file>

<file path=xl/drawings/drawing1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1</xdr:col>
      <xdr:colOff>219075</xdr:colOff>
      <xdr:row>1</xdr:row>
      <xdr:rowOff>533400</xdr:rowOff>
    </xdr:from>
    <xdr:to>
      <xdr:col>2</xdr:col>
      <xdr:colOff>38735</xdr:colOff>
      <xdr:row>1</xdr:row>
      <xdr:rowOff>1009650</xdr:rowOff>
    </xdr:to>
    <xdr:pic>
      <xdr:nvPicPr>
        <xdr:cNvPr id="4" name="图片 3"/>
        <xdr:cNvPicPr>
          <a:picLocks noChangeAspect="1"/>
        </xdr:cNvPicPr>
      </xdr:nvPicPr>
      <xdr:blipFill>
        <a:blip r:embed="rId2" r:link="rId3"/>
        <a:stretch>
          <a:fillRect/>
        </a:stretch>
      </xdr:blipFill>
      <xdr:spPr>
        <a:xfrm>
          <a:off x="1562100" y="863600"/>
          <a:ext cx="1515110" cy="476250"/>
        </a:xfrm>
        <a:prstGeom prst="rect">
          <a:avLst/>
        </a:prstGeom>
        <a:noFill/>
        <a:ln w="9525">
          <a:noFill/>
        </a:ln>
      </xdr:spPr>
    </xdr:pic>
    <xdr:clientData/>
  </xdr:twoCellAnchor>
</xdr:wsDr>
</file>

<file path=xl/drawings/drawing1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2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0</xdr:col>
      <xdr:colOff>635</xdr:colOff>
      <xdr:row>3</xdr:row>
      <xdr:rowOff>9525</xdr:rowOff>
    </xdr:from>
    <xdr:to>
      <xdr:col>1</xdr:col>
      <xdr:colOff>2325370</xdr:colOff>
      <xdr:row>55</xdr:row>
      <xdr:rowOff>161925</xdr:rowOff>
    </xdr:to>
    <xdr:pic>
      <xdr:nvPicPr>
        <xdr:cNvPr id="3" name="图片 2"/>
        <xdr:cNvPicPr>
          <a:picLocks noChangeAspect="1"/>
        </xdr:cNvPicPr>
      </xdr:nvPicPr>
      <xdr:blipFill>
        <a:blip r:embed="rId2" r:link="rId3"/>
        <a:stretch>
          <a:fillRect/>
        </a:stretch>
      </xdr:blipFill>
      <xdr:spPr>
        <a:xfrm>
          <a:off x="635" y="1685925"/>
          <a:ext cx="3667760" cy="9067800"/>
        </a:xfrm>
        <a:prstGeom prst="rect">
          <a:avLst/>
        </a:prstGeom>
        <a:noFill/>
        <a:ln w="9525">
          <a:noFill/>
        </a:ln>
      </xdr:spPr>
    </xdr:pic>
    <xdr:clientData/>
  </xdr:twoCellAnchor>
  <xdr:twoCellAnchor editAs="oneCell">
    <xdr:from>
      <xdr:col>1</xdr:col>
      <xdr:colOff>2287270</xdr:colOff>
      <xdr:row>3</xdr:row>
      <xdr:rowOff>38100</xdr:rowOff>
    </xdr:from>
    <xdr:to>
      <xdr:col>3</xdr:col>
      <xdr:colOff>1839595</xdr:colOff>
      <xdr:row>30</xdr:row>
      <xdr:rowOff>10160</xdr:rowOff>
    </xdr:to>
    <xdr:pic>
      <xdr:nvPicPr>
        <xdr:cNvPr id="4" name="图片 3"/>
        <xdr:cNvPicPr>
          <a:picLocks noChangeAspect="1"/>
        </xdr:cNvPicPr>
      </xdr:nvPicPr>
      <xdr:blipFill>
        <a:blip r:embed="rId4" r:link="rId3"/>
        <a:stretch>
          <a:fillRect/>
        </a:stretch>
      </xdr:blipFill>
      <xdr:spPr>
        <a:xfrm>
          <a:off x="3630295" y="1714500"/>
          <a:ext cx="3695700" cy="4601210"/>
        </a:xfrm>
        <a:prstGeom prst="rect">
          <a:avLst/>
        </a:prstGeom>
        <a:noFill/>
        <a:ln w="9525">
          <a:noFill/>
        </a:ln>
      </xdr:spPr>
    </xdr:pic>
    <xdr:clientData/>
  </xdr:twoCellAnchor>
  <xdr:twoCellAnchor>
    <xdr:from>
      <xdr:col>1</xdr:col>
      <xdr:colOff>2419350</xdr:colOff>
      <xdr:row>31</xdr:row>
      <xdr:rowOff>142875</xdr:rowOff>
    </xdr:from>
    <xdr:to>
      <xdr:col>3</xdr:col>
      <xdr:colOff>2228850</xdr:colOff>
      <xdr:row>37</xdr:row>
      <xdr:rowOff>86995</xdr:rowOff>
    </xdr:to>
    <xdr:sp>
      <xdr:nvSpPr>
        <xdr:cNvPr id="5" name="文本框 4"/>
        <xdr:cNvSpPr txBox="1"/>
      </xdr:nvSpPr>
      <xdr:spPr>
        <a:xfrm>
          <a:off x="3762375" y="6619875"/>
          <a:ext cx="3952875" cy="972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000" b="1">
              <a:solidFill>
                <a:srgbClr val="FF0000"/>
              </a:solidFill>
              <a:latin typeface="微软雅黑" panose="020B0503020204020204" charset="-122"/>
              <a:ea typeface="微软雅黑" panose="020B0503020204020204" charset="-122"/>
              <a:cs typeface="微软雅黑" panose="020B0503020204020204" charset="-122"/>
            </a:rPr>
            <a:t>若输入数据的拼写有误，则 CONVERT 返回错误值 #VALUE!。</a:t>
          </a:r>
          <a:endParaRPr lang="zh-CN" altLang="en-US" sz="1000" b="1">
            <a:solidFill>
              <a:srgbClr val="FF0000"/>
            </a:solidFill>
            <a:latin typeface="微软雅黑" panose="020B0503020204020204" charset="-122"/>
            <a:ea typeface="微软雅黑" panose="020B0503020204020204" charset="-122"/>
            <a:cs typeface="微软雅黑" panose="020B0503020204020204" charset="-122"/>
          </a:endParaRPr>
        </a:p>
        <a:p>
          <a:pPr algn="l"/>
          <a:r>
            <a:rPr lang="zh-CN" altLang="en-US" sz="1000" b="1">
              <a:solidFill>
                <a:srgbClr val="FF0000"/>
              </a:solidFill>
              <a:latin typeface="微软雅黑" panose="020B0503020204020204" charset="-122"/>
              <a:ea typeface="微软雅黑" panose="020B0503020204020204" charset="-122"/>
              <a:cs typeface="微软雅黑" panose="020B0503020204020204" charset="-122"/>
            </a:rPr>
            <a:t>若单位不存在，则 CONVERT 返回错误值 #N/A。</a:t>
          </a:r>
          <a:endParaRPr lang="zh-CN" altLang="en-US" sz="1000" b="1">
            <a:solidFill>
              <a:srgbClr val="FF0000"/>
            </a:solidFill>
            <a:latin typeface="微软雅黑" panose="020B0503020204020204" charset="-122"/>
            <a:ea typeface="微软雅黑" panose="020B0503020204020204" charset="-122"/>
            <a:cs typeface="微软雅黑" panose="020B0503020204020204" charset="-122"/>
          </a:endParaRPr>
        </a:p>
        <a:p>
          <a:pPr algn="l"/>
          <a:r>
            <a:rPr lang="zh-CN" altLang="en-US" sz="1000" b="1">
              <a:solidFill>
                <a:srgbClr val="FF0000"/>
              </a:solidFill>
              <a:latin typeface="微软雅黑" panose="020B0503020204020204" charset="-122"/>
              <a:ea typeface="微软雅黑" panose="020B0503020204020204" charset="-122"/>
              <a:cs typeface="微软雅黑" panose="020B0503020204020204" charset="-122"/>
            </a:rPr>
            <a:t>若单位不支持缩写的单位前缀，则 CONVERT 返回错误值 #N/A。</a:t>
          </a:r>
          <a:endParaRPr lang="zh-CN" altLang="en-US" sz="1000" b="1">
            <a:solidFill>
              <a:srgbClr val="FF0000"/>
            </a:solidFill>
            <a:latin typeface="微软雅黑" panose="020B0503020204020204" charset="-122"/>
            <a:ea typeface="微软雅黑" panose="020B0503020204020204" charset="-122"/>
            <a:cs typeface="微软雅黑" panose="020B0503020204020204" charset="-122"/>
          </a:endParaRPr>
        </a:p>
        <a:p>
          <a:pPr algn="l"/>
          <a:r>
            <a:rPr lang="zh-CN" altLang="en-US" sz="1000" b="1">
              <a:solidFill>
                <a:srgbClr val="FF0000"/>
              </a:solidFill>
              <a:latin typeface="微软雅黑" panose="020B0503020204020204" charset="-122"/>
              <a:ea typeface="微软雅黑" panose="020B0503020204020204" charset="-122"/>
              <a:cs typeface="微软雅黑" panose="020B0503020204020204" charset="-122"/>
            </a:rPr>
            <a:t>若单位在不同的组中，则 CONVERT 返回错误值 #N/A。</a:t>
          </a:r>
          <a:endParaRPr lang="zh-CN" altLang="en-US" sz="1000" b="1">
            <a:solidFill>
              <a:srgbClr val="FF0000"/>
            </a:solidFill>
            <a:latin typeface="微软雅黑" panose="020B0503020204020204" charset="-122"/>
            <a:ea typeface="微软雅黑" panose="020B0503020204020204" charset="-122"/>
            <a:cs typeface="微软雅黑" panose="020B0503020204020204" charset="-122"/>
          </a:endParaRPr>
        </a:p>
        <a:p>
          <a:pPr algn="l"/>
          <a:r>
            <a:rPr lang="zh-CN" altLang="en-US" sz="1000" b="1">
              <a:solidFill>
                <a:srgbClr val="FF0000"/>
              </a:solidFill>
              <a:latin typeface="微软雅黑" panose="020B0503020204020204" charset="-122"/>
              <a:ea typeface="微软雅黑" panose="020B0503020204020204" charset="-122"/>
              <a:cs typeface="微软雅黑" panose="020B0503020204020204" charset="-122"/>
            </a:rPr>
            <a:t>单位名称和前缀要区分大小写。</a:t>
          </a:r>
          <a:endParaRPr lang="zh-CN" altLang="en-US" sz="10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3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absolute">
    <xdr:from>
      <xdr:col>2</xdr:col>
      <xdr:colOff>86360</xdr:colOff>
      <xdr:row>8</xdr:row>
      <xdr:rowOff>0</xdr:rowOff>
    </xdr:from>
    <xdr:to>
      <xdr:col>4</xdr:col>
      <xdr:colOff>45720</xdr:colOff>
      <xdr:row>10</xdr:row>
      <xdr:rowOff>151765</xdr:rowOff>
    </xdr:to>
    <xdr:sp>
      <xdr:nvSpPr>
        <xdr:cNvPr id="3" name="圆角矩形标注 2"/>
        <xdr:cNvSpPr/>
      </xdr:nvSpPr>
      <xdr:spPr>
        <a:xfrm>
          <a:off x="2343785" y="3035300"/>
          <a:ext cx="3921760" cy="504190"/>
        </a:xfrm>
        <a:prstGeom prst="wedgeRoundRectCallout">
          <a:avLst>
            <a:gd name="adj1" fmla="val -37544"/>
            <a:gd name="adj2" fmla="val -73131"/>
            <a:gd name="adj3" fmla="val 16667"/>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latin typeface="微软雅黑" panose="020B0503020204020204" charset="-122"/>
              <a:ea typeface="微软雅黑" panose="020B0503020204020204" charset="-122"/>
              <a:cs typeface="微软雅黑" panose="020B0503020204020204" charset="-122"/>
            </a:rPr>
            <a:t>求</a:t>
          </a:r>
          <a:r>
            <a:rPr lang="en-US" altLang="zh-CN" sz="1100" b="1">
              <a:latin typeface="微软雅黑" panose="020B0503020204020204" charset="-122"/>
              <a:ea typeface="微软雅黑" panose="020B0503020204020204" charset="-122"/>
              <a:cs typeface="微软雅黑" panose="020B0503020204020204" charset="-122"/>
            </a:rPr>
            <a:t>A5:B9</a:t>
          </a:r>
          <a:r>
            <a:rPr lang="zh-CN" altLang="en-US" sz="1100" b="1">
              <a:latin typeface="微软雅黑" panose="020B0503020204020204" charset="-122"/>
              <a:ea typeface="微软雅黑" panose="020B0503020204020204" charset="-122"/>
              <a:cs typeface="微软雅黑" panose="020B0503020204020204" charset="-122"/>
            </a:rPr>
            <a:t>中第</a:t>
          </a:r>
          <a:r>
            <a:rPr lang="en-US" altLang="zh-CN" sz="1100" b="1">
              <a:latin typeface="微软雅黑" panose="020B0503020204020204" charset="-122"/>
              <a:ea typeface="微软雅黑" panose="020B0503020204020204" charset="-122"/>
              <a:cs typeface="微软雅黑" panose="020B0503020204020204" charset="-122"/>
            </a:rPr>
            <a:t>3</a:t>
          </a:r>
          <a:r>
            <a:rPr lang="zh-CN" altLang="en-US" sz="1100" b="1">
              <a:latin typeface="微软雅黑" panose="020B0503020204020204" charset="-122"/>
              <a:ea typeface="微软雅黑" panose="020B0503020204020204" charset="-122"/>
              <a:cs typeface="微软雅黑" panose="020B0503020204020204" charset="-122"/>
            </a:rPr>
            <a:t>大的数，结果为</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。但是数组中有两个</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，只会显示第</a:t>
          </a:r>
          <a:r>
            <a:rPr lang="en-US" altLang="zh-CN" sz="1100" b="1">
              <a:latin typeface="微软雅黑" panose="020B0503020204020204" charset="-122"/>
              <a:ea typeface="微软雅黑" panose="020B0503020204020204" charset="-122"/>
              <a:cs typeface="微软雅黑" panose="020B0503020204020204" charset="-122"/>
            </a:rPr>
            <a:t>1</a:t>
          </a:r>
          <a:r>
            <a:rPr lang="zh-CN" altLang="en-US" sz="1100" b="1">
              <a:latin typeface="微软雅黑" panose="020B0503020204020204" charset="-122"/>
              <a:ea typeface="微软雅黑" panose="020B0503020204020204" charset="-122"/>
              <a:cs typeface="微软雅黑" panose="020B0503020204020204" charset="-122"/>
            </a:rPr>
            <a:t>个。第</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大的数，结果依然为</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，第</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大的数为</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a:t>
          </a:r>
          <a:endParaRPr lang="en-US" altLang="zh-CN" sz="1100" b="1">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3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3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1</xdr:col>
      <xdr:colOff>47625</xdr:colOff>
      <xdr:row>9</xdr:row>
      <xdr:rowOff>123825</xdr:rowOff>
    </xdr:from>
    <xdr:to>
      <xdr:col>2</xdr:col>
      <xdr:colOff>1152525</xdr:colOff>
      <xdr:row>12</xdr:row>
      <xdr:rowOff>123825</xdr:rowOff>
    </xdr:to>
    <xdr:sp>
      <xdr:nvSpPr>
        <xdr:cNvPr id="4" name="圆角矩形标注 3"/>
        <xdr:cNvSpPr/>
      </xdr:nvSpPr>
      <xdr:spPr>
        <a:xfrm>
          <a:off x="1076325" y="3175000"/>
          <a:ext cx="2276475" cy="514350"/>
        </a:xfrm>
        <a:prstGeom prst="wedgeRoundRectCallout">
          <a:avLst>
            <a:gd name="adj1" fmla="val -22914"/>
            <a:gd name="adj2" fmla="val -61543"/>
            <a:gd name="adj3" fmla="val 16667"/>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zh-CN" sz="1100" b="1">
              <a:latin typeface="微软雅黑" panose="020B0503020204020204" charset="-122"/>
              <a:ea typeface="微软雅黑" panose="020B0503020204020204" charset="-122"/>
              <a:cs typeface="微软雅黑" panose="020B0503020204020204" charset="-122"/>
            </a:rPr>
            <a:t>RANK</a:t>
          </a:r>
          <a:r>
            <a:rPr lang="zh-CN" altLang="en-US" sz="1100" b="1">
              <a:latin typeface="微软雅黑" panose="020B0503020204020204" charset="-122"/>
              <a:ea typeface="微软雅黑" panose="020B0503020204020204" charset="-122"/>
              <a:cs typeface="微软雅黑" panose="020B0503020204020204" charset="-122"/>
            </a:rPr>
            <a:t>和</a:t>
          </a:r>
          <a:r>
            <a:rPr lang="en-US" altLang="zh-CN" sz="1100" b="1">
              <a:latin typeface="微软雅黑" panose="020B0503020204020204" charset="-122"/>
              <a:ea typeface="微软雅黑" panose="020B0503020204020204" charset="-122"/>
              <a:cs typeface="微软雅黑" panose="020B0503020204020204" charset="-122"/>
            </a:rPr>
            <a:t>RANK.EQ</a:t>
          </a:r>
          <a:r>
            <a:rPr lang="zh-CN" altLang="en-US" sz="1100" b="1">
              <a:latin typeface="微软雅黑" panose="020B0503020204020204" charset="-122"/>
              <a:ea typeface="微软雅黑" panose="020B0503020204020204" charset="-122"/>
              <a:cs typeface="微软雅黑" panose="020B0503020204020204" charset="-122"/>
            </a:rPr>
            <a:t>计算结果完全相同</a:t>
          </a:r>
          <a:endParaRPr lang="zh-CN" altLang="en-US" sz="1100" b="1">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xdr:col>
      <xdr:colOff>41275</xdr:colOff>
      <xdr:row>10</xdr:row>
      <xdr:rowOff>38100</xdr:rowOff>
    </xdr:from>
    <xdr:to>
      <xdr:col>5</xdr:col>
      <xdr:colOff>1905</xdr:colOff>
      <xdr:row>14</xdr:row>
      <xdr:rowOff>66040</xdr:rowOff>
    </xdr:to>
    <xdr:sp>
      <xdr:nvSpPr>
        <xdr:cNvPr id="5" name="圆角矩形标注 4"/>
        <xdr:cNvSpPr/>
      </xdr:nvSpPr>
      <xdr:spPr>
        <a:xfrm>
          <a:off x="3508375" y="3260725"/>
          <a:ext cx="2656205" cy="713740"/>
        </a:xfrm>
        <a:prstGeom prst="wedgeRoundRectCallout">
          <a:avLst>
            <a:gd name="adj1" fmla="val 24141"/>
            <a:gd name="adj2" fmla="val -74444"/>
            <a:gd name="adj3" fmla="val 16667"/>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b="1">
              <a:latin typeface="微软雅黑" panose="020B0503020204020204" charset="-122"/>
              <a:ea typeface="微软雅黑" panose="020B0503020204020204" charset="-122"/>
              <a:cs typeface="微软雅黑" panose="020B0503020204020204" charset="-122"/>
            </a:rPr>
            <a:t>RANK.AVG</a:t>
          </a:r>
          <a:r>
            <a:rPr lang="zh-CN" altLang="en-US" sz="1100" b="1">
              <a:latin typeface="微软雅黑" panose="020B0503020204020204" charset="-122"/>
              <a:ea typeface="微软雅黑" panose="020B0503020204020204" charset="-122"/>
              <a:cs typeface="微软雅黑" panose="020B0503020204020204" charset="-122"/>
            </a:rPr>
            <a:t>计算第</a:t>
          </a:r>
          <a:r>
            <a:rPr lang="en-US" altLang="zh-CN" sz="1100" b="1">
              <a:latin typeface="微软雅黑" panose="020B0503020204020204" charset="-122"/>
              <a:ea typeface="微软雅黑" panose="020B0503020204020204" charset="-122"/>
              <a:cs typeface="微软雅黑" panose="020B0503020204020204" charset="-122"/>
            </a:rPr>
            <a:t>3</a:t>
          </a:r>
          <a:r>
            <a:rPr lang="zh-CN" altLang="en-US" sz="1100" b="1">
              <a:latin typeface="微软雅黑" panose="020B0503020204020204" charset="-122"/>
              <a:ea typeface="微软雅黑" panose="020B0503020204020204" charset="-122"/>
              <a:cs typeface="微软雅黑" panose="020B0503020204020204" charset="-122"/>
            </a:rPr>
            <a:t>、</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名数值一致，按照平均排位计算，（</a:t>
          </a:r>
          <a:r>
            <a:rPr lang="en-US" altLang="zh-CN" sz="1100" b="1">
              <a:latin typeface="微软雅黑" panose="020B0503020204020204" charset="-122"/>
              <a:ea typeface="微软雅黑" panose="020B0503020204020204" charset="-122"/>
              <a:cs typeface="微软雅黑" panose="020B0503020204020204" charset="-122"/>
            </a:rPr>
            <a:t>3+4+5)/3=4</a:t>
          </a:r>
          <a:r>
            <a:rPr lang="zh-CN" altLang="en-US" sz="1100" b="1">
              <a:latin typeface="微软雅黑" panose="020B0503020204020204" charset="-122"/>
              <a:ea typeface="微软雅黑" panose="020B0503020204020204" charset="-122"/>
              <a:cs typeface="微软雅黑" panose="020B0503020204020204" charset="-122"/>
            </a:rPr>
            <a:t>，名次都按</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排位。</a:t>
          </a:r>
          <a:endParaRPr lang="zh-CN" altLang="en-US" sz="1100" b="1">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4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1</xdr:col>
      <xdr:colOff>47625</xdr:colOff>
      <xdr:row>9</xdr:row>
      <xdr:rowOff>123825</xdr:rowOff>
    </xdr:from>
    <xdr:to>
      <xdr:col>2</xdr:col>
      <xdr:colOff>1152525</xdr:colOff>
      <xdr:row>12</xdr:row>
      <xdr:rowOff>123825</xdr:rowOff>
    </xdr:to>
    <xdr:sp>
      <xdr:nvSpPr>
        <xdr:cNvPr id="3" name="圆角矩形标注 2"/>
        <xdr:cNvSpPr/>
      </xdr:nvSpPr>
      <xdr:spPr>
        <a:xfrm>
          <a:off x="1076325" y="3175000"/>
          <a:ext cx="2276475" cy="514350"/>
        </a:xfrm>
        <a:prstGeom prst="wedgeRoundRectCallout">
          <a:avLst>
            <a:gd name="adj1" fmla="val -22914"/>
            <a:gd name="adj2" fmla="val -61543"/>
            <a:gd name="adj3" fmla="val 16667"/>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b="1">
              <a:latin typeface="微软雅黑" panose="020B0503020204020204" charset="-122"/>
              <a:ea typeface="微软雅黑" panose="020B0503020204020204" charset="-122"/>
              <a:cs typeface="微软雅黑" panose="020B0503020204020204" charset="-122"/>
            </a:rPr>
            <a:t>RANK</a:t>
          </a:r>
          <a:r>
            <a:rPr lang="zh-CN" altLang="en-US" sz="1100" b="1">
              <a:latin typeface="微软雅黑" panose="020B0503020204020204" charset="-122"/>
              <a:ea typeface="微软雅黑" panose="020B0503020204020204" charset="-122"/>
              <a:cs typeface="微软雅黑" panose="020B0503020204020204" charset="-122"/>
            </a:rPr>
            <a:t>和</a:t>
          </a:r>
          <a:r>
            <a:rPr lang="en-US" altLang="zh-CN" sz="1100" b="1">
              <a:latin typeface="微软雅黑" panose="020B0503020204020204" charset="-122"/>
              <a:ea typeface="微软雅黑" panose="020B0503020204020204" charset="-122"/>
              <a:cs typeface="微软雅黑" panose="020B0503020204020204" charset="-122"/>
            </a:rPr>
            <a:t>RANK.EQ</a:t>
          </a:r>
          <a:r>
            <a:rPr lang="zh-CN" altLang="en-US" sz="1100" b="1">
              <a:latin typeface="微软雅黑" panose="020B0503020204020204" charset="-122"/>
              <a:ea typeface="微软雅黑" panose="020B0503020204020204" charset="-122"/>
              <a:cs typeface="微软雅黑" panose="020B0503020204020204" charset="-122"/>
            </a:rPr>
            <a:t>计算结果完全相同</a:t>
          </a:r>
          <a:endParaRPr lang="zh-CN" altLang="en-US" sz="1100" b="1">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xdr:col>
      <xdr:colOff>41275</xdr:colOff>
      <xdr:row>10</xdr:row>
      <xdr:rowOff>38100</xdr:rowOff>
    </xdr:from>
    <xdr:to>
      <xdr:col>5</xdr:col>
      <xdr:colOff>1905</xdr:colOff>
      <xdr:row>14</xdr:row>
      <xdr:rowOff>66040</xdr:rowOff>
    </xdr:to>
    <xdr:sp>
      <xdr:nvSpPr>
        <xdr:cNvPr id="4" name="圆角矩形标注 3"/>
        <xdr:cNvSpPr/>
      </xdr:nvSpPr>
      <xdr:spPr>
        <a:xfrm>
          <a:off x="3508375" y="3260725"/>
          <a:ext cx="2656205" cy="713740"/>
        </a:xfrm>
        <a:prstGeom prst="wedgeRoundRectCallout">
          <a:avLst>
            <a:gd name="adj1" fmla="val 24141"/>
            <a:gd name="adj2" fmla="val -74444"/>
            <a:gd name="adj3" fmla="val 16667"/>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zh-CN" sz="1100" b="1">
              <a:latin typeface="微软雅黑" panose="020B0503020204020204" charset="-122"/>
              <a:ea typeface="微软雅黑" panose="020B0503020204020204" charset="-122"/>
              <a:cs typeface="微软雅黑" panose="020B0503020204020204" charset="-122"/>
            </a:rPr>
            <a:t>RANK.AVG</a:t>
          </a:r>
          <a:r>
            <a:rPr lang="zh-CN" altLang="en-US" sz="1100" b="1">
              <a:latin typeface="微软雅黑" panose="020B0503020204020204" charset="-122"/>
              <a:ea typeface="微软雅黑" panose="020B0503020204020204" charset="-122"/>
              <a:cs typeface="微软雅黑" panose="020B0503020204020204" charset="-122"/>
            </a:rPr>
            <a:t>计算第</a:t>
          </a:r>
          <a:r>
            <a:rPr lang="en-US" altLang="zh-CN" sz="1100" b="1">
              <a:latin typeface="微软雅黑" panose="020B0503020204020204" charset="-122"/>
              <a:ea typeface="微软雅黑" panose="020B0503020204020204" charset="-122"/>
              <a:cs typeface="微软雅黑" panose="020B0503020204020204" charset="-122"/>
            </a:rPr>
            <a:t>3</a:t>
          </a:r>
          <a:r>
            <a:rPr lang="zh-CN" altLang="en-US" sz="1100" b="1">
              <a:latin typeface="微软雅黑" panose="020B0503020204020204" charset="-122"/>
              <a:ea typeface="微软雅黑" panose="020B0503020204020204" charset="-122"/>
              <a:cs typeface="微软雅黑" panose="020B0503020204020204" charset="-122"/>
            </a:rPr>
            <a:t>、</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a:t>
          </a:r>
          <a:r>
            <a:rPr lang="en-US" altLang="zh-CN" sz="1100" b="1">
              <a:latin typeface="微软雅黑" panose="020B0503020204020204" charset="-122"/>
              <a:ea typeface="微软雅黑" panose="020B0503020204020204" charset="-122"/>
              <a:cs typeface="微软雅黑" panose="020B0503020204020204" charset="-122"/>
            </a:rPr>
            <a:t>5</a:t>
          </a:r>
          <a:r>
            <a:rPr lang="zh-CN" altLang="en-US" sz="1100" b="1">
              <a:latin typeface="微软雅黑" panose="020B0503020204020204" charset="-122"/>
              <a:ea typeface="微软雅黑" panose="020B0503020204020204" charset="-122"/>
              <a:cs typeface="微软雅黑" panose="020B0503020204020204" charset="-122"/>
            </a:rPr>
            <a:t>名数值一致，按照平均排位计算，（</a:t>
          </a:r>
          <a:r>
            <a:rPr lang="en-US" altLang="zh-CN" sz="1100" b="1">
              <a:latin typeface="微软雅黑" panose="020B0503020204020204" charset="-122"/>
              <a:ea typeface="微软雅黑" panose="020B0503020204020204" charset="-122"/>
              <a:cs typeface="微软雅黑" panose="020B0503020204020204" charset="-122"/>
            </a:rPr>
            <a:t>3+4+5)/3=4</a:t>
          </a:r>
          <a:r>
            <a:rPr lang="zh-CN" altLang="en-US" sz="1100" b="1">
              <a:latin typeface="微软雅黑" panose="020B0503020204020204" charset="-122"/>
              <a:ea typeface="微软雅黑" panose="020B0503020204020204" charset="-122"/>
              <a:cs typeface="微软雅黑" panose="020B0503020204020204" charset="-122"/>
            </a:rPr>
            <a:t>，名次都按</a:t>
          </a:r>
          <a:r>
            <a:rPr lang="en-US" altLang="zh-CN" sz="1100" b="1">
              <a:latin typeface="微软雅黑" panose="020B0503020204020204" charset="-122"/>
              <a:ea typeface="微软雅黑" panose="020B0503020204020204" charset="-122"/>
              <a:cs typeface="微软雅黑" panose="020B0503020204020204" charset="-122"/>
            </a:rPr>
            <a:t>4</a:t>
          </a:r>
          <a:r>
            <a:rPr lang="zh-CN" altLang="en-US" sz="1100" b="1">
              <a:latin typeface="微软雅黑" panose="020B0503020204020204" charset="-122"/>
              <a:ea typeface="微软雅黑" panose="020B0503020204020204" charset="-122"/>
              <a:cs typeface="微软雅黑" panose="020B0503020204020204" charset="-122"/>
            </a:rPr>
            <a:t>排位。</a:t>
          </a:r>
          <a:endParaRPr lang="zh-CN" altLang="en-US" sz="1100" b="1">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4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4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228600</xdr:rowOff>
    </xdr:to>
    <xdr:sp>
      <xdr:nvSpPr>
        <xdr:cNvPr id="2" name="矩形 1">
          <a:hlinkClick xmlns:r="http://schemas.openxmlformats.org/officeDocument/2006/relationships" r:id="rId1"/>
        </xdr:cNvPr>
        <xdr:cNvSpPr/>
      </xdr:nvSpPr>
      <xdr:spPr>
        <a:xfrm>
          <a:off x="635" y="10795"/>
          <a:ext cx="685165" cy="217805"/>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5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561975</xdr:colOff>
      <xdr:row>0</xdr:row>
      <xdr:rowOff>267335</xdr:rowOff>
    </xdr:to>
    <xdr:sp>
      <xdr:nvSpPr>
        <xdr:cNvPr id="2" name="矩形 1">
          <a:hlinkClick xmlns:r="http://schemas.openxmlformats.org/officeDocument/2006/relationships" r:id="rId1"/>
        </xdr:cNvPr>
        <xdr:cNvSpPr/>
      </xdr:nvSpPr>
      <xdr:spPr>
        <a:xfrm>
          <a:off x="635" y="10795"/>
          <a:ext cx="561340"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oneCellAnchor>
    <xdr:from>
      <xdr:col>0</xdr:col>
      <xdr:colOff>66675</xdr:colOff>
      <xdr:row>2</xdr:row>
      <xdr:rowOff>76200</xdr:rowOff>
    </xdr:from>
    <xdr:ext cx="9250045" cy="556895"/>
    <xdr:sp>
      <xdr:nvSpPr>
        <xdr:cNvPr id="4" name="文本框 3"/>
        <xdr:cNvSpPr txBox="1"/>
      </xdr:nvSpPr>
      <xdr:spPr>
        <a:xfrm>
          <a:off x="66675" y="533400"/>
          <a:ext cx="9250045" cy="55689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r>
            <a:rPr lang="en-US" altLang="zh-CN"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text</a:t>
          </a:r>
          <a:r>
            <a:rPr lang="zh-CN" altLang="en-US"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函数日常比较常用，且比较实用的文本函数，它的作用相当大，有时让你意想不到。下面就来总结一下的功能：</a:t>
          </a:r>
          <a:endParaRPr lang="zh-CN" altLang="en-US"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a:p>
          <a:pPr algn="l"/>
          <a:r>
            <a:rPr lang="en-US" altLang="zh-CN" sz="1400" b="1">
              <a:solidFill>
                <a:schemeClr val="accent1"/>
              </a:solidFill>
              <a:effectLst>
                <a:outerShdw blurRad="38100" dist="25400" dir="5400000" algn="ctr" rotWithShape="0">
                  <a:srgbClr val="6E747A">
                    <a:alpha val="43000"/>
                  </a:srgbClr>
                </a:outerShdw>
              </a:effectLst>
              <a:latin typeface="微软雅黑" panose="020B0503020204020204" charset="-122"/>
              <a:ea typeface="微软雅黑" panose="020B0503020204020204" charset="-122"/>
              <a:cs typeface="微软雅黑" panose="020B0503020204020204" charset="-122"/>
            </a:rPr>
            <a:t>1.</a:t>
          </a:r>
          <a:r>
            <a:rPr lang="zh-CN" altLang="en-US" sz="1400" b="1">
              <a:solidFill>
                <a:schemeClr val="accent1"/>
              </a:solidFill>
              <a:effectLst>
                <a:outerShdw blurRad="38100" dist="25400" dir="5400000" algn="ctr" rotWithShape="0">
                  <a:srgbClr val="6E747A">
                    <a:alpha val="43000"/>
                  </a:srgbClr>
                </a:outerShdw>
              </a:effectLst>
              <a:latin typeface="微软雅黑" panose="020B0503020204020204" charset="-122"/>
              <a:ea typeface="微软雅黑" panose="020B0503020204020204" charset="-122"/>
              <a:cs typeface="微软雅黑" panose="020B0503020204020204" charset="-122"/>
            </a:rPr>
            <a:t>语法（很简单，只有两个参数，但是可以扩展无穷）：</a:t>
          </a:r>
          <a:endParaRPr lang="zh-CN" altLang="en-US" sz="1400" b="1">
            <a:solidFill>
              <a:schemeClr val="accent1"/>
            </a:solidFill>
            <a:effectLst>
              <a:outerShdw blurRad="38100" dist="25400" dir="5400000" algn="ctr" rotWithShape="0">
                <a:srgbClr val="6E747A">
                  <a:alpha val="43000"/>
                </a:srgbClr>
              </a:outerShdw>
            </a:effectLst>
            <a:latin typeface="微软雅黑" panose="020B0503020204020204" charset="-122"/>
            <a:ea typeface="微软雅黑" panose="020B0503020204020204" charset="-122"/>
            <a:cs typeface="微软雅黑" panose="020B0503020204020204" charset="-122"/>
          </a:endParaRPr>
        </a:p>
      </xdr:txBody>
    </xdr:sp>
    <xdr:clientData/>
  </xdr:oneCellAnchor>
  <xdr:twoCellAnchor>
    <xdr:from>
      <xdr:col>0</xdr:col>
      <xdr:colOff>142875</xdr:colOff>
      <xdr:row>5</xdr:row>
      <xdr:rowOff>114300</xdr:rowOff>
    </xdr:from>
    <xdr:to>
      <xdr:col>5</xdr:col>
      <xdr:colOff>85725</xdr:colOff>
      <xdr:row>7</xdr:row>
      <xdr:rowOff>95250</xdr:rowOff>
    </xdr:to>
    <xdr:sp>
      <xdr:nvSpPr>
        <xdr:cNvPr id="5" name="文本框 4"/>
        <xdr:cNvSpPr txBox="1"/>
      </xdr:nvSpPr>
      <xdr:spPr>
        <a:xfrm>
          <a:off x="142875" y="1085850"/>
          <a:ext cx="67913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a:latin typeface="Arial Black" panose="020B0A04020102020204" charset="0"/>
              <a:cs typeface="Arial Black" panose="020B0A04020102020204" charset="0"/>
            </a:rPr>
            <a:t>text</a:t>
          </a:r>
          <a:r>
            <a:rPr lang="zh-CN" altLang="en-US" sz="1400">
              <a:latin typeface="Arial Black" panose="020B0A04020102020204" charset="0"/>
              <a:cs typeface="Arial Black" panose="020B0A04020102020204" charset="0"/>
            </a:rPr>
            <a:t>（</a:t>
          </a:r>
          <a:r>
            <a:rPr lang="en-US" altLang="zh-CN" sz="1400">
              <a:latin typeface="Arial Black" panose="020B0A04020102020204" charset="0"/>
              <a:cs typeface="Arial Black" panose="020B0A04020102020204" charset="0"/>
            </a:rPr>
            <a:t>value,format_text</a:t>
          </a:r>
          <a:r>
            <a:rPr lang="zh-CN" altLang="en-US" sz="1400">
              <a:latin typeface="Arial Black" panose="020B0A04020102020204" charset="0"/>
              <a:cs typeface="Arial Black" panose="020B0A04020102020204" charset="0"/>
            </a:rPr>
            <a:t>）</a:t>
          </a:r>
          <a:endParaRPr lang="zh-CN" altLang="en-US" sz="1400">
            <a:latin typeface="Arial Black" panose="020B0A04020102020204" charset="0"/>
            <a:cs typeface="Arial Black" panose="020B0A04020102020204" charset="0"/>
          </a:endParaRPr>
        </a:p>
      </xdr:txBody>
    </xdr:sp>
    <xdr:clientData/>
  </xdr:twoCellAnchor>
  <xdr:twoCellAnchor>
    <xdr:from>
      <xdr:col>1</xdr:col>
      <xdr:colOff>342900</xdr:colOff>
      <xdr:row>7</xdr:row>
      <xdr:rowOff>133350</xdr:rowOff>
    </xdr:from>
    <xdr:to>
      <xdr:col>1</xdr:col>
      <xdr:colOff>342900</xdr:colOff>
      <xdr:row>13</xdr:row>
      <xdr:rowOff>66675</xdr:rowOff>
    </xdr:to>
    <xdr:cxnSp>
      <xdr:nvCxnSpPr>
        <xdr:cNvPr id="6" name="直接连接符 5"/>
        <xdr:cNvCxnSpPr/>
      </xdr:nvCxnSpPr>
      <xdr:spPr>
        <a:xfrm>
          <a:off x="904875" y="1447800"/>
          <a:ext cx="0" cy="962025"/>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xdr:colOff>
      <xdr:row>7</xdr:row>
      <xdr:rowOff>95250</xdr:rowOff>
    </xdr:from>
    <xdr:to>
      <xdr:col>1</xdr:col>
      <xdr:colOff>1146175</xdr:colOff>
      <xdr:row>13</xdr:row>
      <xdr:rowOff>57150</xdr:rowOff>
    </xdr:to>
    <xdr:grpSp>
      <xdr:nvGrpSpPr>
        <xdr:cNvPr id="7" name="组合 6"/>
        <xdr:cNvGrpSpPr/>
      </xdr:nvGrpSpPr>
      <xdr:grpSpPr>
        <a:xfrm>
          <a:off x="695325" y="1409700"/>
          <a:ext cx="1012825" cy="990600"/>
          <a:chOff x="1275" y="2220"/>
          <a:chExt cx="1218" cy="1560"/>
        </a:xfrm>
      </xdr:grpSpPr>
      <xdr:cxnSp>
        <xdr:nvCxnSpPr>
          <xdr:cNvPr id="8" name="直接连接符 7"/>
          <xdr:cNvCxnSpPr/>
        </xdr:nvCxnSpPr>
        <xdr:spPr>
          <a:xfrm>
            <a:off x="1275" y="2220"/>
            <a:ext cx="825"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xnSp>
        <xdr:nvCxnSpPr>
          <xdr:cNvPr id="9" name="直接连接符 8"/>
          <xdr:cNvCxnSpPr/>
        </xdr:nvCxnSpPr>
        <xdr:spPr>
          <a:xfrm>
            <a:off x="1503" y="3780"/>
            <a:ext cx="990" cy="0"/>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932815</xdr:colOff>
      <xdr:row>11</xdr:row>
      <xdr:rowOff>167640</xdr:rowOff>
    </xdr:from>
    <xdr:to>
      <xdr:col>5</xdr:col>
      <xdr:colOff>370840</xdr:colOff>
      <xdr:row>15</xdr:row>
      <xdr:rowOff>81280</xdr:rowOff>
    </xdr:to>
    <xdr:sp>
      <xdr:nvSpPr>
        <xdr:cNvPr id="10" name="文本框 9"/>
        <xdr:cNvSpPr txBox="1"/>
      </xdr:nvSpPr>
      <xdr:spPr>
        <a:xfrm>
          <a:off x="1494790" y="2167890"/>
          <a:ext cx="5724525" cy="599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400" b="1">
              <a:solidFill>
                <a:srgbClr val="FFC000"/>
              </a:solidFill>
              <a:latin typeface="微软雅黑" panose="020B0503020204020204" charset="-122"/>
              <a:ea typeface="微软雅黑" panose="020B0503020204020204" charset="-122"/>
              <a:cs typeface="微软雅黑" panose="020B0503020204020204" charset="-122"/>
            </a:rPr>
            <a:t>value  必需。数值、计算结果为数值的公式，或对包含数值的单元格的引用。</a:t>
          </a:r>
          <a:endParaRPr lang="zh-CN" altLang="en-US" sz="1400" b="1">
            <a:solidFill>
              <a:srgbClr val="FFC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xdr:col>
      <xdr:colOff>904875</xdr:colOff>
      <xdr:row>7</xdr:row>
      <xdr:rowOff>95250</xdr:rowOff>
    </xdr:from>
    <xdr:to>
      <xdr:col>2</xdr:col>
      <xdr:colOff>733425</xdr:colOff>
      <xdr:row>10</xdr:row>
      <xdr:rowOff>42545</xdr:rowOff>
    </xdr:to>
    <xdr:grpSp>
      <xdr:nvGrpSpPr>
        <xdr:cNvPr id="11" name="组合 10"/>
        <xdr:cNvGrpSpPr/>
      </xdr:nvGrpSpPr>
      <xdr:grpSpPr>
        <a:xfrm>
          <a:off x="1466850" y="1409700"/>
          <a:ext cx="1171575" cy="461645"/>
          <a:chOff x="660" y="2174"/>
          <a:chExt cx="2120" cy="1606"/>
        </a:xfrm>
      </xdr:grpSpPr>
      <xdr:cxnSp>
        <xdr:nvCxnSpPr>
          <xdr:cNvPr id="12" name="直接连接符 11"/>
          <xdr:cNvCxnSpPr/>
        </xdr:nvCxnSpPr>
        <xdr:spPr>
          <a:xfrm flipV="1">
            <a:off x="660" y="2174"/>
            <a:ext cx="2120" cy="22"/>
          </a:xfrm>
          <a:prstGeom prst="line">
            <a:avLst/>
          </a:prstGeom>
          <a:ln w="28575">
            <a:solidFill>
              <a:srgbClr val="002060"/>
            </a:solidFill>
          </a:ln>
        </xdr:spPr>
        <xdr:style>
          <a:lnRef idx="1">
            <a:schemeClr val="accent1"/>
          </a:lnRef>
          <a:fillRef idx="0">
            <a:schemeClr val="accent1"/>
          </a:fillRef>
          <a:effectRef idx="0">
            <a:schemeClr val="accent1"/>
          </a:effectRef>
          <a:fontRef idx="minor">
            <a:schemeClr val="tx1"/>
          </a:fontRef>
        </xdr:style>
      </xdr:cxnSp>
      <xdr:grpSp>
        <xdr:nvGrpSpPr>
          <xdr:cNvPr id="13" name="组合 12"/>
          <xdr:cNvGrpSpPr/>
        </xdr:nvGrpSpPr>
        <xdr:grpSpPr>
          <a:xfrm>
            <a:off x="1605" y="2263"/>
            <a:ext cx="990" cy="1517"/>
            <a:chOff x="1605" y="2263"/>
            <a:chExt cx="990" cy="1517"/>
          </a:xfrm>
        </xdr:grpSpPr>
        <xdr:cxnSp>
          <xdr:nvCxnSpPr>
            <xdr:cNvPr id="14" name="直接连接符 13"/>
            <xdr:cNvCxnSpPr/>
          </xdr:nvCxnSpPr>
          <xdr:spPr>
            <a:xfrm>
              <a:off x="1605" y="3780"/>
              <a:ext cx="990" cy="0"/>
            </a:xfrm>
            <a:prstGeom prst="line">
              <a:avLst/>
            </a:prstGeom>
            <a:ln w="22225">
              <a:solidFill>
                <a:srgbClr val="002060"/>
              </a:solidFill>
            </a:ln>
          </xdr:spPr>
          <xdr:style>
            <a:lnRef idx="1">
              <a:schemeClr val="accent1"/>
            </a:lnRef>
            <a:fillRef idx="0">
              <a:schemeClr val="accent1"/>
            </a:fillRef>
            <a:effectRef idx="0">
              <a:schemeClr val="accent1"/>
            </a:effectRef>
            <a:fontRef idx="minor">
              <a:schemeClr val="tx1"/>
            </a:fontRef>
          </xdr:style>
        </xdr:cxnSp>
        <xdr:cxnSp>
          <xdr:nvCxnSpPr>
            <xdr:cNvPr id="15" name="直接连接符 14"/>
            <xdr:cNvCxnSpPr/>
          </xdr:nvCxnSpPr>
          <xdr:spPr>
            <a:xfrm>
              <a:off x="1605" y="2263"/>
              <a:ext cx="0" cy="1515"/>
            </a:xfrm>
            <a:prstGeom prst="line">
              <a:avLst/>
            </a:prstGeom>
            <a:ln w="22225">
              <a:solidFill>
                <a:srgbClr val="00206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647065</xdr:colOff>
      <xdr:row>8</xdr:row>
      <xdr:rowOff>120015</xdr:rowOff>
    </xdr:from>
    <xdr:to>
      <xdr:col>6</xdr:col>
      <xdr:colOff>74930</xdr:colOff>
      <xdr:row>12</xdr:row>
      <xdr:rowOff>33655</xdr:rowOff>
    </xdr:to>
    <xdr:sp>
      <xdr:nvSpPr>
        <xdr:cNvPr id="16" name="文本框 15"/>
        <xdr:cNvSpPr txBox="1"/>
      </xdr:nvSpPr>
      <xdr:spPr>
        <a:xfrm>
          <a:off x="2552065" y="1605915"/>
          <a:ext cx="7666990" cy="599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400" b="1">
              <a:solidFill>
                <a:srgbClr val="002060"/>
              </a:solidFill>
              <a:latin typeface="微软雅黑" panose="020B0503020204020204" charset="-122"/>
              <a:ea typeface="微软雅黑" panose="020B0503020204020204" charset="-122"/>
              <a:cs typeface="微软雅黑" panose="020B0503020204020204" charset="-122"/>
            </a:rPr>
            <a:t>format_text  必需。使用双引号括起来作为文本字符串的数字格式，例如，"m/d/yyyy" 或 "#,##0.00"</a:t>
          </a:r>
          <a:endParaRPr lang="zh-CN" altLang="en-US" sz="1400" b="1">
            <a:solidFill>
              <a:srgbClr val="00206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0</xdr:col>
      <xdr:colOff>76200</xdr:colOff>
      <xdr:row>15</xdr:row>
      <xdr:rowOff>158115</xdr:rowOff>
    </xdr:from>
    <xdr:to>
      <xdr:col>3</xdr:col>
      <xdr:colOff>314325</xdr:colOff>
      <xdr:row>17</xdr:row>
      <xdr:rowOff>138430</xdr:rowOff>
    </xdr:to>
    <xdr:sp>
      <xdr:nvSpPr>
        <xdr:cNvPr id="17" name="文本框 16"/>
        <xdr:cNvSpPr txBox="1"/>
      </xdr:nvSpPr>
      <xdr:spPr>
        <a:xfrm>
          <a:off x="76200" y="2844165"/>
          <a:ext cx="4391025" cy="323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2.</a:t>
          </a:r>
          <a:r>
            <a:rPr lang="zh-CN" altLang="en-US"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一些主要用法整理</a:t>
          </a:r>
          <a:endParaRPr lang="zh-CN" altLang="en-US" sz="14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0</xdr:col>
      <xdr:colOff>635</xdr:colOff>
      <xdr:row>0</xdr:row>
      <xdr:rowOff>10795</xdr:rowOff>
    </xdr:from>
    <xdr:to>
      <xdr:col>0</xdr:col>
      <xdr:colOff>561975</xdr:colOff>
      <xdr:row>0</xdr:row>
      <xdr:rowOff>267335</xdr:rowOff>
    </xdr:to>
    <xdr:sp>
      <xdr:nvSpPr>
        <xdr:cNvPr id="18" name="矩形 17">
          <a:hlinkClick xmlns:r="http://schemas.openxmlformats.org/officeDocument/2006/relationships" r:id="rId1"/>
        </xdr:cNvPr>
        <xdr:cNvSpPr/>
      </xdr:nvSpPr>
      <xdr:spPr>
        <a:xfrm>
          <a:off x="635" y="10795"/>
          <a:ext cx="561340"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6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7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8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19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609600</xdr:colOff>
      <xdr:row>0</xdr:row>
      <xdr:rowOff>267335</xdr:rowOff>
    </xdr:to>
    <xdr:sp>
      <xdr:nvSpPr>
        <xdr:cNvPr id="2" name="矩形 1">
          <a:hlinkClick xmlns:r="http://schemas.openxmlformats.org/officeDocument/2006/relationships" r:id="rId1"/>
        </xdr:cNvPr>
        <xdr:cNvSpPr/>
      </xdr:nvSpPr>
      <xdr:spPr>
        <a:xfrm>
          <a:off x="635" y="10795"/>
          <a:ext cx="6089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editAs="oneCell">
    <xdr:from>
      <xdr:col>4</xdr:col>
      <xdr:colOff>676275</xdr:colOff>
      <xdr:row>19</xdr:row>
      <xdr:rowOff>142875</xdr:rowOff>
    </xdr:from>
    <xdr:to>
      <xdr:col>9</xdr:col>
      <xdr:colOff>85090</xdr:colOff>
      <xdr:row>23</xdr:row>
      <xdr:rowOff>123825</xdr:rowOff>
    </xdr:to>
    <xdr:sp>
      <xdr:nvSpPr>
        <xdr:cNvPr id="5" name="圆角矩形标注 4"/>
        <xdr:cNvSpPr/>
      </xdr:nvSpPr>
      <xdr:spPr>
        <a:xfrm>
          <a:off x="3886200" y="9169400"/>
          <a:ext cx="3075940" cy="704850"/>
        </a:xfrm>
        <a:prstGeom prst="wedgeRoundRectCallout">
          <a:avLst>
            <a:gd name="adj1" fmla="val -5733"/>
            <a:gd name="adj2" fmla="val -64257"/>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a:latin typeface="微软雅黑" panose="020B0503020204020204" charset="-122"/>
              <a:ea typeface="微软雅黑" panose="020B0503020204020204" charset="-122"/>
              <a:cs typeface="微软雅黑" panose="020B0503020204020204" charset="-122"/>
            </a:rPr>
            <a:t>根据姓名查找工号：</a:t>
          </a:r>
          <a:endParaRPr lang="zh-CN" altLang="en-US">
            <a:latin typeface="微软雅黑" panose="020B0503020204020204" charset="-122"/>
            <a:ea typeface="微软雅黑" panose="020B0503020204020204" charset="-122"/>
            <a:cs typeface="微软雅黑" panose="020B0503020204020204" charset="-122"/>
          </a:endParaRPr>
        </a:p>
        <a:p>
          <a:pPr algn="l"/>
          <a:r>
            <a:rPr lang="en-US" altLang="zh-CN">
              <a:latin typeface="微软雅黑" panose="020B0503020204020204" charset="-122"/>
              <a:ea typeface="微软雅黑" panose="020B0503020204020204" charset="-122"/>
              <a:cs typeface="微软雅黑" panose="020B0503020204020204" charset="-122"/>
            </a:rPr>
            <a:t>G10</a:t>
          </a:r>
          <a:r>
            <a:rPr lang="zh-CN" altLang="en-US">
              <a:latin typeface="微软雅黑" panose="020B0503020204020204" charset="-122"/>
              <a:ea typeface="微软雅黑" panose="020B0503020204020204" charset="-122"/>
              <a:cs typeface="微软雅黑" panose="020B0503020204020204" charset="-122"/>
            </a:rPr>
            <a:t>单元格的公式应为</a:t>
          </a:r>
          <a:endParaRPr lang="zh-CN" altLang="en-US">
            <a:latin typeface="微软雅黑" panose="020B0503020204020204" charset="-122"/>
            <a:ea typeface="微软雅黑" panose="020B0503020204020204" charset="-122"/>
            <a:cs typeface="微软雅黑" panose="020B0503020204020204" charset="-122"/>
          </a:endParaRPr>
        </a:p>
        <a:p>
          <a:pPr algn="l"/>
          <a:r>
            <a:rPr lang="en-US" altLang="zh-CN">
              <a:latin typeface="微软雅黑" panose="020B0503020204020204" charset="-122"/>
              <a:ea typeface="微软雅黑" panose="020B0503020204020204" charset="-122"/>
              <a:cs typeface="微软雅黑" panose="020B0503020204020204" charset="-122"/>
            </a:rPr>
            <a:t>=LOOKUP(1,0/(B10:B16=F10),A10:A16)</a:t>
          </a:r>
          <a:endParaRPr lang="en-US" altLang="zh-CN">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4</xdr:col>
      <xdr:colOff>733425</xdr:colOff>
      <xdr:row>29</xdr:row>
      <xdr:rowOff>57150</xdr:rowOff>
    </xdr:from>
    <xdr:to>
      <xdr:col>10</xdr:col>
      <xdr:colOff>436245</xdr:colOff>
      <xdr:row>33</xdr:row>
      <xdr:rowOff>38100</xdr:rowOff>
    </xdr:to>
    <xdr:sp>
      <xdr:nvSpPr>
        <xdr:cNvPr id="6" name="圆角矩形标注 5"/>
        <xdr:cNvSpPr/>
      </xdr:nvSpPr>
      <xdr:spPr>
        <a:xfrm>
          <a:off x="3943350" y="10969625"/>
          <a:ext cx="4122420" cy="704850"/>
        </a:xfrm>
        <a:prstGeom prst="wedgeRoundRectCallout">
          <a:avLst>
            <a:gd name="adj1" fmla="val -3111"/>
            <a:gd name="adj2" fmla="val -76396"/>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根据姓名和月份查找销量：</a:t>
          </a:r>
          <a:endParaRPr lang="zh-CN" altLang="en-US">
            <a:latin typeface="微软雅黑" panose="020B0503020204020204" charset="-122"/>
            <a:ea typeface="微软雅黑" panose="020B0503020204020204" charset="-122"/>
            <a:cs typeface="微软雅黑" panose="020B0503020204020204" charset="-122"/>
          </a:endParaRPr>
        </a:p>
        <a:p>
          <a:pPr algn="l"/>
          <a:r>
            <a:rPr lang="en-US" altLang="zh-CN">
              <a:latin typeface="微软雅黑" panose="020B0503020204020204" charset="-122"/>
              <a:ea typeface="微软雅黑" panose="020B0503020204020204" charset="-122"/>
              <a:cs typeface="微软雅黑" panose="020B0503020204020204" charset="-122"/>
            </a:rPr>
            <a:t>H10</a:t>
          </a:r>
          <a:r>
            <a:rPr lang="zh-CN" altLang="en-US">
              <a:latin typeface="微软雅黑" panose="020B0503020204020204" charset="-122"/>
              <a:ea typeface="微软雅黑" panose="020B0503020204020204" charset="-122"/>
              <a:cs typeface="微软雅黑" panose="020B0503020204020204" charset="-122"/>
            </a:rPr>
            <a:t>单元格的公式应为</a:t>
          </a:r>
          <a:endParaRPr lang="zh-CN" altLang="en-US">
            <a:latin typeface="微软雅黑" panose="020B0503020204020204" charset="-122"/>
            <a:ea typeface="微软雅黑" panose="020B0503020204020204" charset="-122"/>
            <a:cs typeface="微软雅黑" panose="020B0503020204020204" charset="-122"/>
          </a:endParaRPr>
        </a:p>
        <a:p>
          <a:pPr algn="l"/>
          <a:r>
            <a:rPr lang="en-US" altLang="zh-CN">
              <a:latin typeface="微软雅黑" panose="020B0503020204020204" charset="-122"/>
              <a:ea typeface="微软雅黑" panose="020B0503020204020204" charset="-122"/>
              <a:cs typeface="微软雅黑" panose="020B0503020204020204" charset="-122"/>
            </a:rPr>
            <a:t>=LOOKUP(1,0/((B28:B34=F28)*(A28:A34=G28)),D28:D34)</a:t>
          </a:r>
          <a:endParaRPr lang="en-US" altLang="zh-CN">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4</xdr:col>
      <xdr:colOff>752475</xdr:colOff>
      <xdr:row>38</xdr:row>
      <xdr:rowOff>0</xdr:rowOff>
    </xdr:from>
    <xdr:to>
      <xdr:col>10</xdr:col>
      <xdr:colOff>455295</xdr:colOff>
      <xdr:row>43</xdr:row>
      <xdr:rowOff>38100</xdr:rowOff>
    </xdr:to>
    <xdr:sp>
      <xdr:nvSpPr>
        <xdr:cNvPr id="7" name="圆角矩形标注 6"/>
        <xdr:cNvSpPr/>
      </xdr:nvSpPr>
      <xdr:spPr>
        <a:xfrm>
          <a:off x="3962400" y="12617450"/>
          <a:ext cx="4122420" cy="942975"/>
        </a:xfrm>
        <a:prstGeom prst="wedgeRoundRectCallout">
          <a:avLst>
            <a:gd name="adj1" fmla="val -3804"/>
            <a:gd name="adj2" fmla="val -77747"/>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公式为：=LOOKUP(1,0/(B28:B37=F28),D28:D37)</a:t>
          </a:r>
          <a:endParaRPr lang="zh-CN" altLang="en-US">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rPr>
            <a:t>由于</a:t>
          </a:r>
          <a:r>
            <a:rPr lang="en-US" altLang="zh-CN">
              <a:latin typeface="微软雅黑" panose="020B0503020204020204" charset="-122"/>
              <a:ea typeface="微软雅黑" panose="020B0503020204020204" charset="-122"/>
              <a:cs typeface="微软雅黑" panose="020B0503020204020204" charset="-122"/>
            </a:rPr>
            <a:t>lookup</a:t>
          </a:r>
          <a:r>
            <a:rPr lang="zh-CN" altLang="en-US">
              <a:latin typeface="微软雅黑" panose="020B0503020204020204" charset="-122"/>
              <a:ea typeface="微软雅黑" panose="020B0503020204020204" charset="-122"/>
              <a:cs typeface="微软雅黑" panose="020B0503020204020204" charset="-122"/>
            </a:rPr>
            <a:t>查找是从下往上查找，当条件符合和为</a:t>
          </a:r>
          <a:r>
            <a:rPr lang="en-US" altLang="zh-CN">
              <a:latin typeface="微软雅黑" panose="020B0503020204020204" charset="-122"/>
              <a:ea typeface="微软雅黑" panose="020B0503020204020204" charset="-122"/>
              <a:cs typeface="微软雅黑" panose="020B0503020204020204" charset="-122"/>
            </a:rPr>
            <a:t>0</a:t>
          </a:r>
          <a:r>
            <a:rPr lang="zh-CN" altLang="en-US">
              <a:latin typeface="微软雅黑" panose="020B0503020204020204" charset="-122"/>
              <a:ea typeface="微软雅黑" panose="020B0503020204020204" charset="-122"/>
              <a:cs typeface="微软雅黑" panose="020B0503020204020204" charset="-122"/>
            </a:rPr>
            <a:t>，不符合时</a:t>
          </a:r>
          <a:r>
            <a:rPr lang="en-US" altLang="zh-CN">
              <a:latin typeface="微软雅黑" panose="020B0503020204020204" charset="-122"/>
              <a:ea typeface="微软雅黑" panose="020B0503020204020204" charset="-122"/>
              <a:cs typeface="微软雅黑" panose="020B0503020204020204" charset="-122"/>
            </a:rPr>
            <a:t>div/0#</a:t>
          </a:r>
          <a:r>
            <a:rPr lang="zh-CN" altLang="en-US">
              <a:latin typeface="微软雅黑" panose="020B0503020204020204" charset="-122"/>
              <a:ea typeface="微软雅黑" panose="020B0503020204020204" charset="-122"/>
              <a:cs typeface="微软雅黑" panose="020B0503020204020204" charset="-122"/>
            </a:rPr>
            <a:t>错误，组成一个数组，其中，多个条件符合，返回最后一个为</a:t>
          </a:r>
          <a:r>
            <a:rPr lang="en-US" altLang="zh-CN">
              <a:latin typeface="微软雅黑" panose="020B0503020204020204" charset="-122"/>
              <a:ea typeface="微软雅黑" panose="020B0503020204020204" charset="-122"/>
              <a:cs typeface="微软雅黑" panose="020B0503020204020204" charset="-122"/>
            </a:rPr>
            <a:t>0</a:t>
          </a:r>
          <a:r>
            <a:rPr lang="zh-CN" altLang="en-US">
              <a:latin typeface="微软雅黑" panose="020B0503020204020204" charset="-122"/>
              <a:ea typeface="微软雅黑" panose="020B0503020204020204" charset="-122"/>
              <a:cs typeface="微软雅黑" panose="020B0503020204020204" charset="-122"/>
            </a:rPr>
            <a:t>的结果。</a:t>
          </a:r>
          <a:endParaRPr lang="zh-CN" altLang="en-US">
            <a:latin typeface="微软雅黑" panose="020B0503020204020204" charset="-122"/>
            <a:ea typeface="微软雅黑" panose="020B0503020204020204" charset="-122"/>
            <a:cs typeface="微软雅黑" panose="020B0503020204020204" charset="-122"/>
          </a:endParaRPr>
        </a:p>
        <a:p>
          <a:pPr algn="l"/>
          <a:endParaRPr lang="en-US" altLang="zh-CN">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xdr:col>
      <xdr:colOff>752475</xdr:colOff>
      <xdr:row>8</xdr:row>
      <xdr:rowOff>0</xdr:rowOff>
    </xdr:from>
    <xdr:to>
      <xdr:col>11</xdr:col>
      <xdr:colOff>531495</xdr:colOff>
      <xdr:row>13</xdr:row>
      <xdr:rowOff>29845</xdr:rowOff>
    </xdr:to>
    <xdr:sp>
      <xdr:nvSpPr>
        <xdr:cNvPr id="9" name="圆角矩形标注 8"/>
        <xdr:cNvSpPr/>
      </xdr:nvSpPr>
      <xdr:spPr>
        <a:xfrm>
          <a:off x="4724400" y="5016500"/>
          <a:ext cx="4122420" cy="1350645"/>
        </a:xfrm>
        <a:prstGeom prst="wedgeRoundRectCallout">
          <a:avLst>
            <a:gd name="adj1" fmla="val -2649"/>
            <a:gd name="adj2" fmla="val -67835"/>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a:t>
          </a:r>
          <a:r>
            <a:rPr lang="en-US" altLang="zh-CN">
              <a:latin typeface="微软雅黑" panose="020B0503020204020204" charset="-122"/>
              <a:ea typeface="微软雅黑" panose="020B0503020204020204" charset="-122"/>
              <a:cs typeface="微软雅黑" panose="020B0503020204020204" charset="-122"/>
            </a:rPr>
            <a:t>1</a:t>
          </a:r>
          <a:r>
            <a:rPr lang="zh-CN" altLang="en-US">
              <a:latin typeface="微软雅黑" panose="020B0503020204020204" charset="-122"/>
              <a:ea typeface="微软雅黑" panose="020B0503020204020204" charset="-122"/>
              <a:cs typeface="微软雅黑" panose="020B0503020204020204" charset="-122"/>
            </a:rPr>
            <a:t>）语文成绩，利用向量形式查找</a:t>
          </a:r>
          <a:endParaRPr lang="zh-CN" altLang="en-US">
            <a:latin typeface="微软雅黑" panose="020B0503020204020204" charset="-122"/>
            <a:ea typeface="微软雅黑" panose="020B0503020204020204" charset="-122"/>
            <a:cs typeface="微软雅黑" panose="020B0503020204020204" charset="-122"/>
          </a:endParaRPr>
        </a:p>
        <a:p>
          <a:pPr algn="l"/>
          <a:r>
            <a:rPr lang="en-US" altLang="zh-CN">
              <a:latin typeface="微软雅黑" panose="020B0503020204020204" charset="-122"/>
              <a:ea typeface="微软雅黑" panose="020B0503020204020204" charset="-122"/>
              <a:cs typeface="微软雅黑" panose="020B0503020204020204" charset="-122"/>
            </a:rPr>
            <a:t>=LOOKUP(G7,B7:B13,C7:C13)</a:t>
          </a:r>
          <a:endParaRPr lang="en-US" altLang="zh-CN">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sym typeface="+mn-ea"/>
            </a:rPr>
            <a:t>（</a:t>
          </a:r>
          <a:r>
            <a:rPr lang="en-US" altLang="zh-CN">
              <a:latin typeface="微软雅黑" panose="020B0503020204020204" charset="-122"/>
              <a:ea typeface="微软雅黑" panose="020B0503020204020204" charset="-122"/>
              <a:cs typeface="微软雅黑" panose="020B0503020204020204" charset="-122"/>
              <a:sym typeface="+mn-ea"/>
            </a:rPr>
            <a:t>2</a:t>
          </a:r>
          <a:r>
            <a:rPr lang="zh-CN" altLang="en-US">
              <a:latin typeface="微软雅黑" panose="020B0503020204020204" charset="-122"/>
              <a:ea typeface="微软雅黑" panose="020B0503020204020204" charset="-122"/>
              <a:cs typeface="微软雅黑" panose="020B0503020204020204" charset="-122"/>
              <a:sym typeface="+mn-ea"/>
            </a:rPr>
            <a:t>）数学、英语成绩，利用数组形式查找</a:t>
          </a:r>
          <a:endParaRPr lang="zh-CN" altLang="en-US">
            <a:latin typeface="微软雅黑" panose="020B0503020204020204" charset="-122"/>
            <a:ea typeface="微软雅黑" panose="020B0503020204020204" charset="-122"/>
            <a:cs typeface="微软雅黑" panose="020B0503020204020204" charset="-122"/>
            <a:sym typeface="+mn-ea"/>
          </a:endParaRPr>
        </a:p>
        <a:p>
          <a:pPr algn="l"/>
          <a:r>
            <a:rPr lang="en-US" altLang="zh-CN">
              <a:latin typeface="微软雅黑" panose="020B0503020204020204" charset="-122"/>
              <a:ea typeface="微软雅黑" panose="020B0503020204020204" charset="-122"/>
              <a:cs typeface="微软雅黑" panose="020B0503020204020204" charset="-122"/>
            </a:rPr>
            <a:t>=LOOKUP(G7,B7:D13)   =LOOKUP(G7,B7:E13) </a:t>
          </a:r>
          <a:endParaRPr lang="en-US" altLang="zh-CN">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rPr>
            <a:t>注意：</a:t>
          </a:r>
          <a:r>
            <a:rPr lang="en-US" altLang="zh-CN">
              <a:latin typeface="微软雅黑" panose="020B0503020204020204" charset="-122"/>
              <a:ea typeface="微软雅黑" panose="020B0503020204020204" charset="-122"/>
              <a:cs typeface="微软雅黑" panose="020B0503020204020204" charset="-122"/>
            </a:rPr>
            <a:t>查找值和要找的结果分别位于查找区域的首列和末列。</a:t>
          </a:r>
          <a:endParaRPr lang="en-US" altLang="zh-CN">
            <a:latin typeface="微软雅黑" panose="020B0503020204020204" charset="-122"/>
            <a:ea typeface="微软雅黑" panose="020B0503020204020204" charset="-122"/>
            <a:cs typeface="微软雅黑" panose="020B0503020204020204" charset="-122"/>
          </a:endParaRPr>
        </a:p>
        <a:p>
          <a:pPr algn="l"/>
          <a:r>
            <a:rPr lang="zh-CN" altLang="en-US" sz="1200" b="1">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重点：以上查找查找的关键字必须是升序排列</a:t>
          </a:r>
          <a:r>
            <a:rPr lang="zh-CN" altLang="en-US">
              <a:latin typeface="微软雅黑" panose="020B0503020204020204" charset="-122"/>
              <a:ea typeface="微软雅黑" panose="020B0503020204020204" charset="-122"/>
              <a:cs typeface="微软雅黑" panose="020B0503020204020204" charset="-122"/>
            </a:rPr>
            <a:t>。</a:t>
          </a:r>
          <a:endParaRPr lang="zh-CN" altLang="en-US">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152400</xdr:colOff>
      <xdr:row>19</xdr:row>
      <xdr:rowOff>161925</xdr:rowOff>
    </xdr:from>
    <xdr:to>
      <xdr:col>12</xdr:col>
      <xdr:colOff>417195</xdr:colOff>
      <xdr:row>23</xdr:row>
      <xdr:rowOff>142875</xdr:rowOff>
    </xdr:to>
    <xdr:sp>
      <xdr:nvSpPr>
        <xdr:cNvPr id="3" name="圆角矩形标注 2"/>
        <xdr:cNvSpPr/>
      </xdr:nvSpPr>
      <xdr:spPr>
        <a:xfrm>
          <a:off x="7029450" y="9188450"/>
          <a:ext cx="2388870" cy="704850"/>
        </a:xfrm>
        <a:prstGeom prst="wedgeRoundRectCallout">
          <a:avLst>
            <a:gd name="adj1" fmla="val -15126"/>
            <a:gd name="adj2" fmla="val -45315"/>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注意，如果要查找的数据中有</a:t>
          </a:r>
          <a:r>
            <a:rPr lang="en-US" altLang="zh-CN">
              <a:latin typeface="微软雅黑" panose="020B0503020204020204" charset="-122"/>
              <a:ea typeface="微软雅黑" panose="020B0503020204020204" charset="-122"/>
              <a:cs typeface="微软雅黑" panose="020B0503020204020204" charset="-122"/>
            </a:rPr>
            <a:t>2</a:t>
          </a:r>
          <a:r>
            <a:rPr lang="zh-CN" altLang="en-US">
              <a:latin typeface="微软雅黑" panose="020B0503020204020204" charset="-122"/>
              <a:ea typeface="微软雅黑" panose="020B0503020204020204" charset="-122"/>
              <a:cs typeface="微软雅黑" panose="020B0503020204020204" charset="-122"/>
            </a:rPr>
            <a:t>个或</a:t>
          </a:r>
          <a:r>
            <a:rPr lang="en-US" altLang="zh-CN">
              <a:latin typeface="微软雅黑" panose="020B0503020204020204" charset="-122"/>
              <a:ea typeface="微软雅黑" panose="020B0503020204020204" charset="-122"/>
              <a:cs typeface="微软雅黑" panose="020B0503020204020204" charset="-122"/>
            </a:rPr>
            <a:t>2</a:t>
          </a:r>
          <a:r>
            <a:rPr lang="zh-CN" altLang="en-US">
              <a:latin typeface="微软雅黑" panose="020B0503020204020204" charset="-122"/>
              <a:ea typeface="微软雅黑" panose="020B0503020204020204" charset="-122"/>
              <a:cs typeface="微软雅黑" panose="020B0503020204020204" charset="-122"/>
            </a:rPr>
            <a:t>个以上的目标数据，返回最后一个符合的数据</a:t>
          </a:r>
          <a:endParaRPr lang="zh-CN" altLang="en-US">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20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2</xdr:col>
      <xdr:colOff>1038225</xdr:colOff>
      <xdr:row>11</xdr:row>
      <xdr:rowOff>114300</xdr:rowOff>
    </xdr:from>
    <xdr:to>
      <xdr:col>6</xdr:col>
      <xdr:colOff>475615</xdr:colOff>
      <xdr:row>14</xdr:row>
      <xdr:rowOff>95250</xdr:rowOff>
    </xdr:to>
    <xdr:sp>
      <xdr:nvSpPr>
        <xdr:cNvPr id="6" name="圆角矩形标注 5"/>
        <xdr:cNvSpPr/>
      </xdr:nvSpPr>
      <xdr:spPr>
        <a:xfrm>
          <a:off x="4210050" y="4114800"/>
          <a:ext cx="3075940" cy="523875"/>
        </a:xfrm>
        <a:prstGeom prst="wedgeRoundRectCallout">
          <a:avLst>
            <a:gd name="adj1" fmla="val -5733"/>
            <a:gd name="adj2" fmla="val -64257"/>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公式</a:t>
          </a:r>
          <a:r>
            <a:rPr lang="en-US" altLang="zh-CN">
              <a:latin typeface="微软雅黑" panose="020B0503020204020204" charset="-122"/>
              <a:ea typeface="微软雅黑" panose="020B0503020204020204" charset="-122"/>
              <a:cs typeface="微软雅黑" panose="020B0503020204020204" charset="-122"/>
            </a:rPr>
            <a:t>=VLOOKUP(D11,A11:B17,2,0)</a:t>
          </a:r>
          <a:endParaRPr lang="en-US" altLang="zh-CN">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rPr>
            <a:t>要查找的值必须位于查找区域的首列。</a:t>
          </a:r>
          <a:endParaRPr lang="zh-CN" altLang="en-US">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20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0</xdr:col>
      <xdr:colOff>19050</xdr:colOff>
      <xdr:row>15</xdr:row>
      <xdr:rowOff>19050</xdr:rowOff>
    </xdr:from>
    <xdr:to>
      <xdr:col>1</xdr:col>
      <xdr:colOff>1751965</xdr:colOff>
      <xdr:row>18</xdr:row>
      <xdr:rowOff>28575</xdr:rowOff>
    </xdr:to>
    <xdr:sp>
      <xdr:nvSpPr>
        <xdr:cNvPr id="3" name="圆角矩形标注 2"/>
        <xdr:cNvSpPr/>
      </xdr:nvSpPr>
      <xdr:spPr>
        <a:xfrm>
          <a:off x="19050" y="4978400"/>
          <a:ext cx="3075940" cy="523875"/>
        </a:xfrm>
        <a:prstGeom prst="wedgeRoundRectCallout">
          <a:avLst>
            <a:gd name="adj1" fmla="val 24298"/>
            <a:gd name="adj2" fmla="val -84303"/>
            <a:gd name="adj3" fmla="val 16667"/>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a:latin typeface="微软雅黑" panose="020B0503020204020204" charset="-122"/>
              <a:ea typeface="微软雅黑" panose="020B0503020204020204" charset="-122"/>
              <a:cs typeface="微软雅黑" panose="020B0503020204020204" charset="-122"/>
            </a:rPr>
            <a:t>公式</a:t>
          </a:r>
          <a:r>
            <a:rPr lang="en-US" altLang="zh-CN">
              <a:latin typeface="微软雅黑" panose="020B0503020204020204" charset="-122"/>
              <a:ea typeface="微软雅黑" panose="020B0503020204020204" charset="-122"/>
              <a:cs typeface="微软雅黑" panose="020B0503020204020204" charset="-122"/>
            </a:rPr>
            <a:t>=HLOOKUP(A14,A10:E11,2,0)</a:t>
          </a:r>
          <a:endParaRPr lang="en-US" altLang="zh-CN">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rPr>
            <a:t>要查找的值必须位于查找区域的首行。</a:t>
          </a:r>
          <a:endParaRPr lang="zh-CN" altLang="en-US">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20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0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1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2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4</xdr:col>
      <xdr:colOff>142875</xdr:colOff>
      <xdr:row>3</xdr:row>
      <xdr:rowOff>9525</xdr:rowOff>
    </xdr:from>
    <xdr:to>
      <xdr:col>5</xdr:col>
      <xdr:colOff>1962150</xdr:colOff>
      <xdr:row>11</xdr:row>
      <xdr:rowOff>231775</xdr:rowOff>
    </xdr:to>
    <xdr:sp>
      <xdr:nvSpPr>
        <xdr:cNvPr id="3" name="文本框 2"/>
        <xdr:cNvSpPr txBox="1"/>
      </xdr:nvSpPr>
      <xdr:spPr>
        <a:xfrm>
          <a:off x="7286625" y="1787525"/>
          <a:ext cx="4581525" cy="216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b="1">
              <a:latin typeface="微软雅黑" panose="020B0503020204020204" charset="-122"/>
              <a:ea typeface="微软雅黑" panose="020B0503020204020204" charset="-122"/>
              <a:cs typeface="微软雅黑" panose="020B0503020204020204" charset="-122"/>
            </a:rPr>
            <a:t>语法：</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INDEX(array,Row_num,column_num)</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Array   为单元格区域或数组常量。</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t>
          </a:r>
          <a:r>
            <a:rPr lang="en-US" altLang="zh-CN" sz="1100">
              <a:latin typeface="微软雅黑" panose="020B0503020204020204" charset="-122"/>
              <a:ea typeface="微软雅黑" panose="020B0503020204020204" charset="-122"/>
              <a:cs typeface="微软雅黑" panose="020B0503020204020204" charset="-122"/>
            </a:rPr>
            <a:t>1</a:t>
          </a:r>
          <a:r>
            <a:rPr lang="zh-CN" altLang="en-US" sz="1100">
              <a:latin typeface="微软雅黑" panose="020B0503020204020204" charset="-122"/>
              <a:ea typeface="微软雅黑" panose="020B0503020204020204" charset="-122"/>
              <a:cs typeface="微软雅黑" panose="020B0503020204020204" charset="-122"/>
            </a:rPr>
            <a:t>）如果数组只包含一行或一列，则相对应的参数 Row_num 或 column_num 为可选。 </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t>
          </a:r>
          <a:r>
            <a:rPr lang="en-US" altLang="zh-CN" sz="1100">
              <a:latin typeface="微软雅黑" panose="020B0503020204020204" charset="-122"/>
              <a:ea typeface="微软雅黑" panose="020B0503020204020204" charset="-122"/>
              <a:cs typeface="微软雅黑" panose="020B0503020204020204" charset="-122"/>
            </a:rPr>
            <a:t>2</a:t>
          </a:r>
          <a:r>
            <a:rPr lang="zh-CN" altLang="en-US" sz="1100">
              <a:latin typeface="微软雅黑" panose="020B0503020204020204" charset="-122"/>
              <a:ea typeface="微软雅黑" panose="020B0503020204020204" charset="-122"/>
              <a:cs typeface="微软雅黑" panose="020B0503020204020204" charset="-122"/>
            </a:rPr>
            <a:t>）如果数组有多行和多列，但只使用 Row_num 或 column_num，函数 INDEX 返回数组中的整行或整列，且返回值也为数组。 </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）Row_num   数组中某行的行序号，函数从该行返回数值。如果省略 Row_num，则必须有 column_num。</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Column_num   数组中某列的列序号，函数从该列返回数值。如果省略 column_num，则必须有 Row_num。</a:t>
          </a:r>
          <a:endParaRPr lang="zh-CN" altLang="en-US" sz="1100"/>
        </a:p>
        <a:p>
          <a:pPr algn="l"/>
          <a:endParaRPr lang="zh-CN" altLang="en-US" sz="1100"/>
        </a:p>
      </xdr:txBody>
    </xdr:sp>
    <xdr:clientData/>
  </xdr:twoCellAnchor>
  <xdr:twoCellAnchor>
    <xdr:from>
      <xdr:col>4</xdr:col>
      <xdr:colOff>161925</xdr:colOff>
      <xdr:row>12</xdr:row>
      <xdr:rowOff>247650</xdr:rowOff>
    </xdr:from>
    <xdr:to>
      <xdr:col>6</xdr:col>
      <xdr:colOff>9525</xdr:colOff>
      <xdr:row>24</xdr:row>
      <xdr:rowOff>111125</xdr:rowOff>
    </xdr:to>
    <xdr:sp>
      <xdr:nvSpPr>
        <xdr:cNvPr id="4" name="文本框 3"/>
        <xdr:cNvSpPr txBox="1"/>
      </xdr:nvSpPr>
      <xdr:spPr>
        <a:xfrm>
          <a:off x="7305675" y="4210050"/>
          <a:ext cx="4581525" cy="2555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latin typeface="微软雅黑" panose="020B0503020204020204" charset="-122"/>
              <a:ea typeface="微软雅黑" panose="020B0503020204020204" charset="-122"/>
              <a:cs typeface="微软雅黑" panose="020B0503020204020204" charset="-122"/>
            </a:rPr>
            <a:t>语法：</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INDEX(reference,Row_num,column_num,area_num)</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Reference   对一个或多个单元格区域的引用。 </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t>
          </a:r>
          <a:r>
            <a:rPr lang="en-US" altLang="zh-CN" sz="1100">
              <a:latin typeface="微软雅黑" panose="020B0503020204020204" charset="-122"/>
              <a:ea typeface="微软雅黑" panose="020B0503020204020204" charset="-122"/>
              <a:cs typeface="微软雅黑" panose="020B0503020204020204" charset="-122"/>
            </a:rPr>
            <a:t>1</a:t>
          </a:r>
          <a:r>
            <a:rPr lang="zh-CN" altLang="en-US" sz="1100">
              <a:latin typeface="微软雅黑" panose="020B0503020204020204" charset="-122"/>
              <a:ea typeface="微软雅黑" panose="020B0503020204020204" charset="-122"/>
              <a:cs typeface="微软雅黑" panose="020B0503020204020204" charset="-122"/>
            </a:rPr>
            <a:t>）如果为引用键入一个不连续的区域，必须用括号括起来。 </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sym typeface="+mn-ea"/>
            </a:rPr>
            <a:t>（</a:t>
          </a:r>
          <a:r>
            <a:rPr lang="en-US" altLang="zh-CN">
              <a:latin typeface="微软雅黑" panose="020B0503020204020204" charset="-122"/>
              <a:ea typeface="微软雅黑" panose="020B0503020204020204" charset="-122"/>
              <a:cs typeface="微软雅黑" panose="020B0503020204020204" charset="-122"/>
              <a:sym typeface="+mn-ea"/>
            </a:rPr>
            <a:t>2</a:t>
          </a:r>
          <a:r>
            <a:rPr lang="zh-CN" altLang="en-US">
              <a:latin typeface="微软雅黑" panose="020B0503020204020204" charset="-122"/>
              <a:ea typeface="微软雅黑" panose="020B0503020204020204" charset="-122"/>
              <a:cs typeface="微软雅黑" panose="020B0503020204020204" charset="-122"/>
              <a:sym typeface="+mn-ea"/>
            </a:rPr>
            <a:t>）</a:t>
          </a:r>
          <a:r>
            <a:rPr lang="zh-CN" altLang="en-US" sz="1100">
              <a:latin typeface="微软雅黑" panose="020B0503020204020204" charset="-122"/>
              <a:ea typeface="微软雅黑" panose="020B0503020204020204" charset="-122"/>
              <a:cs typeface="微软雅黑" panose="020B0503020204020204" charset="-122"/>
            </a:rPr>
            <a:t>如果引用中的每个区域只包含一行或一列，则相应的参数 Row_num 或 column_num 分别为可选项。例如，对于单行的引用，可以使用函数 INDEX(reference,,column_num)。 </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a:latin typeface="微软雅黑" panose="020B0503020204020204" charset="-122"/>
              <a:ea typeface="微软雅黑" panose="020B0503020204020204" charset="-122"/>
              <a:cs typeface="微软雅黑" panose="020B0503020204020204" charset="-122"/>
              <a:sym typeface="+mn-ea"/>
            </a:rPr>
            <a:t>（</a:t>
          </a:r>
          <a:r>
            <a:rPr lang="en-US" altLang="zh-CN">
              <a:latin typeface="微软雅黑" panose="020B0503020204020204" charset="-122"/>
              <a:ea typeface="微软雅黑" panose="020B0503020204020204" charset="-122"/>
              <a:cs typeface="微软雅黑" panose="020B0503020204020204" charset="-122"/>
              <a:sym typeface="+mn-ea"/>
            </a:rPr>
            <a:t>3</a:t>
          </a:r>
          <a:r>
            <a:rPr lang="zh-CN" altLang="en-US">
              <a:latin typeface="微软雅黑" panose="020B0503020204020204" charset="-122"/>
              <a:ea typeface="微软雅黑" panose="020B0503020204020204" charset="-122"/>
              <a:cs typeface="微软雅黑" panose="020B0503020204020204" charset="-122"/>
              <a:sym typeface="+mn-ea"/>
            </a:rPr>
            <a:t>）</a:t>
          </a:r>
          <a:r>
            <a:rPr lang="zh-CN" altLang="en-US" sz="1100">
              <a:latin typeface="微软雅黑" panose="020B0503020204020204" charset="-122"/>
              <a:ea typeface="微软雅黑" panose="020B0503020204020204" charset="-122"/>
              <a:cs typeface="微软雅黑" panose="020B0503020204020204" charset="-122"/>
            </a:rPr>
            <a:t>Row_num   引用中某行的行序号，函数从该行返回一个引用。</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COLUMN_num   引用中某列的列序号，函数从该列返回一个引用。</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a:t>
          </a:r>
          <a:r>
            <a:rPr lang="en-US" altLang="zh-CN">
              <a:latin typeface="微软雅黑" panose="020B0503020204020204" charset="-122"/>
              <a:ea typeface="微软雅黑" panose="020B0503020204020204" charset="-122"/>
              <a:cs typeface="微软雅黑" panose="020B0503020204020204" charset="-122"/>
              <a:sym typeface="+mn-ea"/>
            </a:rPr>
            <a:t>4</a:t>
          </a:r>
          <a:r>
            <a:rPr lang="zh-CN" altLang="en-US" sz="1100">
              <a:latin typeface="微软雅黑" panose="020B0503020204020204" charset="-122"/>
              <a:ea typeface="微软雅黑" panose="020B0503020204020204" charset="-122"/>
              <a:cs typeface="微软雅黑" panose="020B0503020204020204" charset="-122"/>
            </a:rPr>
            <a:t>）Area_num   选择引用中的一个区域，并返回该区域中 Row_num 和 column_num 的交叉区域。选中或键入的第一个区域序号为 1，第二个为 2，以此类推。如果省略 area_num，函数 INDEX 使用区域 1。</a:t>
          </a:r>
          <a:endParaRPr lang="zh-CN" altLang="en-US" sz="1100"/>
        </a:p>
        <a:p>
          <a:pPr algn="l"/>
          <a:endParaRPr lang="zh-CN" altLang="en-US" sz="1100"/>
        </a:p>
        <a:p>
          <a:pPr algn="l"/>
          <a:endParaRPr lang="zh-CN" altLang="en-US" sz="1100"/>
        </a:p>
      </xdr:txBody>
    </xdr:sp>
    <xdr:clientData/>
  </xdr:twoCellAnchor>
</xdr:wsDr>
</file>

<file path=xl/drawings/drawing23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p>
          <a:pPr algn="ctr"/>
          <a:r>
            <a:rPr lang="zh-CN" altLang="en-US" sz="1100" b="1"/>
            <a:t>返回</a:t>
          </a:r>
          <a:endParaRPr lang="zh-CN" altLang="en-US" sz="1100" b="1"/>
        </a:p>
      </xdr:txBody>
    </xdr:sp>
    <xdr:clientData/>
  </xdr:twoCellAnchor>
  <xdr:twoCellAnchor>
    <xdr:from>
      <xdr:col>3</xdr:col>
      <xdr:colOff>409575</xdr:colOff>
      <xdr:row>3</xdr:row>
      <xdr:rowOff>95250</xdr:rowOff>
    </xdr:from>
    <xdr:to>
      <xdr:col>3</xdr:col>
      <xdr:colOff>933450</xdr:colOff>
      <xdr:row>4</xdr:row>
      <xdr:rowOff>95250</xdr:rowOff>
    </xdr:to>
    <xdr:sp>
      <xdr:nvSpPr>
        <xdr:cNvPr id="3" name="右箭头 2"/>
        <xdr:cNvSpPr/>
      </xdr:nvSpPr>
      <xdr:spPr>
        <a:xfrm>
          <a:off x="5943600" y="2089150"/>
          <a:ext cx="523875" cy="1714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23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3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4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4</xdr:col>
      <xdr:colOff>0</xdr:colOff>
      <xdr:row>2</xdr:row>
      <xdr:rowOff>57150</xdr:rowOff>
    </xdr:from>
    <xdr:to>
      <xdr:col>5</xdr:col>
      <xdr:colOff>1409700</xdr:colOff>
      <xdr:row>13</xdr:row>
      <xdr:rowOff>114300</xdr:rowOff>
    </xdr:to>
    <xdr:pic>
      <xdr:nvPicPr>
        <xdr:cNvPr id="3" name="图片 2"/>
        <xdr:cNvPicPr>
          <a:picLocks noChangeAspect="1"/>
        </xdr:cNvPicPr>
      </xdr:nvPicPr>
      <xdr:blipFill>
        <a:blip r:embed="rId2"/>
        <a:stretch>
          <a:fillRect/>
        </a:stretch>
      </xdr:blipFill>
      <xdr:spPr>
        <a:xfrm>
          <a:off x="5153025" y="1555750"/>
          <a:ext cx="3057525" cy="2381250"/>
        </a:xfrm>
        <a:prstGeom prst="rect">
          <a:avLst/>
        </a:prstGeom>
        <a:noFill/>
        <a:ln w="9525">
          <a:noFill/>
        </a:ln>
      </xdr:spPr>
    </xdr:pic>
    <xdr:clientData/>
  </xdr:twoCellAnchor>
</xdr:wsDr>
</file>

<file path=xl/drawings/drawing25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5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oneCellAnchor>
    <xdr:from>
      <xdr:col>0</xdr:col>
      <xdr:colOff>57150</xdr:colOff>
      <xdr:row>15</xdr:row>
      <xdr:rowOff>6350</xdr:rowOff>
    </xdr:from>
    <xdr:ext cx="5968365" cy="327025"/>
    <xdr:sp>
      <xdr:nvSpPr>
        <xdr:cNvPr id="5" name="文本框 4"/>
        <xdr:cNvSpPr txBox="1"/>
      </xdr:nvSpPr>
      <xdr:spPr>
        <a:xfrm>
          <a:off x="57150" y="6934200"/>
          <a:ext cx="5968365" cy="32702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p>
          <a:pPr algn="l"/>
          <a:r>
            <a:rPr lang="en-US" altLang="zh-CN" sz="1400" b="1">
              <a:solidFill>
                <a:srgbClr val="C00000"/>
              </a:solidFill>
            </a:rPr>
            <a:t>=IF(ISERROR(C14),LOOKUP(ERROR.TYPE(C14),$A$17:$A$23,$C$17:$C$23),"")</a:t>
          </a:r>
          <a:endParaRPr lang="en-US" altLang="zh-CN" sz="1400" b="1">
            <a:solidFill>
              <a:srgbClr val="C00000"/>
            </a:solidFill>
          </a:endParaRPr>
        </a:p>
      </xdr:txBody>
    </xdr:sp>
    <xdr:clientData/>
  </xdr:oneCellAnchor>
</xdr:wsDr>
</file>

<file path=xl/drawings/drawing26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3.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4.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drawings/drawing26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0</xdr:col>
      <xdr:colOff>0</xdr:colOff>
      <xdr:row>14</xdr:row>
      <xdr:rowOff>0</xdr:rowOff>
    </xdr:from>
    <xdr:to>
      <xdr:col>3</xdr:col>
      <xdr:colOff>151765</xdr:colOff>
      <xdr:row>20</xdr:row>
      <xdr:rowOff>152400</xdr:rowOff>
    </xdr:to>
    <xdr:pic>
      <xdr:nvPicPr>
        <xdr:cNvPr id="3" name="图片 2"/>
        <xdr:cNvPicPr>
          <a:picLocks noChangeAspect="1"/>
        </xdr:cNvPicPr>
      </xdr:nvPicPr>
      <xdr:blipFill>
        <a:blip r:embed="rId2"/>
        <a:stretch>
          <a:fillRect/>
        </a:stretch>
      </xdr:blipFill>
      <xdr:spPr>
        <a:xfrm>
          <a:off x="0" y="5305425"/>
          <a:ext cx="4771390" cy="1181100"/>
        </a:xfrm>
        <a:prstGeom prst="rect">
          <a:avLst/>
        </a:prstGeom>
        <a:noFill/>
        <a:ln w="9525">
          <a:noFill/>
        </a:ln>
      </xdr:spPr>
    </xdr:pic>
    <xdr:clientData/>
  </xdr:twoCellAnchor>
</xdr:wsDr>
</file>

<file path=xl/drawings/drawing26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6</xdr:col>
      <xdr:colOff>0</xdr:colOff>
      <xdr:row>3</xdr:row>
      <xdr:rowOff>9525</xdr:rowOff>
    </xdr:from>
    <xdr:to>
      <xdr:col>7</xdr:col>
      <xdr:colOff>1134110</xdr:colOff>
      <xdr:row>4</xdr:row>
      <xdr:rowOff>106045</xdr:rowOff>
    </xdr:to>
    <xdr:sp>
      <xdr:nvSpPr>
        <xdr:cNvPr id="4" name="文本框 3"/>
        <xdr:cNvSpPr txBox="1"/>
      </xdr:nvSpPr>
      <xdr:spPr>
        <a:xfrm>
          <a:off x="7667625" y="2139950"/>
          <a:ext cx="3172460" cy="3251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公式：=SUMIF($B$5:$B$11,E5,$C$5:$C$11)</a:t>
          </a:r>
          <a:endParaRPr lang="zh-CN" altLang="en-US" sz="1100"/>
        </a:p>
      </xdr:txBody>
    </xdr:sp>
    <xdr:clientData/>
  </xdr:twoCellAnchor>
  <xdr:twoCellAnchor>
    <xdr:from>
      <xdr:col>2</xdr:col>
      <xdr:colOff>266700</xdr:colOff>
      <xdr:row>20</xdr:row>
      <xdr:rowOff>66675</xdr:rowOff>
    </xdr:from>
    <xdr:to>
      <xdr:col>4</xdr:col>
      <xdr:colOff>848360</xdr:colOff>
      <xdr:row>21</xdr:row>
      <xdr:rowOff>163830</xdr:rowOff>
    </xdr:to>
    <xdr:sp>
      <xdr:nvSpPr>
        <xdr:cNvPr id="5" name="文本框 4"/>
        <xdr:cNvSpPr txBox="1"/>
      </xdr:nvSpPr>
      <xdr:spPr>
        <a:xfrm>
          <a:off x="3038475" y="5791200"/>
          <a:ext cx="2419985" cy="26860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公式：=SUMIF(C15:G15,"",B15:F15)</a:t>
          </a:r>
          <a:endParaRPr lang="zh-CN" altLang="en-US" sz="1100"/>
        </a:p>
      </xdr:txBody>
    </xdr:sp>
    <xdr:clientData/>
  </xdr:twoCellAnchor>
</xdr:wsDr>
</file>

<file path=xl/drawings/drawing26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twoCellAnchor>
    <xdr:from>
      <xdr:col>2</xdr:col>
      <xdr:colOff>342900</xdr:colOff>
      <xdr:row>1</xdr:row>
      <xdr:rowOff>0</xdr:rowOff>
    </xdr:from>
    <xdr:to>
      <xdr:col>4</xdr:col>
      <xdr:colOff>1096010</xdr:colOff>
      <xdr:row>1</xdr:row>
      <xdr:rowOff>1069975</xdr:rowOff>
    </xdr:to>
    <xdr:pic>
      <xdr:nvPicPr>
        <xdr:cNvPr id="5" name="图片 4"/>
        <xdr:cNvPicPr>
          <a:picLocks noChangeAspect="1"/>
        </xdr:cNvPicPr>
      </xdr:nvPicPr>
      <xdr:blipFill>
        <a:blip r:embed="rId2"/>
        <a:stretch>
          <a:fillRect/>
        </a:stretch>
      </xdr:blipFill>
      <xdr:spPr>
        <a:xfrm>
          <a:off x="3114675" y="330200"/>
          <a:ext cx="4553585" cy="1069975"/>
        </a:xfrm>
        <a:prstGeom prst="rect">
          <a:avLst/>
        </a:prstGeom>
        <a:noFill/>
        <a:ln w="9525">
          <a:noFill/>
        </a:ln>
      </xdr:spPr>
    </xdr:pic>
    <xdr:clientData/>
  </xdr:twoCellAnchor>
</xdr:wsDr>
</file>

<file path=xl/drawings/drawing26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10795</xdr:rowOff>
    </xdr:from>
    <xdr:to>
      <xdr:col>0</xdr:col>
      <xdr:colOff>685800</xdr:colOff>
      <xdr:row>0</xdr:row>
      <xdr:rowOff>267335</xdr:rowOff>
    </xdr:to>
    <xdr:sp>
      <xdr:nvSpPr>
        <xdr:cNvPr id="2" name="矩形 1">
          <a:hlinkClick xmlns:r="http://schemas.openxmlformats.org/officeDocument/2006/relationships" r:id="rId1"/>
        </xdr:cNvPr>
        <xdr:cNvSpPr/>
      </xdr:nvSpPr>
      <xdr:spPr>
        <a:xfrm>
          <a:off x="635" y="10795"/>
          <a:ext cx="685165" cy="256540"/>
        </a:xfrm>
        <a:prstGeom prst="rect">
          <a:avLst/>
        </a:prstGeom>
        <a:ln>
          <a:noFill/>
        </a:ln>
        <a:effectLst>
          <a:outerShdw blurRad="50800" dist="38100" dir="2700000" algn="tl" rotWithShape="0">
            <a:prstClr val="black">
              <a:alpha val="40000"/>
            </a:prst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100" b="1"/>
            <a:t>返回</a:t>
          </a:r>
          <a:endParaRPr lang="zh-CN" altLang="en-US" sz="1100" b="1"/>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2" Type="http://schemas.openxmlformats.org/officeDocument/2006/relationships/hyperlink" Target="http://www.wps.cn/" TargetMode="External"/><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3.xml.rels><?xml version="1.0" encoding="UTF-8" standalone="yes"?>
<Relationships xmlns="http://schemas.openxmlformats.org/package/2006/relationships"><Relationship Id="rId2" Type="http://schemas.openxmlformats.org/officeDocument/2006/relationships/hyperlink" Target="http://www.wps.cn/" TargetMode="External"/><Relationship Id="rId1" Type="http://schemas.openxmlformats.org/officeDocument/2006/relationships/drawing" Target="../drawings/drawing14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6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4"/>
  <sheetViews>
    <sheetView showGridLines="0" tabSelected="1" workbookViewId="0">
      <pane ySplit="2" topLeftCell="A3" activePane="bottomLeft" state="frozen"/>
      <selection/>
      <selection pane="bottomLeft" activeCell="G8" sqref="G8"/>
    </sheetView>
  </sheetViews>
  <sheetFormatPr defaultColWidth="9" defaultRowHeight="13.5" outlineLevelCol="7"/>
  <cols>
    <col min="1" max="1" width="8.125" customWidth="1"/>
    <col min="2" max="2" width="13.875" customWidth="1"/>
    <col min="3" max="3" width="27.75" customWidth="1"/>
    <col min="4" max="4" width="8.625" customWidth="1"/>
    <col min="5" max="5" width="13.875" customWidth="1"/>
    <col min="6" max="6" width="27.5" customWidth="1"/>
    <col min="7" max="7" width="25.75" customWidth="1"/>
  </cols>
  <sheetData>
    <row r="1" ht="22" customHeight="1" spans="1:7">
      <c r="A1" s="2" t="s">
        <v>0</v>
      </c>
      <c r="B1" s="2"/>
      <c r="C1" s="2"/>
      <c r="D1" s="2"/>
      <c r="E1" s="2"/>
      <c r="F1" s="2"/>
      <c r="G1" s="347">
        <v>1</v>
      </c>
    </row>
    <row r="2" ht="17.25" spans="1:7">
      <c r="A2" s="348" t="s">
        <v>1</v>
      </c>
      <c r="B2" s="349" t="s">
        <v>2</v>
      </c>
      <c r="C2" s="350" t="str">
        <f ca="1" t="array" ref="C2">IF(E2="",COUNTA(INDIRECT(B2))&amp;"个",SUM(IF(查找函数="",0,1))&amp;"个")</f>
        <v>16个</v>
      </c>
      <c r="D2" s="350" t="s">
        <v>3</v>
      </c>
      <c r="E2" s="349"/>
      <c r="F2" s="351" t="s">
        <v>4</v>
      </c>
      <c r="G2" s="352">
        <f ca="1">IF(G1&lt;ROUNDUP(SUBSTITUTE(C2,"个","")/80,0),G1,ROUNDUP(SUBSTITUTE(C2,"个","")/80,0))</f>
        <v>1</v>
      </c>
    </row>
    <row r="3" ht="15" spans="1:6">
      <c r="A3" s="353" t="s">
        <v>5</v>
      </c>
      <c r="B3" s="354" t="s">
        <v>6</v>
      </c>
      <c r="C3" s="354" t="s">
        <v>7</v>
      </c>
      <c r="D3" s="354" t="s">
        <v>5</v>
      </c>
      <c r="E3" s="354" t="s">
        <v>6</v>
      </c>
      <c r="F3" s="355" t="s">
        <v>7</v>
      </c>
    </row>
    <row r="4" ht="24" customHeight="1" spans="1:7">
      <c r="A4" s="356">
        <f ca="1">IF(B4&lt;&gt;"",ROW(1:1)+($G$2-1)*80,"")</f>
        <v>1</v>
      </c>
      <c r="B4" s="357" t="str">
        <f ca="1">IF($E$2="",IF((ROW(1:1)+($G$2-1)*80)&gt;COUNTA(INDIRECT($B$2)),"",HYPERLINK("#"&amp;INDEX(INDIRECT($B$2),(ROW(1:1)+($G$2-1)*80))&amp;"!A1",INDEX(INDIRECT($B$2),(ROW(1:1)+($G$2-1)*80)))),IF((ROW(1:1)+($G$2-1)*80)&gt;SUBSTITUTE($C$2,"个","")*1,"",HYPERLINK("#"&amp;INDEX(查找函数,(ROW(1:1)+($G$2-1)*80))&amp;"!A1",INDEX(查找函数,(ROW(1:1)+($G$2-1)*80)))))</f>
        <v>ADDRESS</v>
      </c>
      <c r="C4" s="358" t="str">
        <f ca="1">IF(B4&lt;&gt;"",VLOOKUP(B4,函数!$A$1:$B$280,2,0),"")</f>
        <v>以文本形式返回对工作表中某个单元格的引用</v>
      </c>
      <c r="D4" s="359" t="str">
        <f ca="1">IF(E4&lt;&gt;"",ROW(41:41)+($G$2-1)*80,"")</f>
        <v/>
      </c>
      <c r="E4" s="357" t="str">
        <f ca="1">IF($E$2="",IF((ROW(41:41)+($G$2-1)*80)&gt;COUNTA(INDIRECT($B$2)),"",HYPERLINK("#"&amp;INDEX(INDIRECT($B$2),(ROW(41:41)+($G$2-1)*80))&amp;"!A1",INDEX(INDIRECT($B$2),(ROW(41:41)+($G$2-1)*80)))),IF((ROW(41:41)+($G$2-1)*80)&gt;SUBSTITUTE($C$2,"个","")*1,"",HYPERLINK("#"&amp;INDEX(查找函数,(ROW(41:41)+($G$2-1)*80))&amp;"!A1",INDEX(查找函数,(ROW(41:41)+($G$2-1)*80)))))</f>
        <v/>
      </c>
      <c r="F4" s="360" t="str">
        <f ca="1">IF(E4&lt;&gt;"",VLOOKUP(E4,函数!$A$1:$B$280,2,0),"")</f>
        <v/>
      </c>
      <c r="G4" s="273"/>
    </row>
    <row r="5" ht="24" customHeight="1" spans="1:6">
      <c r="A5" s="356">
        <f ca="1" t="shared" ref="A5:A43" si="0">IF(B5&lt;&gt;"",ROW(2:2)+($G$2-1)*80,"")</f>
        <v>2</v>
      </c>
      <c r="B5" s="357" t="str">
        <f ca="1">IF($E$2="",IF((ROW(2:2)+($G$2-1)*80)&gt;COUNTA(INDIRECT($B$2)),"",HYPERLINK("#"&amp;INDEX(INDIRECT($B$2),(ROW(2:2)+($G$2-1)*80))&amp;"!A1",INDEX(INDIRECT($B$2),(ROW(2:2)+($G$2-1)*80)))),IF((ROW(2:2)+($G$2-1)*80)&gt;SUBSTITUTE($C$2,"个","")*1,"",HYPERLINK("#"&amp;INDEX(查找函数,(ROW(2:2)+($G$2-1)*80))&amp;"!A1",INDEX(查找函数,(ROW(2:2)+($G$2-1)*80)))))</f>
        <v>AREAS</v>
      </c>
      <c r="C5" s="358" t="str">
        <f ca="1">IF(B5&lt;&gt;"",VLOOKUP(B5,函数!$A$1:$B$280,2,0),"")</f>
        <v>返回引用中的区域个数</v>
      </c>
      <c r="D5" s="359" t="str">
        <f ca="1" t="shared" ref="D5:D43" si="1">IF(E5&lt;&gt;"",ROW(42:42)+($G$2-1)*80,"")</f>
        <v/>
      </c>
      <c r="E5" s="357" t="str">
        <f ca="1">IF($E$2="",IF((ROW(42:42)+($G$2-1)*80)&gt;COUNTA(INDIRECT($B$2)),"",HYPERLINK("#"&amp;INDEX(INDIRECT($B$2),(ROW(42:42)+($G$2-1)*80))&amp;"!A1",INDEX(INDIRECT($B$2),(ROW(42:42)+($G$2-1)*80)))),IF((ROW(42:42)+($G$2-1)*80)&gt;SUBSTITUTE($C$2,"个","")*1,"",HYPERLINK("#"&amp;INDEX(查找函数,(ROW(42:42)+($G$2-1)*80))&amp;"!A1",INDEX(查找函数,(ROW(42:42)+($G$2-1)*80)))))</f>
        <v/>
      </c>
      <c r="F5" s="360" t="str">
        <f ca="1">IF(E5&lt;&gt;"",VLOOKUP(E5,函数!$A$1:$B$280,2,0),"")</f>
        <v/>
      </c>
    </row>
    <row r="6" ht="24" customHeight="1" spans="1:6">
      <c r="A6" s="356">
        <f ca="1" t="shared" si="0"/>
        <v>3</v>
      </c>
      <c r="B6" s="357" t="str">
        <f ca="1">IF($E$2="",IF((ROW(3:3)+($G$2-1)*80)&gt;COUNTA(INDIRECT($B$2)),"",HYPERLINK("#"&amp;INDEX(INDIRECT($B$2),(ROW(3:3)+($G$2-1)*80))&amp;"!A1",INDEX(INDIRECT($B$2),(ROW(3:3)+($G$2-1)*80)))),IF((ROW(3:3)+($G$2-1)*80)&gt;SUBSTITUTE($C$2,"个","")*1,"",HYPERLINK("#"&amp;INDEX(查找函数,(ROW(3:3)+($G$2-1)*80))&amp;"!A1",INDEX(查找函数,(ROW(3:3)+($G$2-1)*80)))))</f>
        <v>CHOOSE</v>
      </c>
      <c r="C6" s="358" t="str">
        <f ca="1">IF(B6&lt;&gt;"",VLOOKUP(B6,函数!$A$1:$B$280,2,0),"")</f>
        <v>从值的列表中选择一个值</v>
      </c>
      <c r="D6" s="359" t="str">
        <f ca="1" t="shared" si="1"/>
        <v/>
      </c>
      <c r="E6" s="357" t="str">
        <f ca="1">IF($E$2="",IF((ROW(43:43)+($G$2-1)*80)&gt;COUNTA(INDIRECT($B$2)),"",HYPERLINK("#"&amp;INDEX(INDIRECT($B$2),(ROW(43:43)+($G$2-1)*80))&amp;"!A1",INDEX(INDIRECT($B$2),(ROW(43:43)+($G$2-1)*80)))),IF((ROW(43:43)+($G$2-1)*80)&gt;SUBSTITUTE($C$2,"个","")*1,"",HYPERLINK("#"&amp;INDEX(查找函数,(ROW(43:43)+($G$2-1)*80))&amp;"!A1",INDEX(查找函数,(ROW(43:43)+($G$2-1)*80)))))</f>
        <v/>
      </c>
      <c r="F6" s="360" t="str">
        <f ca="1">IF(E6&lt;&gt;"",VLOOKUP(E6,函数!$A$1:$B$280,2,0),"")</f>
        <v/>
      </c>
    </row>
    <row r="7" ht="24" customHeight="1" spans="1:6">
      <c r="A7" s="356">
        <f ca="1" t="shared" si="0"/>
        <v>4</v>
      </c>
      <c r="B7" s="357" t="str">
        <f ca="1">IF($E$2="",IF((ROW(4:4)+($G$2-1)*80)&gt;COUNTA(INDIRECT($B$2)),"",HYPERLINK("#"&amp;INDEX(INDIRECT($B$2),(ROW(4:4)+($G$2-1)*80))&amp;"!A1",INDEX(INDIRECT($B$2),(ROW(4:4)+($G$2-1)*80)))),IF((ROW(4:4)+($G$2-1)*80)&gt;SUBSTITUTE($C$2,"个","")*1,"",HYPERLINK("#"&amp;INDEX(查找函数,(ROW(4:4)+($G$2-1)*80))&amp;"!A1",INDEX(查找函数,(ROW(4:4)+($G$2-1)*80)))))</f>
        <v>COLUMN</v>
      </c>
      <c r="C7" s="358" t="str">
        <f ca="1">IF(B7&lt;&gt;"",VLOOKUP(B7,函数!$A$1:$B$280,2,0),"")</f>
        <v>返回引用的列标</v>
      </c>
      <c r="D7" s="359" t="str">
        <f ca="1" t="shared" si="1"/>
        <v/>
      </c>
      <c r="E7" s="357" t="str">
        <f ca="1">IF($E$2="",IF((ROW(44:44)+($G$2-1)*80)&gt;COUNTA(INDIRECT($B$2)),"",HYPERLINK("#"&amp;INDEX(INDIRECT($B$2),(ROW(44:44)+($G$2-1)*80))&amp;"!A1",INDEX(INDIRECT($B$2),(ROW(44:44)+($G$2-1)*80)))),IF((ROW(44:44)+($G$2-1)*80)&gt;SUBSTITUTE($C$2,"个","")*1,"",HYPERLINK("#"&amp;INDEX(查找函数,(ROW(44:44)+($G$2-1)*80))&amp;"!A1",INDEX(查找函数,(ROW(44:44)+($G$2-1)*80)))))</f>
        <v/>
      </c>
      <c r="F7" s="360" t="str">
        <f ca="1">IF(E7&lt;&gt;"",VLOOKUP(E7,函数!$A$1:$B$280,2,0),"")</f>
        <v/>
      </c>
    </row>
    <row r="8" ht="24" customHeight="1" spans="1:6">
      <c r="A8" s="356">
        <f ca="1" t="shared" si="0"/>
        <v>5</v>
      </c>
      <c r="B8" s="357" t="str">
        <f ca="1">IF($E$2="",IF((ROW(5:5)+($G$2-1)*80)&gt;COUNTA(INDIRECT($B$2)),"",HYPERLINK("#"&amp;INDEX(INDIRECT($B$2),(ROW(5:5)+($G$2-1)*80))&amp;"!A1",INDEX(INDIRECT($B$2),(ROW(5:5)+($G$2-1)*80)))),IF((ROW(5:5)+($G$2-1)*80)&gt;SUBSTITUTE($C$2,"个","")*1,"",HYPERLINK("#"&amp;INDEX(查找函数,(ROW(5:5)+($G$2-1)*80))&amp;"!A1",INDEX(查找函数,(ROW(5:5)+($G$2-1)*80)))))</f>
        <v>COLUMNS</v>
      </c>
      <c r="C8" s="358" t="str">
        <f ca="1">IF(B8&lt;&gt;"",VLOOKUP(B8,函数!$A$1:$B$280,2,0),"")</f>
        <v>返回引用中的列数</v>
      </c>
      <c r="D8" s="359" t="str">
        <f ca="1" t="shared" si="1"/>
        <v/>
      </c>
      <c r="E8" s="357" t="str">
        <f ca="1">IF($E$2="",IF((ROW(45:45)+($G$2-1)*80)&gt;COUNTA(INDIRECT($B$2)),"",HYPERLINK("#"&amp;INDEX(INDIRECT($B$2),(ROW(45:45)+($G$2-1)*80))&amp;"!A1",INDEX(INDIRECT($B$2),(ROW(45:45)+($G$2-1)*80)))),IF((ROW(45:45)+($G$2-1)*80)&gt;SUBSTITUTE($C$2,"个","")*1,"",HYPERLINK("#"&amp;INDEX(查找函数,(ROW(45:45)+($G$2-1)*80))&amp;"!A1",INDEX(查找函数,(ROW(45:45)+($G$2-1)*80)))))</f>
        <v/>
      </c>
      <c r="F8" s="360" t="str">
        <f ca="1">IF(E8&lt;&gt;"",VLOOKUP(E8,函数!$A$1:$B$280,2,0),"")</f>
        <v/>
      </c>
    </row>
    <row r="9" ht="24" customHeight="1" spans="1:7">
      <c r="A9" s="356">
        <f ca="1" t="shared" si="0"/>
        <v>6</v>
      </c>
      <c r="B9" s="357" t="str">
        <f ca="1">IF($E$2="",IF((ROW(6:6)+($G$2-1)*80)&gt;COUNTA(INDIRECT($B$2)),"",HYPERLINK("#"&amp;INDEX(INDIRECT($B$2),(ROW(6:6)+($G$2-1)*80))&amp;"!A1",INDEX(INDIRECT($B$2),(ROW(6:6)+($G$2-1)*80)))),IF((ROW(6:6)+($G$2-1)*80)&gt;SUBSTITUTE($C$2,"个","")*1,"",HYPERLINK("#"&amp;INDEX(查找函数,(ROW(6:6)+($G$2-1)*80))&amp;"!A1",INDEX(查找函数,(ROW(6:6)+($G$2-1)*80)))))</f>
        <v>HLOOKUP</v>
      </c>
      <c r="C9" s="358" t="str">
        <f ca="1">IF(B9&lt;&gt;"",VLOOKUP(B9,函数!$A$1:$B$280,2,0),"")</f>
        <v>在数组的首行查找并返回指定单元格的值</v>
      </c>
      <c r="D9" s="359" t="str">
        <f ca="1" t="shared" si="1"/>
        <v/>
      </c>
      <c r="E9" s="357" t="str">
        <f ca="1">IF($E$2="",IF((ROW(46:46)+($G$2-1)*80)&gt;COUNTA(INDIRECT($B$2)),"",HYPERLINK("#"&amp;INDEX(INDIRECT($B$2),(ROW(46:46)+($G$2-1)*80))&amp;"!A1",INDEX(INDIRECT($B$2),(ROW(46:46)+($G$2-1)*80)))),IF((ROW(46:46)+($G$2-1)*80)&gt;SUBSTITUTE($C$2,"个","")*1,"",HYPERLINK("#"&amp;INDEX(查找函数,(ROW(46:46)+($G$2-1)*80))&amp;"!A1",INDEX(查找函数,(ROW(46:46)+($G$2-1)*80)))))</f>
        <v/>
      </c>
      <c r="F9" s="360" t="str">
        <f ca="1">IF(E9&lt;&gt;"",VLOOKUP(E9,函数!$A$1:$B$280,2,0),"")</f>
        <v/>
      </c>
      <c r="G9" s="273"/>
    </row>
    <row r="10" ht="24" customHeight="1" spans="1:6">
      <c r="A10" s="356">
        <f ca="1" t="shared" si="0"/>
        <v>7</v>
      </c>
      <c r="B10" s="357" t="str">
        <f ca="1">IF($E$2="",IF((ROW(7:7)+($G$2-1)*80)&gt;COUNTA(INDIRECT($B$2)),"",HYPERLINK("#"&amp;INDEX(INDIRECT($B$2),(ROW(7:7)+($G$2-1)*80))&amp;"!A1",INDEX(INDIRECT($B$2),(ROW(7:7)+($G$2-1)*80)))),IF((ROW(7:7)+($G$2-1)*80)&gt;SUBSTITUTE($C$2,"个","")*1,"",HYPERLINK("#"&amp;INDEX(查找函数,(ROW(7:7)+($G$2-1)*80))&amp;"!A1",INDEX(查找函数,(ROW(7:7)+($G$2-1)*80)))))</f>
        <v>HYPERLINK</v>
      </c>
      <c r="C10" s="358" t="str">
        <f ca="1">IF(B10&lt;&gt;"",VLOOKUP(B10,函数!$A$1:$B$280,2,0),"")</f>
        <v>创建一个快捷方式（跳转），用以打开存储在网络服务器、Intranet或Internet中的文件</v>
      </c>
      <c r="D10" s="359" t="str">
        <f ca="1" t="shared" si="1"/>
        <v/>
      </c>
      <c r="E10" s="357" t="str">
        <f ca="1">IF($E$2="",IF((ROW(47:47)+($G$2-1)*80)&gt;COUNTA(INDIRECT($B$2)),"",HYPERLINK("#"&amp;INDEX(INDIRECT($B$2),(ROW(47:47)+($G$2-1)*80))&amp;"!A1",INDEX(INDIRECT($B$2),(ROW(47:47)+($G$2-1)*80)))),IF((ROW(47:47)+($G$2-1)*80)&gt;SUBSTITUTE($C$2,"个","")*1,"",HYPERLINK("#"&amp;INDEX(查找函数,(ROW(47:47)+($G$2-1)*80))&amp;"!A1",INDEX(查找函数,(ROW(47:47)+($G$2-1)*80)))))</f>
        <v/>
      </c>
      <c r="F10" s="360" t="str">
        <f ca="1">IF(E10&lt;&gt;"",VLOOKUP(E10,函数!$A$1:$B$280,2,0),"")</f>
        <v/>
      </c>
    </row>
    <row r="11" ht="24" customHeight="1" spans="1:6">
      <c r="A11" s="356">
        <f ca="1" t="shared" si="0"/>
        <v>8</v>
      </c>
      <c r="B11" s="357" t="str">
        <f ca="1">IF($E$2="",IF((ROW(8:8)+($G$2-1)*80)&gt;COUNTA(INDIRECT($B$2)),"",HYPERLINK("#"&amp;INDEX(INDIRECT($B$2),(ROW(8:8)+($G$2-1)*80))&amp;"!A1",INDEX(INDIRECT($B$2),(ROW(8:8)+($G$2-1)*80)))),IF((ROW(8:8)+($G$2-1)*80)&gt;SUBSTITUTE($C$2,"个","")*1,"",HYPERLINK("#"&amp;INDEX(查找函数,(ROW(8:8)+($G$2-1)*80))&amp;"!A1",INDEX(查找函数,(ROW(8:8)+($G$2-1)*80)))))</f>
        <v>INDEX</v>
      </c>
      <c r="C11" s="358" t="str">
        <f ca="1">IF(B11&lt;&gt;"",VLOOKUP(B11,函数!$A$1:$B$280,2,0),"")</f>
        <v>使用索引从引用或数组中选择值</v>
      </c>
      <c r="D11" s="359" t="str">
        <f ca="1" t="shared" si="1"/>
        <v/>
      </c>
      <c r="E11" s="357" t="str">
        <f ca="1">IF($E$2="",IF((ROW(48:48)+($G$2-1)*80)&gt;COUNTA(INDIRECT($B$2)),"",HYPERLINK("#"&amp;INDEX(INDIRECT($B$2),(ROW(48:48)+($G$2-1)*80))&amp;"!A1",INDEX(INDIRECT($B$2),(ROW(48:48)+($G$2-1)*80)))),IF((ROW(48:48)+($G$2-1)*80)&gt;SUBSTITUTE($C$2,"个","")*1,"",HYPERLINK("#"&amp;INDEX(查找函数,(ROW(48:48)+($G$2-1)*80))&amp;"!A1",INDEX(查找函数,(ROW(48:48)+($G$2-1)*80)))))</f>
        <v/>
      </c>
      <c r="F11" s="360" t="str">
        <f ca="1">IF(E11&lt;&gt;"",VLOOKUP(E11,函数!$A$1:$B$280,2,0),"")</f>
        <v/>
      </c>
    </row>
    <row r="12" ht="24" customHeight="1" spans="1:6">
      <c r="A12" s="356">
        <f ca="1" t="shared" si="0"/>
        <v>9</v>
      </c>
      <c r="B12" s="357" t="str">
        <f ca="1">IF($E$2="",IF((ROW(9:9)+($G$2-1)*80)&gt;COUNTA(INDIRECT($B$2)),"",HYPERLINK("#"&amp;INDEX(INDIRECT($B$2),(ROW(9:9)+($G$2-1)*80))&amp;"!A1",INDEX(INDIRECT($B$2),(ROW(9:9)+($G$2-1)*80)))),IF((ROW(9:9)+($G$2-1)*80)&gt;SUBSTITUTE($C$2,"个","")*1,"",HYPERLINK("#"&amp;INDEX(查找函数,(ROW(9:9)+($G$2-1)*80))&amp;"!A1",INDEX(查找函数,(ROW(9:9)+($G$2-1)*80)))))</f>
        <v>INDIRECT</v>
      </c>
      <c r="C12" s="358" t="str">
        <f ca="1">IF(B12&lt;&gt;"",VLOOKUP(B12,函数!$A$1:$B$280,2,0),"")</f>
        <v>返回由文本值表示的引用</v>
      </c>
      <c r="D12" s="359" t="str">
        <f ca="1" t="shared" si="1"/>
        <v/>
      </c>
      <c r="E12" s="357" t="str">
        <f ca="1">IF($E$2="",IF((ROW(49:49)+($G$2-1)*80)&gt;COUNTA(INDIRECT($B$2)),"",HYPERLINK("#"&amp;INDEX(INDIRECT($B$2),(ROW(49:49)+($G$2-1)*80))&amp;"!A1",INDEX(INDIRECT($B$2),(ROW(49:49)+($G$2-1)*80)))),IF((ROW(49:49)+($G$2-1)*80)&gt;SUBSTITUTE($C$2,"个","")*1,"",HYPERLINK("#"&amp;INDEX(查找函数,(ROW(49:49)+($G$2-1)*80))&amp;"!A1",INDEX(查找函数,(ROW(49:49)+($G$2-1)*80)))))</f>
        <v/>
      </c>
      <c r="F12" s="360" t="str">
        <f ca="1">IF(E12&lt;&gt;"",VLOOKUP(E12,函数!$A$1:$B$280,2,0),"")</f>
        <v/>
      </c>
    </row>
    <row r="13" ht="24" customHeight="1" spans="1:6">
      <c r="A13" s="356">
        <f ca="1" t="shared" si="0"/>
        <v>10</v>
      </c>
      <c r="B13" s="357" t="str">
        <f ca="1">IF($E$2="",IF((ROW(10:10)+($G$2-1)*80)&gt;COUNTA(INDIRECT($B$2)),"",HYPERLINK("#"&amp;INDEX(INDIRECT($B$2),(ROW(10:10)+($G$2-1)*80))&amp;"!A1",INDEX(INDIRECT($B$2),(ROW(10:10)+($G$2-1)*80)))),IF((ROW(10:10)+($G$2-1)*80)&gt;SUBSTITUTE($C$2,"个","")*1,"",HYPERLINK("#"&amp;INDEX(查找函数,(ROW(10:10)+($G$2-1)*80))&amp;"!A1",INDEX(查找函数,(ROW(10:10)+($G$2-1)*80)))))</f>
        <v>LOOKUP</v>
      </c>
      <c r="C13" s="358" t="str">
        <f ca="1">IF(B13&lt;&gt;"",VLOOKUP(B13,函数!$A$1:$B$280,2,0),"")</f>
        <v>在向量或数组中查找值</v>
      </c>
      <c r="D13" s="359" t="str">
        <f ca="1" t="shared" si="1"/>
        <v/>
      </c>
      <c r="E13" s="357" t="str">
        <f ca="1">IF($E$2="",IF((ROW(50:50)+($G$2-1)*80)&gt;COUNTA(INDIRECT($B$2)),"",HYPERLINK("#"&amp;INDEX(INDIRECT($B$2),(ROW(50:50)+($G$2-1)*80))&amp;"!A1",INDEX(INDIRECT($B$2),(ROW(50:50)+($G$2-1)*80)))),IF((ROW(50:50)+($G$2-1)*80)&gt;SUBSTITUTE($C$2,"个","")*1,"",HYPERLINK("#"&amp;INDEX(查找函数,(ROW(50:50)+($G$2-1)*80))&amp;"!A1",INDEX(查找函数,(ROW(50:50)+($G$2-1)*80)))))</f>
        <v/>
      </c>
      <c r="F13" s="360" t="str">
        <f ca="1">IF(E13&lt;&gt;"",VLOOKUP(E13,函数!$A$1:$B$280,2,0),"")</f>
        <v/>
      </c>
    </row>
    <row r="14" ht="24" customHeight="1" spans="1:6">
      <c r="A14" s="356">
        <f ca="1" t="shared" si="0"/>
        <v>11</v>
      </c>
      <c r="B14" s="357" t="str">
        <f ca="1">IF($E$2="",IF((ROW(11:11)+($G$2-1)*80)&gt;COUNTA(INDIRECT($B$2)),"",HYPERLINK("#"&amp;INDEX(INDIRECT($B$2),(ROW(11:11)+($G$2-1)*80))&amp;"!A1",INDEX(INDIRECT($B$2),(ROW(11:11)+($G$2-1)*80)))),IF((ROW(11:11)+($G$2-1)*80)&gt;SUBSTITUTE($C$2,"个","")*1,"",HYPERLINK("#"&amp;INDEX(查找函数,(ROW(11:11)+($G$2-1)*80))&amp;"!A1",INDEX(查找函数,(ROW(11:11)+($G$2-1)*80)))))</f>
        <v>MATCH</v>
      </c>
      <c r="C14" s="358" t="str">
        <f ca="1">IF(B14&lt;&gt;"",VLOOKUP(B14,函数!$A$1:$B$280,2,0),"")</f>
        <v>在引用或数组中查找值</v>
      </c>
      <c r="D14" s="359" t="str">
        <f ca="1" t="shared" si="1"/>
        <v/>
      </c>
      <c r="E14" s="357" t="str">
        <f ca="1">IF($E$2="",IF((ROW(51:51)+($G$2-1)*80)&gt;COUNTA(INDIRECT($B$2)),"",HYPERLINK("#"&amp;INDEX(INDIRECT($B$2),(ROW(51:51)+($G$2-1)*80))&amp;"!A1",INDEX(INDIRECT($B$2),(ROW(51:51)+($G$2-1)*80)))),IF((ROW(51:51)+($G$2-1)*80)&gt;SUBSTITUTE($C$2,"个","")*1,"",HYPERLINK("#"&amp;INDEX(查找函数,(ROW(51:51)+($G$2-1)*80))&amp;"!A1",INDEX(查找函数,(ROW(51:51)+($G$2-1)*80)))))</f>
        <v/>
      </c>
      <c r="F14" s="360" t="str">
        <f ca="1">IF(E14&lt;&gt;"",VLOOKUP(E14,函数!$A$1:$B$280,2,0),"")</f>
        <v/>
      </c>
    </row>
    <row r="15" ht="24" customHeight="1" spans="1:6">
      <c r="A15" s="356">
        <f ca="1" t="shared" si="0"/>
        <v>12</v>
      </c>
      <c r="B15" s="357" t="str">
        <f ca="1">IF($E$2="",IF((ROW(12:12)+($G$2-1)*80)&gt;COUNTA(INDIRECT($B$2)),"",HYPERLINK("#"&amp;INDEX(INDIRECT($B$2),(ROW(12:12)+($G$2-1)*80))&amp;"!A1",INDEX(INDIRECT($B$2),(ROW(12:12)+($G$2-1)*80)))),IF((ROW(12:12)+($G$2-1)*80)&gt;SUBSTITUTE($C$2,"个","")*1,"",HYPERLINK("#"&amp;INDEX(查找函数,(ROW(12:12)+($G$2-1)*80))&amp;"!A1",INDEX(查找函数,(ROW(12:12)+($G$2-1)*80)))))</f>
        <v>OFFSET</v>
      </c>
      <c r="C15" s="358" t="str">
        <f ca="1">IF(B15&lt;&gt;"",VLOOKUP(B15,函数!$A$1:$B$280,2,0),"")</f>
        <v>从给定引用中返回引用偏移量</v>
      </c>
      <c r="D15" s="359" t="str">
        <f ca="1" t="shared" si="1"/>
        <v/>
      </c>
      <c r="E15" s="357" t="str">
        <f ca="1">IF($E$2="",IF((ROW(52:52)+($G$2-1)*80)&gt;COUNTA(INDIRECT($B$2)),"",HYPERLINK("#"&amp;INDEX(INDIRECT($B$2),(ROW(52:52)+($G$2-1)*80))&amp;"!A1",INDEX(INDIRECT($B$2),(ROW(52:52)+($G$2-1)*80)))),IF((ROW(52:52)+($G$2-1)*80)&gt;SUBSTITUTE($C$2,"个","")*1,"",HYPERLINK("#"&amp;INDEX(查找函数,(ROW(52:52)+($G$2-1)*80))&amp;"!A1",INDEX(查找函数,(ROW(52:52)+($G$2-1)*80)))))</f>
        <v/>
      </c>
      <c r="F15" s="360" t="str">
        <f ca="1">IF(E15&lt;&gt;"",VLOOKUP(E15,函数!$A$1:$B$280,2,0),"")</f>
        <v/>
      </c>
    </row>
    <row r="16" ht="24" customHeight="1" spans="1:6">
      <c r="A16" s="356">
        <f ca="1" t="shared" si="0"/>
        <v>13</v>
      </c>
      <c r="B16" s="357" t="str">
        <f ca="1">IF($E$2="",IF((ROW(13:13)+($G$2-1)*80)&gt;COUNTA(INDIRECT($B$2)),"",HYPERLINK("#"&amp;INDEX(INDIRECT($B$2),(ROW(13:13)+($G$2-1)*80))&amp;"!A1",INDEX(INDIRECT($B$2),(ROW(13:13)+($G$2-1)*80)))),IF((ROW(13:13)+($G$2-1)*80)&gt;SUBSTITUTE($C$2,"个","")*1,"",HYPERLINK("#"&amp;INDEX(查找函数,(ROW(13:13)+($G$2-1)*80))&amp;"!A1",INDEX(查找函数,(ROW(13:13)+($G$2-1)*80)))))</f>
        <v>ROW</v>
      </c>
      <c r="C16" s="358" t="str">
        <f ca="1">IF(B16&lt;&gt;"",VLOOKUP(B16,函数!$A$1:$B$280,2,0),"")</f>
        <v>返回引用的行号</v>
      </c>
      <c r="D16" s="359" t="str">
        <f ca="1" t="shared" si="1"/>
        <v/>
      </c>
      <c r="E16" s="357" t="str">
        <f ca="1">IF($E$2="",IF((ROW(53:53)+($G$2-1)*80)&gt;COUNTA(INDIRECT($B$2)),"",HYPERLINK("#"&amp;INDEX(INDIRECT($B$2),(ROW(53:53)+($G$2-1)*80))&amp;"!A1",INDEX(INDIRECT($B$2),(ROW(53:53)+($G$2-1)*80)))),IF((ROW(53:53)+($G$2-1)*80)&gt;SUBSTITUTE($C$2,"个","")*1,"",HYPERLINK("#"&amp;INDEX(查找函数,(ROW(53:53)+($G$2-1)*80))&amp;"!A1",INDEX(查找函数,(ROW(53:53)+($G$2-1)*80)))))</f>
        <v/>
      </c>
      <c r="F16" s="360" t="str">
        <f ca="1">IF(E16&lt;&gt;"",VLOOKUP(E16,函数!$A$1:$B$280,2,0),"")</f>
        <v/>
      </c>
    </row>
    <row r="17" ht="24" customHeight="1" spans="1:8">
      <c r="A17" s="356">
        <f ca="1" t="shared" si="0"/>
        <v>14</v>
      </c>
      <c r="B17" s="357" t="str">
        <f ca="1">IF($E$2="",IF((ROW(14:14)+($G$2-1)*80)&gt;COUNTA(INDIRECT($B$2)),"",HYPERLINK("#"&amp;INDEX(INDIRECT($B$2),(ROW(14:14)+($G$2-1)*80))&amp;"!A1",INDEX(INDIRECT($B$2),(ROW(14:14)+($G$2-1)*80)))),IF((ROW(14:14)+($G$2-1)*80)&gt;SUBSTITUTE($C$2,"个","")*1,"",HYPERLINK("#"&amp;INDEX(查找函数,(ROW(14:14)+($G$2-1)*80))&amp;"!A1",INDEX(查找函数,(ROW(14:14)+($G$2-1)*80)))))</f>
        <v>ROWS</v>
      </c>
      <c r="C17" s="358" t="str">
        <f ca="1">IF(B17&lt;&gt;"",VLOOKUP(B17,函数!$A$1:$B$280,2,0),"")</f>
        <v>返回引用中的行数</v>
      </c>
      <c r="D17" s="359" t="str">
        <f ca="1" t="shared" si="1"/>
        <v/>
      </c>
      <c r="E17" s="357" t="str">
        <f ca="1">IF($E$2="",IF((ROW(54:54)+($G$2-1)*80)&gt;COUNTA(INDIRECT($B$2)),"",HYPERLINK("#"&amp;INDEX(INDIRECT($B$2),(ROW(54:54)+($G$2-1)*80))&amp;"!A1",INDEX(INDIRECT($B$2),(ROW(54:54)+($G$2-1)*80)))),IF((ROW(54:54)+($G$2-1)*80)&gt;SUBSTITUTE($C$2,"个","")*1,"",HYPERLINK("#"&amp;INDEX(查找函数,(ROW(54:54)+($G$2-1)*80))&amp;"!A1",INDEX(查找函数,(ROW(54:54)+($G$2-1)*80)))))</f>
        <v/>
      </c>
      <c r="F17" s="360" t="str">
        <f ca="1">IF(E17&lt;&gt;"",VLOOKUP(E17,函数!$A$1:$B$280,2,0),"")</f>
        <v/>
      </c>
      <c r="H17" s="361"/>
    </row>
    <row r="18" ht="24" customHeight="1" spans="1:6">
      <c r="A18" s="356">
        <f ca="1" t="shared" si="0"/>
        <v>15</v>
      </c>
      <c r="B18" s="357" t="str">
        <f ca="1">IF($E$2="",IF((ROW(15:15)+($G$2-1)*80)&gt;COUNTA(INDIRECT($B$2)),"",HYPERLINK("#"&amp;INDEX(INDIRECT($B$2),(ROW(15:15)+($G$2-1)*80))&amp;"!A1",INDEX(INDIRECT($B$2),(ROW(15:15)+($G$2-1)*80)))),IF((ROW(15:15)+($G$2-1)*80)&gt;SUBSTITUTE($C$2,"个","")*1,"",HYPERLINK("#"&amp;INDEX(查找函数,(ROW(15:15)+($G$2-1)*80))&amp;"!A1",INDEX(查找函数,(ROW(15:15)+($G$2-1)*80)))))</f>
        <v>TRANSPOSE</v>
      </c>
      <c r="C18" s="358" t="str">
        <f ca="1">IF(B18&lt;&gt;"",VLOOKUP(B18,函数!$A$1:$B$280,2,0),"")</f>
        <v>返回数组的转置</v>
      </c>
      <c r="D18" s="359" t="str">
        <f ca="1" t="shared" si="1"/>
        <v/>
      </c>
      <c r="E18" s="357" t="str">
        <f ca="1">IF($E$2="",IF((ROW(55:55)+($G$2-1)*80)&gt;COUNTA(INDIRECT($B$2)),"",HYPERLINK("#"&amp;INDEX(INDIRECT($B$2),(ROW(55:55)+($G$2-1)*80))&amp;"!A1",INDEX(INDIRECT($B$2),(ROW(55:55)+($G$2-1)*80)))),IF((ROW(55:55)+($G$2-1)*80)&gt;SUBSTITUTE($C$2,"个","")*1,"",HYPERLINK("#"&amp;INDEX(查找函数,(ROW(55:55)+($G$2-1)*80))&amp;"!A1",INDEX(查找函数,(ROW(55:55)+($G$2-1)*80)))))</f>
        <v/>
      </c>
      <c r="F18" s="360" t="str">
        <f ca="1">IF(E18&lt;&gt;"",VLOOKUP(E18,函数!$A$1:$B$280,2,0),"")</f>
        <v/>
      </c>
    </row>
    <row r="19" ht="24" customHeight="1" spans="1:6">
      <c r="A19" s="356">
        <f ca="1" t="shared" si="0"/>
        <v>16</v>
      </c>
      <c r="B19" s="357" t="str">
        <f ca="1">IF($E$2="",IF((ROW(16:16)+($G$2-1)*80)&gt;COUNTA(INDIRECT($B$2)),"",HYPERLINK("#"&amp;INDEX(INDIRECT($B$2),(ROW(16:16)+($G$2-1)*80))&amp;"!A1",INDEX(INDIRECT($B$2),(ROW(16:16)+($G$2-1)*80)))),IF((ROW(16:16)+($G$2-1)*80)&gt;SUBSTITUTE($C$2,"个","")*1,"",HYPERLINK("#"&amp;INDEX(查找函数,(ROW(16:16)+($G$2-1)*80))&amp;"!A1",INDEX(查找函数,(ROW(16:16)+($G$2-1)*80)))))</f>
        <v>VLOOKUP</v>
      </c>
      <c r="C19" s="358" t="str">
        <f ca="1">IF(B19&lt;&gt;"",VLOOKUP(B19,函数!$A$1:$B$280,2,0),"")</f>
        <v>在数组第一列中查找，然后在行之间移动以返回单元格的值</v>
      </c>
      <c r="D19" s="359" t="str">
        <f ca="1" t="shared" si="1"/>
        <v/>
      </c>
      <c r="E19" s="357" t="str">
        <f ca="1">IF($E$2="",IF((ROW(56:56)+($G$2-1)*80)&gt;COUNTA(INDIRECT($B$2)),"",HYPERLINK("#"&amp;INDEX(INDIRECT($B$2),(ROW(56:56)+($G$2-1)*80))&amp;"!A1",INDEX(INDIRECT($B$2),(ROW(56:56)+($G$2-1)*80)))),IF((ROW(56:56)+($G$2-1)*80)&gt;SUBSTITUTE($C$2,"个","")*1,"",HYPERLINK("#"&amp;INDEX(查找函数,(ROW(56:56)+($G$2-1)*80))&amp;"!A1",INDEX(查找函数,(ROW(56:56)+($G$2-1)*80)))))</f>
        <v/>
      </c>
      <c r="F19" s="360" t="str">
        <f ca="1">IF(E19&lt;&gt;"",VLOOKUP(E19,函数!$A$1:$B$280,2,0),"")</f>
        <v/>
      </c>
    </row>
    <row r="20" ht="24" customHeight="1" spans="1:6">
      <c r="A20" s="356" t="str">
        <f ca="1" t="shared" si="0"/>
        <v/>
      </c>
      <c r="B20" s="357" t="str">
        <f ca="1">IF($E$2="",IF((ROW(17:17)+($G$2-1)*80)&gt;COUNTA(INDIRECT($B$2)),"",HYPERLINK("#"&amp;INDEX(INDIRECT($B$2),(ROW(17:17)+($G$2-1)*80))&amp;"!A1",INDEX(INDIRECT($B$2),(ROW(17:17)+($G$2-1)*80)))),IF((ROW(17:17)+($G$2-1)*80)&gt;SUBSTITUTE($C$2,"个","")*1,"",HYPERLINK("#"&amp;INDEX(查找函数,(ROW(17:17)+($G$2-1)*80))&amp;"!A1",INDEX(查找函数,(ROW(17:17)+($G$2-1)*80)))))</f>
        <v/>
      </c>
      <c r="C20" s="358" t="str">
        <f ca="1">IF(B20&lt;&gt;"",VLOOKUP(B20,函数!$A$1:$B$280,2,0),"")</f>
        <v/>
      </c>
      <c r="D20" s="359" t="str">
        <f ca="1" t="shared" si="1"/>
        <v/>
      </c>
      <c r="E20" s="357" t="str">
        <f ca="1">IF($E$2="",IF((ROW(57:57)+($G$2-1)*80)&gt;COUNTA(INDIRECT($B$2)),"",HYPERLINK("#"&amp;INDEX(INDIRECT($B$2),(ROW(57:57)+($G$2-1)*80))&amp;"!A1",INDEX(INDIRECT($B$2),(ROW(57:57)+($G$2-1)*80)))),IF((ROW(57:57)+($G$2-1)*80)&gt;SUBSTITUTE($C$2,"个","")*1,"",HYPERLINK("#"&amp;INDEX(查找函数,(ROW(57:57)+($G$2-1)*80))&amp;"!A1",INDEX(查找函数,(ROW(57:57)+($G$2-1)*80)))))</f>
        <v/>
      </c>
      <c r="F20" s="360" t="str">
        <f ca="1">IF(E20&lt;&gt;"",VLOOKUP(E20,函数!$A$1:$B$280,2,0),"")</f>
        <v/>
      </c>
    </row>
    <row r="21" ht="24" customHeight="1" spans="1:6">
      <c r="A21" s="356" t="str">
        <f ca="1" t="shared" si="0"/>
        <v/>
      </c>
      <c r="B21" s="357" t="str">
        <f ca="1">IF($E$2="",IF((ROW(18:18)+($G$2-1)*80)&gt;COUNTA(INDIRECT($B$2)),"",HYPERLINK("#"&amp;INDEX(INDIRECT($B$2),(ROW(18:18)+($G$2-1)*80))&amp;"!A1",INDEX(INDIRECT($B$2),(ROW(18:18)+($G$2-1)*80)))),IF((ROW(18:18)+($G$2-1)*80)&gt;SUBSTITUTE($C$2,"个","")*1,"",HYPERLINK("#"&amp;INDEX(查找函数,(ROW(18:18)+($G$2-1)*80))&amp;"!A1",INDEX(查找函数,(ROW(18:18)+($G$2-1)*80)))))</f>
        <v/>
      </c>
      <c r="C21" s="358" t="str">
        <f ca="1">IF(B21&lt;&gt;"",VLOOKUP(B21,函数!$A$1:$B$280,2,0),"")</f>
        <v/>
      </c>
      <c r="D21" s="359" t="str">
        <f ca="1" t="shared" si="1"/>
        <v/>
      </c>
      <c r="E21" s="357" t="str">
        <f ca="1">IF($E$2="",IF((ROW(58:58)+($G$2-1)*80)&gt;COUNTA(INDIRECT($B$2)),"",HYPERLINK("#"&amp;INDEX(INDIRECT($B$2),(ROW(58:58)+($G$2-1)*80))&amp;"!A1",INDEX(INDIRECT($B$2),(ROW(58:58)+($G$2-1)*80)))),IF((ROW(58:58)+($G$2-1)*80)&gt;SUBSTITUTE($C$2,"个","")*1,"",HYPERLINK("#"&amp;INDEX(查找函数,(ROW(58:58)+($G$2-1)*80))&amp;"!A1",INDEX(查找函数,(ROW(58:58)+($G$2-1)*80)))))</f>
        <v/>
      </c>
      <c r="F21" s="360" t="str">
        <f ca="1">IF(E21&lt;&gt;"",VLOOKUP(E21,函数!$A$1:$B$280,2,0),"")</f>
        <v/>
      </c>
    </row>
    <row r="22" ht="24" customHeight="1" spans="1:6">
      <c r="A22" s="356" t="str">
        <f ca="1" t="shared" si="0"/>
        <v/>
      </c>
      <c r="B22" s="357" t="str">
        <f ca="1">IF($E$2="",IF((ROW(19:19)+($G$2-1)*80)&gt;COUNTA(INDIRECT($B$2)),"",HYPERLINK("#"&amp;INDEX(INDIRECT($B$2),(ROW(19:19)+($G$2-1)*80))&amp;"!A1",INDEX(INDIRECT($B$2),(ROW(19:19)+($G$2-1)*80)))),IF((ROW(19:19)+($G$2-1)*80)&gt;SUBSTITUTE($C$2,"个","")*1,"",HYPERLINK("#"&amp;INDEX(查找函数,(ROW(19:19)+($G$2-1)*80))&amp;"!A1",INDEX(查找函数,(ROW(19:19)+($G$2-1)*80)))))</f>
        <v/>
      </c>
      <c r="C22" s="358" t="str">
        <f ca="1">IF(B22&lt;&gt;"",VLOOKUP(B22,函数!$A$1:$B$280,2,0),"")</f>
        <v/>
      </c>
      <c r="D22" s="359" t="str">
        <f ca="1" t="shared" si="1"/>
        <v/>
      </c>
      <c r="E22" s="357" t="str">
        <f ca="1">IF($E$2="",IF((ROW(59:59)+($G$2-1)*80)&gt;COUNTA(INDIRECT($B$2)),"",HYPERLINK("#"&amp;INDEX(INDIRECT($B$2),(ROW(59:59)+($G$2-1)*80))&amp;"!A1",INDEX(INDIRECT($B$2),(ROW(59:59)+($G$2-1)*80)))),IF((ROW(59:59)+($G$2-1)*80)&gt;SUBSTITUTE($C$2,"个","")*1,"",HYPERLINK("#"&amp;INDEX(查找函数,(ROW(59:59)+($G$2-1)*80))&amp;"!A1",INDEX(查找函数,(ROW(59:59)+($G$2-1)*80)))))</f>
        <v/>
      </c>
      <c r="F22" s="360" t="str">
        <f ca="1">IF(E22&lt;&gt;"",VLOOKUP(E22,函数!$A$1:$B$280,2,0),"")</f>
        <v/>
      </c>
    </row>
    <row r="23" ht="24" customHeight="1" spans="1:6">
      <c r="A23" s="356" t="str">
        <f ca="1" t="shared" si="0"/>
        <v/>
      </c>
      <c r="B23" s="357" t="str">
        <f ca="1">IF($E$2="",IF((ROW(20:20)+($G$2-1)*80)&gt;COUNTA(INDIRECT($B$2)),"",HYPERLINK("#"&amp;INDEX(INDIRECT($B$2),(ROW(20:20)+($G$2-1)*80))&amp;"!A1",INDEX(INDIRECT($B$2),(ROW(20:20)+($G$2-1)*80)))),IF((ROW(20:20)+($G$2-1)*80)&gt;SUBSTITUTE($C$2,"个","")*1,"",HYPERLINK("#"&amp;INDEX(查找函数,(ROW(20:20)+($G$2-1)*80))&amp;"!A1",INDEX(查找函数,(ROW(20:20)+($G$2-1)*80)))))</f>
        <v/>
      </c>
      <c r="C23" s="358" t="str">
        <f ca="1">IF(B23&lt;&gt;"",VLOOKUP(B23,函数!$A$1:$B$280,2,0),"")</f>
        <v/>
      </c>
      <c r="D23" s="359" t="str">
        <f ca="1" t="shared" si="1"/>
        <v/>
      </c>
      <c r="E23" s="357" t="str">
        <f ca="1">IF($E$2="",IF((ROW(60:60)+($G$2-1)*80)&gt;COUNTA(INDIRECT($B$2)),"",HYPERLINK("#"&amp;INDEX(INDIRECT($B$2),(ROW(60:60)+($G$2-1)*80))&amp;"!A1",INDEX(INDIRECT($B$2),(ROW(60:60)+($G$2-1)*80)))),IF((ROW(60:60)+($G$2-1)*80)&gt;SUBSTITUTE($C$2,"个","")*1,"",HYPERLINK("#"&amp;INDEX(查找函数,(ROW(60:60)+($G$2-1)*80))&amp;"!A1",INDEX(查找函数,(ROW(60:60)+($G$2-1)*80)))))</f>
        <v/>
      </c>
      <c r="F23" s="360" t="str">
        <f ca="1">IF(E23&lt;&gt;"",VLOOKUP(E23,函数!$A$1:$B$280,2,0),"")</f>
        <v/>
      </c>
    </row>
    <row r="24" ht="24" customHeight="1" spans="1:6">
      <c r="A24" s="356" t="str">
        <f ca="1" t="shared" si="0"/>
        <v/>
      </c>
      <c r="B24" s="357" t="str">
        <f ca="1">IF($E$2="",IF((ROW(21:21)+($G$2-1)*80)&gt;COUNTA(INDIRECT($B$2)),"",HYPERLINK("#"&amp;INDEX(INDIRECT($B$2),(ROW(21:21)+($G$2-1)*80))&amp;"!A1",INDEX(INDIRECT($B$2),(ROW(21:21)+($G$2-1)*80)))),IF((ROW(21:21)+($G$2-1)*80)&gt;SUBSTITUTE($C$2,"个","")*1,"",HYPERLINK("#"&amp;INDEX(查找函数,(ROW(21:21)+($G$2-1)*80))&amp;"!A1",INDEX(查找函数,(ROW(21:21)+($G$2-1)*80)))))</f>
        <v/>
      </c>
      <c r="C24" s="358" t="str">
        <f ca="1">IF(B24&lt;&gt;"",VLOOKUP(B24,函数!$A$1:$B$280,2,0),"")</f>
        <v/>
      </c>
      <c r="D24" s="359" t="str">
        <f ca="1" t="shared" si="1"/>
        <v/>
      </c>
      <c r="E24" s="357" t="str">
        <f ca="1">IF($E$2="",IF((ROW(61:61)+($G$2-1)*80)&gt;COUNTA(INDIRECT($B$2)),"",HYPERLINK("#"&amp;INDEX(INDIRECT($B$2),(ROW(61:61)+($G$2-1)*80))&amp;"!A1",INDEX(INDIRECT($B$2),(ROW(61:61)+($G$2-1)*80)))),IF((ROW(61:61)+($G$2-1)*80)&gt;SUBSTITUTE($C$2,"个","")*1,"",HYPERLINK("#"&amp;INDEX(查找函数,(ROW(61:61)+($G$2-1)*80))&amp;"!A1",INDEX(查找函数,(ROW(61:61)+($G$2-1)*80)))))</f>
        <v/>
      </c>
      <c r="F24" s="360" t="str">
        <f ca="1">IF(E24&lt;&gt;"",VLOOKUP(E24,函数!$A$1:$B$280,2,0),"")</f>
        <v/>
      </c>
    </row>
    <row r="25" ht="24" customHeight="1" spans="1:6">
      <c r="A25" s="356" t="str">
        <f ca="1" t="shared" si="0"/>
        <v/>
      </c>
      <c r="B25" s="357" t="str">
        <f ca="1">IF($E$2="",IF((ROW(22:22)+($G$2-1)*80)&gt;COUNTA(INDIRECT($B$2)),"",HYPERLINK("#"&amp;INDEX(INDIRECT($B$2),(ROW(22:22)+($G$2-1)*80))&amp;"!A1",INDEX(INDIRECT($B$2),(ROW(22:22)+($G$2-1)*80)))),IF((ROW(22:22)+($G$2-1)*80)&gt;SUBSTITUTE($C$2,"个","")*1,"",HYPERLINK("#"&amp;INDEX(查找函数,(ROW(22:22)+($G$2-1)*80))&amp;"!A1",INDEX(查找函数,(ROW(22:22)+($G$2-1)*80)))))</f>
        <v/>
      </c>
      <c r="C25" s="358" t="str">
        <f ca="1">IF(B25&lt;&gt;"",VLOOKUP(B25,函数!$A$1:$B$280,2,0),"")</f>
        <v/>
      </c>
      <c r="D25" s="359" t="str">
        <f ca="1" t="shared" si="1"/>
        <v/>
      </c>
      <c r="E25" s="357" t="str">
        <f ca="1">IF($E$2="",IF((ROW(62:62)+($G$2-1)*80)&gt;COUNTA(INDIRECT($B$2)),"",HYPERLINK("#"&amp;INDEX(INDIRECT($B$2),(ROW(62:62)+($G$2-1)*80))&amp;"!A1",INDEX(INDIRECT($B$2),(ROW(62:62)+($G$2-1)*80)))),IF((ROW(62:62)+($G$2-1)*80)&gt;SUBSTITUTE($C$2,"个","")*1,"",HYPERLINK("#"&amp;INDEX(查找函数,(ROW(62:62)+($G$2-1)*80))&amp;"!A1",INDEX(查找函数,(ROW(62:62)+($G$2-1)*80)))))</f>
        <v/>
      </c>
      <c r="F25" s="360" t="str">
        <f ca="1">IF(E25&lt;&gt;"",VLOOKUP(E25,函数!$A$1:$B$280,2,0),"")</f>
        <v/>
      </c>
    </row>
    <row r="26" ht="24" customHeight="1" spans="1:6">
      <c r="A26" s="356" t="str">
        <f ca="1" t="shared" si="0"/>
        <v/>
      </c>
      <c r="B26" s="357" t="str">
        <f ca="1">IF($E$2="",IF((ROW(23:23)+($G$2-1)*80)&gt;COUNTA(INDIRECT($B$2)),"",HYPERLINK("#"&amp;INDEX(INDIRECT($B$2),(ROW(23:23)+($G$2-1)*80))&amp;"!A1",INDEX(INDIRECT($B$2),(ROW(23:23)+($G$2-1)*80)))),IF((ROW(23:23)+($G$2-1)*80)&gt;SUBSTITUTE($C$2,"个","")*1,"",HYPERLINK("#"&amp;INDEX(查找函数,(ROW(23:23)+($G$2-1)*80))&amp;"!A1",INDEX(查找函数,(ROW(23:23)+($G$2-1)*80)))))</f>
        <v/>
      </c>
      <c r="C26" s="358" t="str">
        <f ca="1">IF(B26&lt;&gt;"",VLOOKUP(B26,函数!$A$1:$B$280,2,0),"")</f>
        <v/>
      </c>
      <c r="D26" s="359" t="str">
        <f ca="1" t="shared" si="1"/>
        <v/>
      </c>
      <c r="E26" s="357" t="str">
        <f ca="1">IF($E$2="",IF((ROW(63:63)+($G$2-1)*80)&gt;COUNTA(INDIRECT($B$2)),"",HYPERLINK("#"&amp;INDEX(INDIRECT($B$2),(ROW(63:63)+($G$2-1)*80))&amp;"!A1",INDEX(INDIRECT($B$2),(ROW(63:63)+($G$2-1)*80)))),IF((ROW(63:63)+($G$2-1)*80)&gt;SUBSTITUTE($C$2,"个","")*1,"",HYPERLINK("#"&amp;INDEX(查找函数,(ROW(63:63)+($G$2-1)*80))&amp;"!A1",INDEX(查找函数,(ROW(63:63)+($G$2-1)*80)))))</f>
        <v/>
      </c>
      <c r="F26" s="360" t="str">
        <f ca="1">IF(E26&lt;&gt;"",VLOOKUP(E26,函数!$A$1:$B$280,2,0),"")</f>
        <v/>
      </c>
    </row>
    <row r="27" ht="24" customHeight="1" spans="1:6">
      <c r="A27" s="356" t="str">
        <f ca="1" t="shared" si="0"/>
        <v/>
      </c>
      <c r="B27" s="357" t="str">
        <f ca="1">IF($E$2="",IF((ROW(24:24)+($G$2-1)*80)&gt;COUNTA(INDIRECT($B$2)),"",HYPERLINK("#"&amp;INDEX(INDIRECT($B$2),(ROW(24:24)+($G$2-1)*80))&amp;"!A1",INDEX(INDIRECT($B$2),(ROW(24:24)+($G$2-1)*80)))),IF((ROW(24:24)+($G$2-1)*80)&gt;SUBSTITUTE($C$2,"个","")*1,"",HYPERLINK("#"&amp;INDEX(查找函数,(ROW(24:24)+($G$2-1)*80))&amp;"!A1",INDEX(查找函数,(ROW(24:24)+($G$2-1)*80)))))</f>
        <v/>
      </c>
      <c r="C27" s="358" t="str">
        <f ca="1">IF(B27&lt;&gt;"",VLOOKUP(B27,函数!$A$1:$B$280,2,0),"")</f>
        <v/>
      </c>
      <c r="D27" s="359" t="str">
        <f ca="1" t="shared" si="1"/>
        <v/>
      </c>
      <c r="E27" s="357" t="str">
        <f ca="1">IF($E$2="",IF((ROW(64:64)+($G$2-1)*80)&gt;COUNTA(INDIRECT($B$2)),"",HYPERLINK("#"&amp;INDEX(INDIRECT($B$2),(ROW(64:64)+($G$2-1)*80))&amp;"!A1",INDEX(INDIRECT($B$2),(ROW(64:64)+($G$2-1)*80)))),IF((ROW(64:64)+($G$2-1)*80)&gt;SUBSTITUTE($C$2,"个","")*1,"",HYPERLINK("#"&amp;INDEX(查找函数,(ROW(64:64)+($G$2-1)*80))&amp;"!A1",INDEX(查找函数,(ROW(64:64)+($G$2-1)*80)))))</f>
        <v/>
      </c>
      <c r="F27" s="360" t="str">
        <f ca="1">IF(E27&lt;&gt;"",VLOOKUP(E27,函数!$A$1:$B$280,2,0),"")</f>
        <v/>
      </c>
    </row>
    <row r="28" ht="24" customHeight="1" spans="1:6">
      <c r="A28" s="356" t="str">
        <f ca="1" t="shared" si="0"/>
        <v/>
      </c>
      <c r="B28" s="357" t="str">
        <f ca="1">IF($E$2="",IF((ROW(25:25)+($G$2-1)*80)&gt;COUNTA(INDIRECT($B$2)),"",HYPERLINK("#"&amp;INDEX(INDIRECT($B$2),(ROW(25:25)+($G$2-1)*80))&amp;"!A1",INDEX(INDIRECT($B$2),(ROW(25:25)+($G$2-1)*80)))),IF((ROW(25:25)+($G$2-1)*80)&gt;SUBSTITUTE($C$2,"个","")*1,"",HYPERLINK("#"&amp;INDEX(查找函数,(ROW(25:25)+($G$2-1)*80))&amp;"!A1",INDEX(查找函数,(ROW(25:25)+($G$2-1)*80)))))</f>
        <v/>
      </c>
      <c r="C28" s="358" t="str">
        <f ca="1">IF(B28&lt;&gt;"",VLOOKUP(B28,函数!$A$1:$B$280,2,0),"")</f>
        <v/>
      </c>
      <c r="D28" s="359" t="str">
        <f ca="1" t="shared" si="1"/>
        <v/>
      </c>
      <c r="E28" s="357" t="str">
        <f ca="1">IF($E$2="",IF((ROW(65:65)+($G$2-1)*80)&gt;COUNTA(INDIRECT($B$2)),"",HYPERLINK("#"&amp;INDEX(INDIRECT($B$2),(ROW(65:65)+($G$2-1)*80))&amp;"!A1",INDEX(INDIRECT($B$2),(ROW(65:65)+($G$2-1)*80)))),IF((ROW(65:65)+($G$2-1)*80)&gt;SUBSTITUTE($C$2,"个","")*1,"",HYPERLINK("#"&amp;INDEX(查找函数,(ROW(65:65)+($G$2-1)*80))&amp;"!A1",INDEX(查找函数,(ROW(65:65)+($G$2-1)*80)))))</f>
        <v/>
      </c>
      <c r="F28" s="360" t="str">
        <f ca="1">IF(E28&lt;&gt;"",VLOOKUP(E28,函数!$A$1:$B$280,2,0),"")</f>
        <v/>
      </c>
    </row>
    <row r="29" ht="24" customHeight="1" spans="1:6">
      <c r="A29" s="356" t="str">
        <f ca="1" t="shared" si="0"/>
        <v/>
      </c>
      <c r="B29" s="357" t="str">
        <f ca="1">IF($E$2="",IF((ROW(26:26)+($G$2-1)*80)&gt;COUNTA(INDIRECT($B$2)),"",HYPERLINK("#"&amp;INDEX(INDIRECT($B$2),(ROW(26:26)+($G$2-1)*80))&amp;"!A1",INDEX(INDIRECT($B$2),(ROW(26:26)+($G$2-1)*80)))),IF((ROW(26:26)+($G$2-1)*80)&gt;SUBSTITUTE($C$2,"个","")*1,"",HYPERLINK("#"&amp;INDEX(查找函数,(ROW(26:26)+($G$2-1)*80))&amp;"!A1",INDEX(查找函数,(ROW(26:26)+($G$2-1)*80)))))</f>
        <v/>
      </c>
      <c r="C29" s="358" t="str">
        <f ca="1">IF(B29&lt;&gt;"",VLOOKUP(B29,函数!$A$1:$B$280,2,0),"")</f>
        <v/>
      </c>
      <c r="D29" s="359" t="str">
        <f ca="1" t="shared" si="1"/>
        <v/>
      </c>
      <c r="E29" s="357" t="str">
        <f ca="1">IF($E$2="",IF((ROW(66:66)+($G$2-1)*80)&gt;COUNTA(INDIRECT($B$2)),"",HYPERLINK("#"&amp;INDEX(INDIRECT($B$2),(ROW(66:66)+($G$2-1)*80))&amp;"!A1",INDEX(INDIRECT($B$2),(ROW(66:66)+($G$2-1)*80)))),IF((ROW(66:66)+($G$2-1)*80)&gt;SUBSTITUTE($C$2,"个","")*1,"",HYPERLINK("#"&amp;INDEX(查找函数,(ROW(66:66)+($G$2-1)*80))&amp;"!A1",INDEX(查找函数,(ROW(66:66)+($G$2-1)*80)))))</f>
        <v/>
      </c>
      <c r="F29" s="360" t="str">
        <f ca="1">IF(E29&lt;&gt;"",VLOOKUP(E29,函数!$A$1:$B$280,2,0),"")</f>
        <v/>
      </c>
    </row>
    <row r="30" ht="24" customHeight="1" spans="1:6">
      <c r="A30" s="356" t="str">
        <f ca="1" t="shared" si="0"/>
        <v/>
      </c>
      <c r="B30" s="357" t="str">
        <f ca="1">IF($E$2="",IF((ROW(27:27)+($G$2-1)*80)&gt;COUNTA(INDIRECT($B$2)),"",HYPERLINK("#"&amp;INDEX(INDIRECT($B$2),(ROW(27:27)+($G$2-1)*80))&amp;"!A1",INDEX(INDIRECT($B$2),(ROW(27:27)+($G$2-1)*80)))),IF((ROW(27:27)+($G$2-1)*80)&gt;SUBSTITUTE($C$2,"个","")*1,"",HYPERLINK("#"&amp;INDEX(查找函数,(ROW(27:27)+($G$2-1)*80))&amp;"!A1",INDEX(查找函数,(ROW(27:27)+($G$2-1)*80)))))</f>
        <v/>
      </c>
      <c r="C30" s="358" t="str">
        <f ca="1">IF(B30&lt;&gt;"",VLOOKUP(B30,函数!$A$1:$B$280,2,0),"")</f>
        <v/>
      </c>
      <c r="D30" s="359" t="str">
        <f ca="1" t="shared" si="1"/>
        <v/>
      </c>
      <c r="E30" s="357" t="str">
        <f ca="1">IF($E$2="",IF((ROW(67:67)+($G$2-1)*80)&gt;COUNTA(INDIRECT($B$2)),"",HYPERLINK("#"&amp;INDEX(INDIRECT($B$2),(ROW(67:67)+($G$2-1)*80))&amp;"!A1",INDEX(INDIRECT($B$2),(ROW(67:67)+($G$2-1)*80)))),IF((ROW(67:67)+($G$2-1)*80)&gt;SUBSTITUTE($C$2,"个","")*1,"",HYPERLINK("#"&amp;INDEX(查找函数,(ROW(67:67)+($G$2-1)*80))&amp;"!A1",INDEX(查找函数,(ROW(67:67)+($G$2-1)*80)))))</f>
        <v/>
      </c>
      <c r="F30" s="360" t="str">
        <f ca="1">IF(E30&lt;&gt;"",VLOOKUP(E30,函数!$A$1:$B$280,2,0),"")</f>
        <v/>
      </c>
    </row>
    <row r="31" ht="24" customHeight="1" spans="1:6">
      <c r="A31" s="356" t="str">
        <f ca="1" t="shared" si="0"/>
        <v/>
      </c>
      <c r="B31" s="357" t="str">
        <f ca="1">IF($E$2="",IF((ROW(28:28)+($G$2-1)*80)&gt;COUNTA(INDIRECT($B$2)),"",HYPERLINK("#"&amp;INDEX(INDIRECT($B$2),(ROW(28:28)+($G$2-1)*80))&amp;"!A1",INDEX(INDIRECT($B$2),(ROW(28:28)+($G$2-1)*80)))),IF((ROW(28:28)+($G$2-1)*80)&gt;SUBSTITUTE($C$2,"个","")*1,"",HYPERLINK("#"&amp;INDEX(查找函数,(ROW(28:28)+($G$2-1)*80))&amp;"!A1",INDEX(查找函数,(ROW(28:28)+($G$2-1)*80)))))</f>
        <v/>
      </c>
      <c r="C31" s="358" t="str">
        <f ca="1">IF(B31&lt;&gt;"",VLOOKUP(B31,函数!$A$1:$B$280,2,0),"")</f>
        <v/>
      </c>
      <c r="D31" s="359" t="str">
        <f ca="1" t="shared" si="1"/>
        <v/>
      </c>
      <c r="E31" s="357" t="str">
        <f ca="1">IF($E$2="",IF((ROW(68:68)+($G$2-1)*80)&gt;COUNTA(INDIRECT($B$2)),"",HYPERLINK("#"&amp;INDEX(INDIRECT($B$2),(ROW(68:68)+($G$2-1)*80))&amp;"!A1",INDEX(INDIRECT($B$2),(ROW(68:68)+($G$2-1)*80)))),IF((ROW(68:68)+($G$2-1)*80)&gt;SUBSTITUTE($C$2,"个","")*1,"",HYPERLINK("#"&amp;INDEX(查找函数,(ROW(68:68)+($G$2-1)*80))&amp;"!A1",INDEX(查找函数,(ROW(68:68)+($G$2-1)*80)))))</f>
        <v/>
      </c>
      <c r="F31" s="360" t="str">
        <f ca="1">IF(E31&lt;&gt;"",VLOOKUP(E31,函数!$A$1:$B$280,2,0),"")</f>
        <v/>
      </c>
    </row>
    <row r="32" ht="24" customHeight="1" spans="1:6">
      <c r="A32" s="356" t="str">
        <f ca="1" t="shared" si="0"/>
        <v/>
      </c>
      <c r="B32" s="357" t="str">
        <f ca="1">IF($E$2="",IF((ROW(29:29)+($G$2-1)*80)&gt;COUNTA(INDIRECT($B$2)),"",HYPERLINK("#"&amp;INDEX(INDIRECT($B$2),(ROW(29:29)+($G$2-1)*80))&amp;"!A1",INDEX(INDIRECT($B$2),(ROW(29:29)+($G$2-1)*80)))),IF((ROW(29:29)+($G$2-1)*80)&gt;SUBSTITUTE($C$2,"个","")*1,"",HYPERLINK("#"&amp;INDEX(查找函数,(ROW(29:29)+($G$2-1)*80))&amp;"!A1",INDEX(查找函数,(ROW(29:29)+($G$2-1)*80)))))</f>
        <v/>
      </c>
      <c r="C32" s="358" t="str">
        <f ca="1">IF(B32&lt;&gt;"",VLOOKUP(B32,函数!$A$1:$B$280,2,0),"")</f>
        <v/>
      </c>
      <c r="D32" s="359" t="str">
        <f ca="1" t="shared" si="1"/>
        <v/>
      </c>
      <c r="E32" s="357" t="str">
        <f ca="1">IF($E$2="",IF((ROW(69:69)+($G$2-1)*80)&gt;COUNTA(INDIRECT($B$2)),"",HYPERLINK("#"&amp;INDEX(INDIRECT($B$2),(ROW(69:69)+($G$2-1)*80))&amp;"!A1",INDEX(INDIRECT($B$2),(ROW(69:69)+($G$2-1)*80)))),IF((ROW(69:69)+($G$2-1)*80)&gt;SUBSTITUTE($C$2,"个","")*1,"",HYPERLINK("#"&amp;INDEX(查找函数,(ROW(69:69)+($G$2-1)*80))&amp;"!A1",INDEX(查找函数,(ROW(69:69)+($G$2-1)*80)))))</f>
        <v/>
      </c>
      <c r="F32" s="360" t="str">
        <f ca="1">IF(E32&lt;&gt;"",VLOOKUP(E32,函数!$A$1:$B$280,2,0),"")</f>
        <v/>
      </c>
    </row>
    <row r="33" ht="24" customHeight="1" spans="1:6">
      <c r="A33" s="356" t="str">
        <f ca="1" t="shared" si="0"/>
        <v/>
      </c>
      <c r="B33" s="357" t="str">
        <f ca="1">IF($E$2="",IF((ROW(30:30)+($G$2-1)*80)&gt;COUNTA(INDIRECT($B$2)),"",HYPERLINK("#"&amp;INDEX(INDIRECT($B$2),(ROW(30:30)+($G$2-1)*80))&amp;"!A1",INDEX(INDIRECT($B$2),(ROW(30:30)+($G$2-1)*80)))),IF((ROW(30:30)+($G$2-1)*80)&gt;SUBSTITUTE($C$2,"个","")*1,"",HYPERLINK("#"&amp;INDEX(查找函数,(ROW(30:30)+($G$2-1)*80))&amp;"!A1",INDEX(查找函数,(ROW(30:30)+($G$2-1)*80)))))</f>
        <v/>
      </c>
      <c r="C33" s="358" t="str">
        <f ca="1">IF(B33&lt;&gt;"",VLOOKUP(B33,函数!$A$1:$B$280,2,0),"")</f>
        <v/>
      </c>
      <c r="D33" s="359" t="str">
        <f ca="1" t="shared" si="1"/>
        <v/>
      </c>
      <c r="E33" s="357" t="str">
        <f ca="1">IF($E$2="",IF((ROW(70:70)+($G$2-1)*80)&gt;COUNTA(INDIRECT($B$2)),"",HYPERLINK("#"&amp;INDEX(INDIRECT($B$2),(ROW(70:70)+($G$2-1)*80))&amp;"!A1",INDEX(INDIRECT($B$2),(ROW(70:70)+($G$2-1)*80)))),IF((ROW(70:70)+($G$2-1)*80)&gt;SUBSTITUTE($C$2,"个","")*1,"",HYPERLINK("#"&amp;INDEX(查找函数,(ROW(70:70)+($G$2-1)*80))&amp;"!A1",INDEX(查找函数,(ROW(70:70)+($G$2-1)*80)))))</f>
        <v/>
      </c>
      <c r="F33" s="360" t="str">
        <f ca="1">IF(E33&lt;&gt;"",VLOOKUP(E33,函数!$A$1:$B$280,2,0),"")</f>
        <v/>
      </c>
    </row>
    <row r="34" ht="24" customHeight="1" spans="1:6">
      <c r="A34" s="356" t="str">
        <f ca="1" t="shared" si="0"/>
        <v/>
      </c>
      <c r="B34" s="357" t="str">
        <f ca="1">IF($E$2="",IF((ROW(31:31)+($G$2-1)*80)&gt;COUNTA(INDIRECT($B$2)),"",HYPERLINK("#"&amp;INDEX(INDIRECT($B$2),(ROW(31:31)+($G$2-1)*80))&amp;"!A1",INDEX(INDIRECT($B$2),(ROW(31:31)+($G$2-1)*80)))),IF((ROW(31:31)+($G$2-1)*80)&gt;SUBSTITUTE($C$2,"个","")*1,"",HYPERLINK("#"&amp;INDEX(查找函数,(ROW(31:31)+($G$2-1)*80))&amp;"!A1",INDEX(查找函数,(ROW(31:31)+($G$2-1)*80)))))</f>
        <v/>
      </c>
      <c r="C34" s="358" t="str">
        <f ca="1">IF(B34&lt;&gt;"",VLOOKUP(B34,函数!$A$1:$B$280,2,0),"")</f>
        <v/>
      </c>
      <c r="D34" s="359" t="str">
        <f ca="1" t="shared" si="1"/>
        <v/>
      </c>
      <c r="E34" s="357" t="str">
        <f ca="1">IF($E$2="",IF((ROW(71:71)+($G$2-1)*80)&gt;COUNTA(INDIRECT($B$2)),"",HYPERLINK("#"&amp;INDEX(INDIRECT($B$2),(ROW(71:71)+($G$2-1)*80))&amp;"!A1",INDEX(INDIRECT($B$2),(ROW(71:71)+($G$2-1)*80)))),IF((ROW(71:71)+($G$2-1)*80)&gt;SUBSTITUTE($C$2,"个","")*1,"",HYPERLINK("#"&amp;INDEX(查找函数,(ROW(71:71)+($G$2-1)*80))&amp;"!A1",INDEX(查找函数,(ROW(71:71)+($G$2-1)*80)))))</f>
        <v/>
      </c>
      <c r="F34" s="360" t="str">
        <f ca="1">IF(E34&lt;&gt;"",VLOOKUP(E34,函数!$A$1:$B$280,2,0),"")</f>
        <v/>
      </c>
    </row>
    <row r="35" ht="24" customHeight="1" spans="1:6">
      <c r="A35" s="356" t="str">
        <f ca="1" t="shared" si="0"/>
        <v/>
      </c>
      <c r="B35" s="357" t="str">
        <f ca="1">IF($E$2="",IF((ROW(32:32)+($G$2-1)*80)&gt;COUNTA(INDIRECT($B$2)),"",HYPERLINK("#"&amp;INDEX(INDIRECT($B$2),(ROW(32:32)+($G$2-1)*80))&amp;"!A1",INDEX(INDIRECT($B$2),(ROW(32:32)+($G$2-1)*80)))),IF((ROW(32:32)+($G$2-1)*80)&gt;SUBSTITUTE($C$2,"个","")*1,"",HYPERLINK("#"&amp;INDEX(查找函数,(ROW(32:32)+($G$2-1)*80))&amp;"!A1",INDEX(查找函数,(ROW(32:32)+($G$2-1)*80)))))</f>
        <v/>
      </c>
      <c r="C35" s="358" t="str">
        <f ca="1">IF(B35&lt;&gt;"",VLOOKUP(B35,函数!$A$1:$B$280,2,0),"")</f>
        <v/>
      </c>
      <c r="D35" s="359" t="str">
        <f ca="1" t="shared" si="1"/>
        <v/>
      </c>
      <c r="E35" s="357" t="str">
        <f ca="1">IF($E$2="",IF((ROW(72:72)+($G$2-1)*80)&gt;COUNTA(INDIRECT($B$2)),"",HYPERLINK("#"&amp;INDEX(INDIRECT($B$2),(ROW(72:72)+($G$2-1)*80))&amp;"!A1",INDEX(INDIRECT($B$2),(ROW(72:72)+($G$2-1)*80)))),IF((ROW(72:72)+($G$2-1)*80)&gt;SUBSTITUTE($C$2,"个","")*1,"",HYPERLINK("#"&amp;INDEX(查找函数,(ROW(72:72)+($G$2-1)*80))&amp;"!A1",INDEX(查找函数,(ROW(72:72)+($G$2-1)*80)))))</f>
        <v/>
      </c>
      <c r="F35" s="360" t="str">
        <f ca="1">IF(E35&lt;&gt;"",VLOOKUP(E35,函数!$A$1:$B$280,2,0),"")</f>
        <v/>
      </c>
    </row>
    <row r="36" ht="24" customHeight="1" spans="1:6">
      <c r="A36" s="356" t="str">
        <f ca="1" t="shared" si="0"/>
        <v/>
      </c>
      <c r="B36" s="357" t="str">
        <f ca="1">IF($E$2="",IF((ROW(33:33)+($G$2-1)*80)&gt;COUNTA(INDIRECT($B$2)),"",HYPERLINK("#"&amp;INDEX(INDIRECT($B$2),(ROW(33:33)+($G$2-1)*80))&amp;"!A1",INDEX(INDIRECT($B$2),(ROW(33:33)+($G$2-1)*80)))),IF((ROW(33:33)+($G$2-1)*80)&gt;SUBSTITUTE($C$2,"个","")*1,"",HYPERLINK("#"&amp;INDEX(查找函数,(ROW(33:33)+($G$2-1)*80))&amp;"!A1",INDEX(查找函数,(ROW(33:33)+($G$2-1)*80)))))</f>
        <v/>
      </c>
      <c r="C36" s="358" t="str">
        <f ca="1">IF(B36&lt;&gt;"",VLOOKUP(B36,函数!$A$1:$B$280,2,0),"")</f>
        <v/>
      </c>
      <c r="D36" s="359" t="str">
        <f ca="1" t="shared" si="1"/>
        <v/>
      </c>
      <c r="E36" s="357" t="str">
        <f ca="1">IF($E$2="",IF((ROW(73:73)+($G$2-1)*80)&gt;COUNTA(INDIRECT($B$2)),"",HYPERLINK("#"&amp;INDEX(INDIRECT($B$2),(ROW(73:73)+($G$2-1)*80))&amp;"!A1",INDEX(INDIRECT($B$2),(ROW(73:73)+($G$2-1)*80)))),IF((ROW(73:73)+($G$2-1)*80)&gt;SUBSTITUTE($C$2,"个","")*1,"",HYPERLINK("#"&amp;INDEX(查找函数,(ROW(73:73)+($G$2-1)*80))&amp;"!A1",INDEX(查找函数,(ROW(73:73)+($G$2-1)*80)))))</f>
        <v/>
      </c>
      <c r="F36" s="360" t="str">
        <f ca="1">IF(E36&lt;&gt;"",VLOOKUP(E36,函数!$A$1:$B$280,2,0),"")</f>
        <v/>
      </c>
    </row>
    <row r="37" ht="24" customHeight="1" spans="1:6">
      <c r="A37" s="356" t="str">
        <f ca="1" t="shared" si="0"/>
        <v/>
      </c>
      <c r="B37" s="357" t="str">
        <f ca="1">IF($E$2="",IF((ROW(34:34)+($G$2-1)*80)&gt;COUNTA(INDIRECT($B$2)),"",HYPERLINK("#"&amp;INDEX(INDIRECT($B$2),(ROW(34:34)+($G$2-1)*80))&amp;"!A1",INDEX(INDIRECT($B$2),(ROW(34:34)+($G$2-1)*80)))),IF((ROW(34:34)+($G$2-1)*80)&gt;SUBSTITUTE($C$2,"个","")*1,"",HYPERLINK("#"&amp;INDEX(查找函数,(ROW(34:34)+($G$2-1)*80))&amp;"!A1",INDEX(查找函数,(ROW(34:34)+($G$2-1)*80)))))</f>
        <v/>
      </c>
      <c r="C37" s="358" t="str">
        <f ca="1">IF(B37&lt;&gt;"",VLOOKUP(B37,函数!$A$1:$B$280,2,0),"")</f>
        <v/>
      </c>
      <c r="D37" s="359" t="str">
        <f ca="1" t="shared" si="1"/>
        <v/>
      </c>
      <c r="E37" s="357" t="str">
        <f ca="1">IF($E$2="",IF((ROW(74:74)+($G$2-1)*80)&gt;COUNTA(INDIRECT($B$2)),"",HYPERLINK("#"&amp;INDEX(INDIRECT($B$2),(ROW(74:74)+($G$2-1)*80))&amp;"!A1",INDEX(INDIRECT($B$2),(ROW(74:74)+($G$2-1)*80)))),IF((ROW(74:74)+($G$2-1)*80)&gt;SUBSTITUTE($C$2,"个","")*1,"",HYPERLINK("#"&amp;INDEX(查找函数,(ROW(74:74)+($G$2-1)*80))&amp;"!A1",INDEX(查找函数,(ROW(74:74)+($G$2-1)*80)))))</f>
        <v/>
      </c>
      <c r="F37" s="360" t="str">
        <f ca="1">IF(E37&lt;&gt;"",VLOOKUP(E37,函数!$A$1:$B$280,2,0),"")</f>
        <v/>
      </c>
    </row>
    <row r="38" ht="24" customHeight="1" spans="1:6">
      <c r="A38" s="356" t="str">
        <f ca="1" t="shared" si="0"/>
        <v/>
      </c>
      <c r="B38" s="357" t="str">
        <f ca="1">IF($E$2="",IF((ROW(35:35)+($G$2-1)*80)&gt;COUNTA(INDIRECT($B$2)),"",HYPERLINK("#"&amp;INDEX(INDIRECT($B$2),(ROW(35:35)+($G$2-1)*80))&amp;"!A1",INDEX(INDIRECT($B$2),(ROW(35:35)+($G$2-1)*80)))),IF((ROW(35:35)+($G$2-1)*80)&gt;SUBSTITUTE($C$2,"个","")*1,"",HYPERLINK("#"&amp;INDEX(查找函数,(ROW(35:35)+($G$2-1)*80))&amp;"!A1",INDEX(查找函数,(ROW(35:35)+($G$2-1)*80)))))</f>
        <v/>
      </c>
      <c r="C38" s="358" t="str">
        <f ca="1">IF(B38&lt;&gt;"",VLOOKUP(B38,函数!$A$1:$B$280,2,0),"")</f>
        <v/>
      </c>
      <c r="D38" s="359" t="str">
        <f ca="1" t="shared" si="1"/>
        <v/>
      </c>
      <c r="E38" s="357" t="str">
        <f ca="1">IF($E$2="",IF((ROW(75:75)+($G$2-1)*80)&gt;COUNTA(INDIRECT($B$2)),"",HYPERLINK("#"&amp;INDEX(INDIRECT($B$2),(ROW(75:75)+($G$2-1)*80))&amp;"!A1",INDEX(INDIRECT($B$2),(ROW(75:75)+($G$2-1)*80)))),IF((ROW(75:75)+($G$2-1)*80)&gt;SUBSTITUTE($C$2,"个","")*1,"",HYPERLINK("#"&amp;INDEX(查找函数,(ROW(75:75)+($G$2-1)*80))&amp;"!A1",INDEX(查找函数,(ROW(75:75)+($G$2-1)*80)))))</f>
        <v/>
      </c>
      <c r="F38" s="360" t="str">
        <f ca="1">IF(E38&lt;&gt;"",VLOOKUP(E38,函数!$A$1:$B$280,2,0),"")</f>
        <v/>
      </c>
    </row>
    <row r="39" ht="24" customHeight="1" spans="1:6">
      <c r="A39" s="356" t="str">
        <f ca="1" t="shared" si="0"/>
        <v/>
      </c>
      <c r="B39" s="357" t="str">
        <f ca="1">IF($E$2="",IF((ROW(36:36)+($G$2-1)*80)&gt;COUNTA(INDIRECT($B$2)),"",HYPERLINK("#"&amp;INDEX(INDIRECT($B$2),(ROW(36:36)+($G$2-1)*80))&amp;"!A1",INDEX(INDIRECT($B$2),(ROW(36:36)+($G$2-1)*80)))),IF((ROW(36:36)+($G$2-1)*80)&gt;SUBSTITUTE($C$2,"个","")*1,"",HYPERLINK("#"&amp;INDEX(查找函数,(ROW(36:36)+($G$2-1)*80))&amp;"!A1",INDEX(查找函数,(ROW(36:36)+($G$2-1)*80)))))</f>
        <v/>
      </c>
      <c r="C39" s="358" t="str">
        <f ca="1">IF(B39&lt;&gt;"",VLOOKUP(B39,函数!$A$1:$B$280,2,0),"")</f>
        <v/>
      </c>
      <c r="D39" s="359" t="str">
        <f ca="1" t="shared" si="1"/>
        <v/>
      </c>
      <c r="E39" s="357" t="str">
        <f ca="1">IF($E$2="",IF((ROW(76:76)+($G$2-1)*80)&gt;COUNTA(INDIRECT($B$2)),"",HYPERLINK("#"&amp;INDEX(INDIRECT($B$2),(ROW(76:76)+($G$2-1)*80))&amp;"!A1",INDEX(INDIRECT($B$2),(ROW(76:76)+($G$2-1)*80)))),IF((ROW(76:76)+($G$2-1)*80)&gt;SUBSTITUTE($C$2,"个","")*1,"",HYPERLINK("#"&amp;INDEX(查找函数,(ROW(76:76)+($G$2-1)*80))&amp;"!A1",INDEX(查找函数,(ROW(76:76)+($G$2-1)*80)))))</f>
        <v/>
      </c>
      <c r="F39" s="360" t="str">
        <f ca="1">IF(E39&lt;&gt;"",VLOOKUP(E39,函数!$A$1:$B$280,2,0),"")</f>
        <v/>
      </c>
    </row>
    <row r="40" ht="24" customHeight="1" spans="1:6">
      <c r="A40" s="356" t="str">
        <f ca="1" t="shared" si="0"/>
        <v/>
      </c>
      <c r="B40" s="357" t="str">
        <f ca="1">IF($E$2="",IF((ROW(37:37)+($G$2-1)*80)&gt;COUNTA(INDIRECT($B$2)),"",HYPERLINK("#"&amp;INDEX(INDIRECT($B$2),(ROW(37:37)+($G$2-1)*80))&amp;"!A1",INDEX(INDIRECT($B$2),(ROW(37:37)+($G$2-1)*80)))),IF((ROW(37:37)+($G$2-1)*80)&gt;SUBSTITUTE($C$2,"个","")*1,"",HYPERLINK("#"&amp;INDEX(查找函数,(ROW(37:37)+($G$2-1)*80))&amp;"!A1",INDEX(查找函数,(ROW(37:37)+($G$2-1)*80)))))</f>
        <v/>
      </c>
      <c r="C40" s="358" t="str">
        <f ca="1">IF(B40&lt;&gt;"",VLOOKUP(B40,函数!$A$1:$B$280,2,0),"")</f>
        <v/>
      </c>
      <c r="D40" s="359" t="str">
        <f ca="1" t="shared" si="1"/>
        <v/>
      </c>
      <c r="E40" s="357" t="str">
        <f ca="1">IF($E$2="",IF((ROW(77:77)+($G$2-1)*80)&gt;COUNTA(INDIRECT($B$2)),"",HYPERLINK("#"&amp;INDEX(INDIRECT($B$2),(ROW(77:77)+($G$2-1)*80))&amp;"!A1",INDEX(INDIRECT($B$2),(ROW(77:77)+($G$2-1)*80)))),IF((ROW(77:77)+($G$2-1)*80)&gt;SUBSTITUTE($C$2,"个","")*1,"",HYPERLINK("#"&amp;INDEX(查找函数,(ROW(77:77)+($G$2-1)*80))&amp;"!A1",INDEX(查找函数,(ROW(77:77)+($G$2-1)*80)))))</f>
        <v/>
      </c>
      <c r="F40" s="360" t="str">
        <f ca="1">IF(E40&lt;&gt;"",VLOOKUP(E40,函数!$A$1:$B$280,2,0),"")</f>
        <v/>
      </c>
    </row>
    <row r="41" ht="24" customHeight="1" spans="1:6">
      <c r="A41" s="356" t="str">
        <f ca="1" t="shared" si="0"/>
        <v/>
      </c>
      <c r="B41" s="357" t="str">
        <f ca="1">IF($E$2="",IF((ROW(38:38)+($G$2-1)*80)&gt;COUNTA(INDIRECT($B$2)),"",HYPERLINK("#"&amp;INDEX(INDIRECT($B$2),(ROW(38:38)+($G$2-1)*80))&amp;"!A1",INDEX(INDIRECT($B$2),(ROW(38:38)+($G$2-1)*80)))),IF((ROW(38:38)+($G$2-1)*80)&gt;SUBSTITUTE($C$2,"个","")*1,"",HYPERLINK("#"&amp;INDEX(查找函数,(ROW(38:38)+($G$2-1)*80))&amp;"!A1",INDEX(查找函数,(ROW(38:38)+($G$2-1)*80)))))</f>
        <v/>
      </c>
      <c r="C41" s="358" t="str">
        <f ca="1">IF(B41&lt;&gt;"",VLOOKUP(B41,函数!$A$1:$B$280,2,0),"")</f>
        <v/>
      </c>
      <c r="D41" s="359" t="str">
        <f ca="1" t="shared" si="1"/>
        <v/>
      </c>
      <c r="E41" s="357" t="str">
        <f ca="1">IF($E$2="",IF((ROW(78:78)+($G$2-1)*80)&gt;COUNTA(INDIRECT($B$2)),"",HYPERLINK("#"&amp;INDEX(INDIRECT($B$2),(ROW(78:78)+($G$2-1)*80))&amp;"!A1",INDEX(INDIRECT($B$2),(ROW(78:78)+($G$2-1)*80)))),IF((ROW(78:78)+($G$2-1)*80)&gt;SUBSTITUTE($C$2,"个","")*1,"",HYPERLINK("#"&amp;INDEX(查找函数,(ROW(78:78)+($G$2-1)*80))&amp;"!A1",INDEX(查找函数,(ROW(78:78)+($G$2-1)*80)))))</f>
        <v/>
      </c>
      <c r="F41" s="360" t="str">
        <f ca="1">IF(E41&lt;&gt;"",VLOOKUP(E41,函数!$A$1:$B$280,2,0),"")</f>
        <v/>
      </c>
    </row>
    <row r="42" ht="24" customHeight="1" spans="1:6">
      <c r="A42" s="356" t="str">
        <f ca="1" t="shared" si="0"/>
        <v/>
      </c>
      <c r="B42" s="357" t="str">
        <f ca="1">IF($E$2="",IF((ROW(39:39)+($G$2-1)*80)&gt;COUNTA(INDIRECT($B$2)),"",HYPERLINK("#"&amp;INDEX(INDIRECT($B$2),(ROW(39:39)+($G$2-1)*80))&amp;"!A1",INDEX(INDIRECT($B$2),(ROW(39:39)+($G$2-1)*80)))),IF((ROW(39:39)+($G$2-1)*80)&gt;SUBSTITUTE($C$2,"个","")*1,"",HYPERLINK("#"&amp;INDEX(查找函数,(ROW(39:39)+($G$2-1)*80))&amp;"!A1",INDEX(查找函数,(ROW(39:39)+($G$2-1)*80)))))</f>
        <v/>
      </c>
      <c r="C42" s="358" t="str">
        <f ca="1">IF(B42&lt;&gt;"",VLOOKUP(B42,函数!$A$1:$B$280,2,0),"")</f>
        <v/>
      </c>
      <c r="D42" s="359" t="str">
        <f ca="1" t="shared" si="1"/>
        <v/>
      </c>
      <c r="E42" s="357" t="str">
        <f ca="1">IF($E$2="",IF((ROW(79:79)+($G$2-1)*80)&gt;COUNTA(INDIRECT($B$2)),"",HYPERLINK("#"&amp;INDEX(INDIRECT($B$2),(ROW(79:79)+($G$2-1)*80))&amp;"!A1",INDEX(INDIRECT($B$2),(ROW(79:79)+($G$2-1)*80)))),IF((ROW(79:79)+($G$2-1)*80)&gt;SUBSTITUTE($C$2,"个","")*1,"",HYPERLINK("#"&amp;INDEX(查找函数,(ROW(79:79)+($G$2-1)*80))&amp;"!A1",INDEX(查找函数,(ROW(79:79)+($G$2-1)*80)))))</f>
        <v/>
      </c>
      <c r="F42" s="360" t="str">
        <f ca="1">IF(E42&lt;&gt;"",VLOOKUP(E42,函数!$A$1:$B$280,2,0),"")</f>
        <v/>
      </c>
    </row>
    <row r="43" ht="24" customHeight="1" spans="1:6">
      <c r="A43" s="362" t="str">
        <f ca="1" t="shared" si="0"/>
        <v/>
      </c>
      <c r="B43" s="363" t="str">
        <f ca="1">IF($E$2="",IF((ROW(40:40)+($G$2-1)*80)&gt;COUNTA(INDIRECT($B$2)),"",HYPERLINK("#"&amp;INDEX(INDIRECT($B$2),(ROW(40:40)+($G$2-1)*80))&amp;"!A1",INDEX(INDIRECT($B$2),(ROW(40:40)+($G$2-1)*80)))),IF((ROW(40:40)+($G$2-1)*80)&gt;SUBSTITUTE($C$2,"个","")*1,"",HYPERLINK("#"&amp;INDEX(查找函数,(ROW(40:40)+($G$2-1)*80))&amp;"!A1",INDEX(查找函数,(ROW(40:40)+($G$2-1)*80)))))</f>
        <v/>
      </c>
      <c r="C43" s="364" t="str">
        <f ca="1">IF(B43&lt;&gt;"",VLOOKUP(B43,函数!$A$1:$B$280,2,0),"")</f>
        <v/>
      </c>
      <c r="D43" s="365" t="str">
        <f ca="1" t="shared" si="1"/>
        <v/>
      </c>
      <c r="E43" s="363" t="str">
        <f ca="1">IF($E$2="",IF((ROW(80:80)+($G$2-1)*80)&gt;COUNTA(INDIRECT($B$2)),"",HYPERLINK("#"&amp;INDEX(INDIRECT($B$2),(ROW(80:80)+($G$2-1)*80))&amp;"!A1",INDEX(INDIRECT($B$2),(ROW(80:80)+($G$2-1)*80)))),IF((ROW(80:80)+($G$2-1)*80)&gt;SUBSTITUTE($C$2,"个","")*1,"",HYPERLINK("#"&amp;INDEX(查找函数,(ROW(80:80)+($G$2-1)*80))&amp;"!A1",INDEX(查找函数,(ROW(80:80)+($G$2-1)*80)))))</f>
        <v/>
      </c>
      <c r="F43" s="366" t="str">
        <f ca="1">IF(E43&lt;&gt;"",VLOOKUP(E43,函数!$A$1:$B$280,2,0),"")</f>
        <v/>
      </c>
    </row>
    <row r="44" spans="1:1">
      <c r="A44" s="18"/>
    </row>
  </sheetData>
  <sheetProtection password="CA9C" sheet="1" objects="1"/>
  <mergeCells count="1">
    <mergeCell ref="A1:F1"/>
  </mergeCells>
  <dataValidations count="1">
    <dataValidation type="list" allowBlank="1" showInputMessage="1" showErrorMessage="1" sqref="B2">
      <formula1>函数!$C$1:$C$11</formula1>
    </dataValidation>
  </dataValidations>
  <pageMargins left="0.75" right="0.75" top="1" bottom="1" header="0.511805555555556" footer="0.511805555555556"/>
  <pageSetup paperSize="9" orientation="portrait"/>
  <headerFooter/>
  <drawing r:id="rId1"/>
  <legacyDrawing r:id="rId2"/>
  <mc:AlternateContent xmlns:mc="http://schemas.openxmlformats.org/markup-compatibility/2006">
    <mc:Choice Requires="x14">
      <controls>
        <mc:AlternateContent xmlns:mc="http://schemas.openxmlformats.org/markup-compatibility/2006">
          <mc:Choice Requires="x14">
            <control shapeId="218113" name="Spinner 1" r:id="rId3">
              <controlPr defaultSize="0">
                <anchor moveWithCells="1">
                  <from>
                    <xdr:col>4</xdr:col>
                    <xdr:colOff>276225</xdr:colOff>
                    <xdr:row>0</xdr:row>
                    <xdr:rowOff>27305</xdr:rowOff>
                  </from>
                  <to>
                    <xdr:col>4</xdr:col>
                    <xdr:colOff>485775</xdr:colOff>
                    <xdr:row>1</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0"/>
  <sheetViews>
    <sheetView workbookViewId="0">
      <selection activeCell="B2" sqref="B2"/>
    </sheetView>
  </sheetViews>
  <sheetFormatPr defaultColWidth="9" defaultRowHeight="13.5" outlineLevelCol="3"/>
  <cols>
    <col min="1" max="1" width="21.125" customWidth="1"/>
    <col min="2" max="2" width="48.75" customWidth="1"/>
    <col min="3" max="3" width="21.125" customWidth="1"/>
    <col min="4" max="4" width="15.125" customWidth="1"/>
  </cols>
  <sheetData>
    <row r="1" spans="1:4">
      <c r="A1" t="s">
        <v>8</v>
      </c>
      <c r="C1" t="s">
        <v>8</v>
      </c>
      <c r="D1" s="346" t="str">
        <f>UPPER(首页!$E$2)&amp;""</f>
        <v/>
      </c>
    </row>
    <row r="2" spans="1:4">
      <c r="A2" t="s">
        <v>9</v>
      </c>
      <c r="B2" t="s">
        <v>10</v>
      </c>
      <c r="C2" t="s">
        <v>11</v>
      </c>
      <c r="D2" t="str">
        <f t="array" ref="D2">IF(D1="","",INDEX(A:A,SMALL(IF(ISERROR(FIND($D$1,$A$1:$A$305)),65535,ROW($A$1:$A$305)),ROW()-1))&amp;"")</f>
        <v/>
      </c>
    </row>
    <row r="3" spans="1:4">
      <c r="A3" t="s">
        <v>12</v>
      </c>
      <c r="B3" t="s">
        <v>13</v>
      </c>
      <c r="C3" t="s">
        <v>14</v>
      </c>
      <c r="D3" t="str">
        <f t="array" ref="D3">IF(D2="","",INDEX(A:A,SMALL(IF(ISERROR(FIND($D$1,$A$1:$A$305)),65535,ROW($A$1:$A$305)),ROW()-1))&amp;"")</f>
        <v/>
      </c>
    </row>
    <row r="4" spans="1:4">
      <c r="A4" t="s">
        <v>15</v>
      </c>
      <c r="B4" t="s">
        <v>16</v>
      </c>
      <c r="C4" t="s">
        <v>17</v>
      </c>
      <c r="D4" t="str">
        <f t="array" ref="D4">IF(D3="","",INDEX(A:A,SMALL(IF(ISERROR(FIND($D$1,$A$1:$A$305)),65535,ROW($A$1:$A$305)),ROW()-1))&amp;"")</f>
        <v/>
      </c>
    </row>
    <row r="5" spans="1:4">
      <c r="A5" t="s">
        <v>18</v>
      </c>
      <c r="B5" t="s">
        <v>19</v>
      </c>
      <c r="C5" t="s">
        <v>20</v>
      </c>
      <c r="D5" t="str">
        <f t="array" ref="D5">IF(D4="","",INDEX(A:A,SMALL(IF(ISERROR(FIND($D$1,$A$1:$A$305)),65535,ROW($A$1:$A$305)),ROW()-1))&amp;"")</f>
        <v/>
      </c>
    </row>
    <row r="6" spans="1:4">
      <c r="A6" t="s">
        <v>21</v>
      </c>
      <c r="B6" t="s">
        <v>22</v>
      </c>
      <c r="C6" t="s">
        <v>23</v>
      </c>
      <c r="D6" t="str">
        <f t="array" ref="D6">IF(D5="","",INDEX(A:A,SMALL(IF(ISERROR(FIND($D$1,$A$1:$A$305)),65535,ROW($A$1:$A$305)),ROW()-1))&amp;"")</f>
        <v/>
      </c>
    </row>
    <row r="7" spans="1:4">
      <c r="A7" t="s">
        <v>24</v>
      </c>
      <c r="B7" t="s">
        <v>25</v>
      </c>
      <c r="C7" t="s">
        <v>2</v>
      </c>
      <c r="D7" t="str">
        <f t="array" ref="D7">IF(D6="","",INDEX(A:A,SMALL(IF(ISERROR(FIND($D$1,$A$1:$A$305)),65535,ROW($A$1:$A$305)),ROW()-1))&amp;"")</f>
        <v/>
      </c>
    </row>
    <row r="8" spans="1:4">
      <c r="A8" t="s">
        <v>26</v>
      </c>
      <c r="B8" t="s">
        <v>27</v>
      </c>
      <c r="C8" t="s">
        <v>28</v>
      </c>
      <c r="D8" t="str">
        <f t="array" ref="D8">IF(D7="","",INDEX(A:A,SMALL(IF(ISERROR(FIND($D$1,$A$1:$A$305)),65535,ROW($A$1:$A$305)),ROW()-1))&amp;"")</f>
        <v/>
      </c>
    </row>
    <row r="9" spans="1:4">
      <c r="A9" t="s">
        <v>29</v>
      </c>
      <c r="B9" t="s">
        <v>30</v>
      </c>
      <c r="C9" t="s">
        <v>31</v>
      </c>
      <c r="D9" t="str">
        <f t="array" ref="D9">IF(D8="","",INDEX(A:A,SMALL(IF(ISERROR(FIND($D$1,$A$1:$A$305)),65535,ROW($A$1:$A$305)),ROW()-1))&amp;"")</f>
        <v/>
      </c>
    </row>
    <row r="10" spans="1:4">
      <c r="A10" t="s">
        <v>32</v>
      </c>
      <c r="B10" t="s">
        <v>33</v>
      </c>
      <c r="C10" t="s">
        <v>34</v>
      </c>
      <c r="D10" t="str">
        <f t="array" ref="D10">IF(D9="","",INDEX(A:A,SMALL(IF(ISERROR(FIND($D$1,$A$1:$A$305)),65535,ROW($A$1:$A$305)),ROW()-1))&amp;"")</f>
        <v/>
      </c>
    </row>
    <row r="11" spans="1:4">
      <c r="A11" t="s">
        <v>35</v>
      </c>
      <c r="B11" t="s">
        <v>36</v>
      </c>
      <c r="D11" t="str">
        <f t="array" ref="D11">IF(D10="","",INDEX(A:A,SMALL(IF(ISERROR(FIND($D$1,$A$1:$A$305)),65535,ROW($A$1:$A$305)),ROW()-1))&amp;"")</f>
        <v/>
      </c>
    </row>
    <row r="12" spans="1:4">
      <c r="A12" t="s">
        <v>37</v>
      </c>
      <c r="B12" t="s">
        <v>38</v>
      </c>
      <c r="D12" t="str">
        <f t="array" ref="D12">IF(D11="","",INDEX(A:A,SMALL(IF(ISERROR(FIND($D$1,$A$1:$A$305)),65535,ROW($A$1:$A$305)),ROW()-1))&amp;"")</f>
        <v/>
      </c>
    </row>
    <row r="13" spans="1:4">
      <c r="A13" t="s">
        <v>39</v>
      </c>
      <c r="B13" t="s">
        <v>40</v>
      </c>
      <c r="D13" t="str">
        <f t="array" ref="D13">IF(D12="","",INDEX(A:A,SMALL(IF(ISERROR(FIND($D$1,$A$1:$A$305)),65535,ROW($A$1:$A$305)),ROW()-1))&amp;"")</f>
        <v/>
      </c>
    </row>
    <row r="14" spans="1:4">
      <c r="A14" t="s">
        <v>41</v>
      </c>
      <c r="B14" t="s">
        <v>42</v>
      </c>
      <c r="D14" t="str">
        <f t="array" ref="D14">IF(D13="","",INDEX(A:A,SMALL(IF(ISERROR(FIND($D$1,$A$1:$A$305)),65535,ROW($A$1:$A$305)),ROW()-1))&amp;"")</f>
        <v/>
      </c>
    </row>
    <row r="15" spans="1:4">
      <c r="A15" t="s">
        <v>43</v>
      </c>
      <c r="B15" t="s">
        <v>44</v>
      </c>
      <c r="D15" t="str">
        <f t="array" ref="D15">IF(D14="","",INDEX(A:A,SMALL(IF(ISERROR(FIND($D$1,$A$1:$A$305)),65535,ROW($A$1:$A$305)),ROW()-1))&amp;"")</f>
        <v/>
      </c>
    </row>
    <row r="16" spans="1:4">
      <c r="A16" t="s">
        <v>45</v>
      </c>
      <c r="B16" t="s">
        <v>46</v>
      </c>
      <c r="D16" t="str">
        <f t="array" ref="D16">IF(D15="","",INDEX(A:A,SMALL(IF(ISERROR(FIND($D$1,$A$1:$A$305)),65535,ROW($A$1:$A$305)),ROW()-1))&amp;"")</f>
        <v/>
      </c>
    </row>
    <row r="17" spans="1:4">
      <c r="A17" t="s">
        <v>47</v>
      </c>
      <c r="B17" t="s">
        <v>48</v>
      </c>
      <c r="D17" t="str">
        <f t="array" ref="D17">IF(D16="","",INDEX(A:A,SMALL(IF(ISERROR(FIND($D$1,$A$1:$A$305)),65535,ROW($A$1:$A$305)),ROW()-1))&amp;"")</f>
        <v/>
      </c>
    </row>
    <row r="18" spans="1:4">
      <c r="A18" t="s">
        <v>49</v>
      </c>
      <c r="B18" t="s">
        <v>50</v>
      </c>
      <c r="D18" t="str">
        <f t="array" ref="D18">IF(D17="","",INDEX(A:A,SMALL(IF(ISERROR(FIND($D$1,$A$1:$A$305)),65535,ROW($A$1:$A$305)),ROW()-1))&amp;"")</f>
        <v/>
      </c>
    </row>
    <row r="19" spans="1:4">
      <c r="A19" t="s">
        <v>51</v>
      </c>
      <c r="B19" t="s">
        <v>52</v>
      </c>
      <c r="D19" t="str">
        <f t="array" ref="D19">IF(D18="","",INDEX(A:A,SMALL(IF(ISERROR(FIND($D$1,$A$1:$A$305)),65535,ROW($A$1:$A$305)),ROW()-1))&amp;"")</f>
        <v/>
      </c>
    </row>
    <row r="20" spans="1:4">
      <c r="A20" t="s">
        <v>53</v>
      </c>
      <c r="B20" t="s">
        <v>54</v>
      </c>
      <c r="D20" t="str">
        <f t="array" ref="D20">IF(D19="","",INDEX(A:A,SMALL(IF(ISERROR(FIND($D$1,$A$1:$A$305)),65535,ROW($A$1:$A$305)),ROW()-1))&amp;"")</f>
        <v/>
      </c>
    </row>
    <row r="21" spans="1:4">
      <c r="A21" t="s">
        <v>55</v>
      </c>
      <c r="B21" t="s">
        <v>56</v>
      </c>
      <c r="D21" t="str">
        <f t="array" ref="D21">IF(D20="","",INDEX(A:A,SMALL(IF(ISERROR(FIND($D$1,$A$1:$A$305)),65535,ROW($A$1:$A$305)),ROW()-1))&amp;"")</f>
        <v/>
      </c>
    </row>
    <row r="22" spans="1:4">
      <c r="A22" t="s">
        <v>57</v>
      </c>
      <c r="B22" t="s">
        <v>58</v>
      </c>
      <c r="D22" t="str">
        <f t="array" ref="D22">IF(D21="","",INDEX(A:A,SMALL(IF(ISERROR(FIND($D$1,$A$1:$A$305)),65535,ROW($A$1:$A$305)),ROW()-1))&amp;"")</f>
        <v/>
      </c>
    </row>
    <row r="23" spans="1:4">
      <c r="A23" t="s">
        <v>59</v>
      </c>
      <c r="B23" t="s">
        <v>60</v>
      </c>
      <c r="D23" t="str">
        <f t="array" ref="D23">IF(D22="","",INDEX(A:A,SMALL(IF(ISERROR(FIND($D$1,$A$1:$A$305)),65535,ROW($A$1:$A$305)),ROW()-1))&amp;"")</f>
        <v/>
      </c>
    </row>
    <row r="24" spans="1:4">
      <c r="A24" t="s">
        <v>61</v>
      </c>
      <c r="B24" t="s">
        <v>62</v>
      </c>
      <c r="D24" t="str">
        <f t="array" ref="D24">IF(D23="","",INDEX(A:A,SMALL(IF(ISERROR(FIND($D$1,$A$1:$A$305)),65535,ROW($A$1:$A$305)),ROW()-1))&amp;"")</f>
        <v/>
      </c>
    </row>
    <row r="25" spans="1:4">
      <c r="A25" t="s">
        <v>63</v>
      </c>
      <c r="B25" t="s">
        <v>64</v>
      </c>
      <c r="D25" t="str">
        <f t="array" ref="D25">IF(D24="","",INDEX(A:A,SMALL(IF(ISERROR(FIND($D$1,$A$1:$A$305)),65535,ROW($A$1:$A$305)),ROW()-1))&amp;"")</f>
        <v/>
      </c>
    </row>
    <row r="26" spans="1:4">
      <c r="A26" t="s">
        <v>65</v>
      </c>
      <c r="B26" t="s">
        <v>66</v>
      </c>
      <c r="D26" t="str">
        <f t="array" ref="D26">IF(D25="","",INDEX(A:A,SMALL(IF(ISERROR(FIND($D$1,$A$1:$A$305)),65535,ROW($A$1:$A$305)),ROW()-1))&amp;"")</f>
        <v/>
      </c>
    </row>
    <row r="27" spans="1:4">
      <c r="A27" t="s">
        <v>67</v>
      </c>
      <c r="B27" t="s">
        <v>68</v>
      </c>
      <c r="D27" t="str">
        <f t="array" ref="D27">IF(D26="","",INDEX(A:A,SMALL(IF(ISERROR(FIND($D$1,$A$1:$A$305)),65535,ROW($A$1:$A$305)),ROW()-1))&amp;"")</f>
        <v/>
      </c>
    </row>
    <row r="28" spans="1:4">
      <c r="A28" t="s">
        <v>69</v>
      </c>
      <c r="B28" t="s">
        <v>70</v>
      </c>
      <c r="D28" t="str">
        <f t="array" ref="D28">IF(D27="","",INDEX(A:A,SMALL(IF(ISERROR(FIND($D$1,$A$1:$A$305)),65535,ROW($A$1:$A$305)),ROW()-1))&amp;"")</f>
        <v/>
      </c>
    </row>
    <row r="29" spans="1:4">
      <c r="A29" t="s">
        <v>71</v>
      </c>
      <c r="B29" t="s">
        <v>72</v>
      </c>
      <c r="D29" t="str">
        <f t="array" ref="D29">IF(D28="","",INDEX(A:A,SMALL(IF(ISERROR(FIND($D$1,$A$1:$A$305)),65535,ROW($A$1:$A$305)),ROW()-1))&amp;"")</f>
        <v/>
      </c>
    </row>
    <row r="30" spans="1:4">
      <c r="A30" t="s">
        <v>73</v>
      </c>
      <c r="B30" t="s">
        <v>74</v>
      </c>
      <c r="D30" t="str">
        <f t="array" ref="D30">IF(D29="","",INDEX(A:A,SMALL(IF(ISERROR(FIND($D$1,$A$1:$A$305)),65535,ROW($A$1:$A$305)),ROW()-1))&amp;"")</f>
        <v/>
      </c>
    </row>
    <row r="31" spans="1:4">
      <c r="A31" t="s">
        <v>75</v>
      </c>
      <c r="B31" t="s">
        <v>76</v>
      </c>
      <c r="D31" t="str">
        <f t="array" ref="D31">IF(D30="","",INDEX(A:A,SMALL(IF(ISERROR(FIND($D$1,$A$1:$A$305)),65535,ROW($A$1:$A$305)),ROW()-1))&amp;"")</f>
        <v/>
      </c>
    </row>
    <row r="32" spans="1:4">
      <c r="A32" t="s">
        <v>77</v>
      </c>
      <c r="B32" t="s">
        <v>78</v>
      </c>
      <c r="D32" t="str">
        <f t="array" ref="D32">IF(D31="","",INDEX(A:A,SMALL(IF(ISERROR(FIND($D$1,$A$1:$A$305)),65535,ROW($A$1:$A$305)),ROW()-1))&amp;"")</f>
        <v/>
      </c>
    </row>
    <row r="33" spans="1:4">
      <c r="A33" t="s">
        <v>79</v>
      </c>
      <c r="B33" t="s">
        <v>80</v>
      </c>
      <c r="D33" t="str">
        <f t="array" ref="D33">IF(D32="","",INDEX(A:A,SMALL(IF(ISERROR(FIND($D$1,$A$1:$A$305)),65535,ROW($A$1:$A$305)),ROW()-1))&amp;"")</f>
        <v/>
      </c>
    </row>
    <row r="34" spans="1:4">
      <c r="A34" t="s">
        <v>81</v>
      </c>
      <c r="B34" t="s">
        <v>82</v>
      </c>
      <c r="D34" t="str">
        <f t="array" ref="D34">IF(D33="","",INDEX(A:A,SMALL(IF(ISERROR(FIND($D$1,$A$1:$A$305)),65535,ROW($A$1:$A$305)),ROW()-1))&amp;"")</f>
        <v/>
      </c>
    </row>
    <row r="35" spans="1:4">
      <c r="A35" t="s">
        <v>83</v>
      </c>
      <c r="B35" t="s">
        <v>84</v>
      </c>
      <c r="D35" t="str">
        <f t="array" ref="D35">IF(D34="","",INDEX(A:A,SMALL(IF(ISERROR(FIND($D$1,$A$1:$A$305)),65535,ROW($A$1:$A$305)),ROW()-1))&amp;"")</f>
        <v/>
      </c>
    </row>
    <row r="36" spans="1:4">
      <c r="A36" t="s">
        <v>85</v>
      </c>
      <c r="B36" t="s">
        <v>86</v>
      </c>
      <c r="D36" t="str">
        <f t="array" ref="D36">IF(D35="","",INDEX(A:A,SMALL(IF(ISERROR(FIND($D$1,$A$1:$A$305)),65535,ROW($A$1:$A$305)),ROW()-1))&amp;"")</f>
        <v/>
      </c>
    </row>
    <row r="37" spans="1:4">
      <c r="A37" t="s">
        <v>87</v>
      </c>
      <c r="B37" t="s">
        <v>88</v>
      </c>
      <c r="D37" t="str">
        <f t="array" ref="D37">IF(D36="","",INDEX(A:A,SMALL(IF(ISERROR(FIND($D$1,$A$1:$A$305)),65535,ROW($A$1:$A$305)),ROW()-1))&amp;"")</f>
        <v/>
      </c>
    </row>
    <row r="38" spans="1:4">
      <c r="A38" t="s">
        <v>89</v>
      </c>
      <c r="B38" t="s">
        <v>90</v>
      </c>
      <c r="D38" t="str">
        <f t="array" ref="D38">IF(D37="","",INDEX(A:A,SMALL(IF(ISERROR(FIND($D$1,$A$1:$A$305)),65535,ROW($A$1:$A$305)),ROW()-1))&amp;"")</f>
        <v/>
      </c>
    </row>
    <row r="39" spans="1:4">
      <c r="A39" t="s">
        <v>91</v>
      </c>
      <c r="B39" t="s">
        <v>92</v>
      </c>
      <c r="D39" t="str">
        <f t="array" ref="D39">IF(D38="","",INDEX(A:A,SMALL(IF(ISERROR(FIND($D$1,$A$1:$A$305)),65535,ROW($A$1:$A$305)),ROW()-1))&amp;"")</f>
        <v/>
      </c>
    </row>
    <row r="40" spans="1:4">
      <c r="A40" t="s">
        <v>93</v>
      </c>
      <c r="B40" t="s">
        <v>94</v>
      </c>
      <c r="D40" t="str">
        <f t="array" ref="D40">IF(D39="","",INDEX(A:A,SMALL(IF(ISERROR(FIND($D$1,$A$1:$A$305)),65535,ROW($A$1:$A$305)),ROW()-1))&amp;"")</f>
        <v/>
      </c>
    </row>
    <row r="41" spans="1:4">
      <c r="A41" t="s">
        <v>95</v>
      </c>
      <c r="B41" t="s">
        <v>96</v>
      </c>
      <c r="D41" t="str">
        <f t="array" ref="D41">IF(D40="","",INDEX(A:A,SMALL(IF(ISERROR(FIND($D$1,$A$1:$A$305)),65535,ROW($A$1:$A$305)),ROW()-1))&amp;"")</f>
        <v/>
      </c>
    </row>
    <row r="42" spans="1:4">
      <c r="A42" t="s">
        <v>97</v>
      </c>
      <c r="B42" t="s">
        <v>98</v>
      </c>
      <c r="D42" t="str">
        <f t="array" ref="D42">IF(D41="","",INDEX(A:A,SMALL(IF(ISERROR(FIND($D$1,$A$1:$A$305)),65535,ROW($A$1:$A$305)),ROW()-1))&amp;"")</f>
        <v/>
      </c>
    </row>
    <row r="43" spans="1:4">
      <c r="A43" t="s">
        <v>99</v>
      </c>
      <c r="B43" t="s">
        <v>100</v>
      </c>
      <c r="D43" t="str">
        <f t="array" ref="D43">IF(D42="","",INDEX(A:A,SMALL(IF(ISERROR(FIND($D$1,$A$1:$A$305)),65535,ROW($A$1:$A$305)),ROW()-1))&amp;"")</f>
        <v/>
      </c>
    </row>
    <row r="44" spans="1:4">
      <c r="A44" t="s">
        <v>101</v>
      </c>
      <c r="B44" t="s">
        <v>102</v>
      </c>
      <c r="D44" t="str">
        <f t="array" ref="D44">IF(D43="","",INDEX(A:A,SMALL(IF(ISERROR(FIND($D$1,$A$1:$A$305)),65535,ROW($A$1:$A$305)),ROW()-1))&amp;"")</f>
        <v/>
      </c>
    </row>
    <row r="45" spans="1:4">
      <c r="A45" t="s">
        <v>103</v>
      </c>
      <c r="B45" t="s">
        <v>104</v>
      </c>
      <c r="D45" t="str">
        <f t="array" ref="D45">IF(D44="","",INDEX(A:A,SMALL(IF(ISERROR(FIND($D$1,$A$1:$A$305)),65535,ROW($A$1:$A$305)),ROW()-1))&amp;"")</f>
        <v/>
      </c>
    </row>
    <row r="46" spans="1:4">
      <c r="A46" t="s">
        <v>105</v>
      </c>
      <c r="B46" t="s">
        <v>106</v>
      </c>
      <c r="D46" t="str">
        <f t="array" ref="D46">IF(D45="","",INDEX(A:A,SMALL(IF(ISERROR(FIND($D$1,$A$1:$A$305)),65535,ROW($A$1:$A$305)),ROW()-1))&amp;"")</f>
        <v/>
      </c>
    </row>
    <row r="47" spans="1:4">
      <c r="A47" t="s">
        <v>107</v>
      </c>
      <c r="B47" t="s">
        <v>108</v>
      </c>
      <c r="D47" t="str">
        <f t="array" ref="D47">IF(D46="","",INDEX(A:A,SMALL(IF(ISERROR(FIND($D$1,$A$1:$A$305)),65535,ROW($A$1:$A$305)),ROW()-1))&amp;"")</f>
        <v/>
      </c>
    </row>
    <row r="48" spans="1:4">
      <c r="A48" t="s">
        <v>109</v>
      </c>
      <c r="B48" t="s">
        <v>110</v>
      </c>
      <c r="D48" t="str">
        <f t="array" ref="D48">IF(D47="","",INDEX(A:A,SMALL(IF(ISERROR(FIND($D$1,$A$1:$A$305)),65535,ROW($A$1:$A$305)),ROW()-1))&amp;"")</f>
        <v/>
      </c>
    </row>
    <row r="49" spans="1:4">
      <c r="A49" t="s">
        <v>111</v>
      </c>
      <c r="B49" t="s">
        <v>112</v>
      </c>
      <c r="D49" t="str">
        <f t="array" ref="D49">IF(D48="","",INDEX(A:A,SMALL(IF(ISERROR(FIND($D$1,$A$1:$A$305)),65535,ROW($A$1:$A$305)),ROW()-1))&amp;"")</f>
        <v/>
      </c>
    </row>
    <row r="50" spans="1:4">
      <c r="A50" t="s">
        <v>113</v>
      </c>
      <c r="B50" t="s">
        <v>114</v>
      </c>
      <c r="D50" t="str">
        <f t="array" ref="D50">IF(D49="","",INDEX(A:A,SMALL(IF(ISERROR(FIND($D$1,$A$1:$A$305)),65535,ROW($A$1:$A$305)),ROW()-1))&amp;"")</f>
        <v/>
      </c>
    </row>
    <row r="51" spans="1:4">
      <c r="A51" t="s">
        <v>115</v>
      </c>
      <c r="B51" t="s">
        <v>116</v>
      </c>
      <c r="D51" t="str">
        <f t="array" ref="D51">IF(D50="","",INDEX(A:A,SMALL(IF(ISERROR(FIND($D$1,$A$1:$A$305)),65535,ROW($A$1:$A$305)),ROW()-1))&amp;"")</f>
        <v/>
      </c>
    </row>
    <row r="52" spans="1:4">
      <c r="A52" t="s">
        <v>117</v>
      </c>
      <c r="B52" t="s">
        <v>118</v>
      </c>
      <c r="D52" t="str">
        <f t="array" ref="D52">IF(D51="","",INDEX(A:A,SMALL(IF(ISERROR(FIND($D$1,$A$1:$A$305)),65535,ROW($A$1:$A$305)),ROW()-1))&amp;"")</f>
        <v/>
      </c>
    </row>
    <row r="53" spans="1:4">
      <c r="A53" t="s">
        <v>119</v>
      </c>
      <c r="B53" t="s">
        <v>120</v>
      </c>
      <c r="D53" t="str">
        <f t="array" ref="D53">IF(D52="","",INDEX(A:A,SMALL(IF(ISERROR(FIND($D$1,$A$1:$A$305)),65535,ROW($A$1:$A$305)),ROW()-1))&amp;"")</f>
        <v/>
      </c>
    </row>
    <row r="54" spans="1:4">
      <c r="A54" t="s">
        <v>121</v>
      </c>
      <c r="B54" t="s">
        <v>122</v>
      </c>
      <c r="D54" t="str">
        <f t="array" ref="D54">IF(D53="","",INDEX(A:A,SMALL(IF(ISERROR(FIND($D$1,$A$1:$A$305)),65535,ROW($A$1:$A$305)),ROW()-1))&amp;"")</f>
        <v/>
      </c>
    </row>
    <row r="55" spans="1:4">
      <c r="A55" t="s">
        <v>123</v>
      </c>
      <c r="B55" t="s">
        <v>124</v>
      </c>
      <c r="D55" t="str">
        <f t="array" ref="D55">IF(D54="","",INDEX(A:A,SMALL(IF(ISERROR(FIND($D$1,$A$1:$A$305)),65535,ROW($A$1:$A$305)),ROW()-1))&amp;"")</f>
        <v/>
      </c>
    </row>
    <row r="56" spans="1:4">
      <c r="A56" t="s">
        <v>125</v>
      </c>
      <c r="B56" t="s">
        <v>126</v>
      </c>
      <c r="D56" t="str">
        <f t="array" ref="D56">IF(D55="","",INDEX(A:A,SMALL(IF(ISERROR(FIND($D$1,$A$1:$A$305)),65535,ROW($A$1:$A$305)),ROW()-1))&amp;"")</f>
        <v/>
      </c>
    </row>
    <row r="57" spans="1:4">
      <c r="A57" t="s">
        <v>127</v>
      </c>
      <c r="B57" t="s">
        <v>128</v>
      </c>
      <c r="D57" t="str">
        <f t="array" ref="D57">IF(D56="","",INDEX(A:A,SMALL(IF(ISERROR(FIND($D$1,$A$1:$A$305)),65535,ROW($A$1:$A$305)),ROW()-1))&amp;"")</f>
        <v/>
      </c>
    </row>
    <row r="58" spans="1:4">
      <c r="A58" t="s">
        <v>129</v>
      </c>
      <c r="B58" t="s">
        <v>130</v>
      </c>
      <c r="D58" t="str">
        <f t="array" ref="D58">IF(D57="","",INDEX(A:A,SMALL(IF(ISERROR(FIND($D$1,$A$1:$A$305)),65535,ROW($A$1:$A$305)),ROW()-1))&amp;"")</f>
        <v/>
      </c>
    </row>
    <row r="59" spans="1:4">
      <c r="A59" t="s">
        <v>131</v>
      </c>
      <c r="B59" t="s">
        <v>132</v>
      </c>
      <c r="D59" t="str">
        <f t="array" ref="D59">IF(D58="","",INDEX(A:A,SMALL(IF(ISERROR(FIND($D$1,$A$1:$A$305)),65535,ROW($A$1:$A$305)),ROW()-1))&amp;"")</f>
        <v/>
      </c>
    </row>
    <row r="60" spans="1:4">
      <c r="A60" t="s">
        <v>133</v>
      </c>
      <c r="B60" t="s">
        <v>134</v>
      </c>
      <c r="D60" t="str">
        <f t="array" ref="D60">IF(D59="","",INDEX(A:A,SMALL(IF(ISERROR(FIND($D$1,$A$1:$A$305)),65535,ROW($A$1:$A$305)),ROW()-1))&amp;"")</f>
        <v/>
      </c>
    </row>
    <row r="61" spans="1:4">
      <c r="A61" t="s">
        <v>135</v>
      </c>
      <c r="B61" t="s">
        <v>136</v>
      </c>
      <c r="D61" t="str">
        <f t="array" ref="D61">IF(D60="","",INDEX(A:A,SMALL(IF(ISERROR(FIND($D$1,$A$1:$A$305)),65535,ROW($A$1:$A$305)),ROW()-1))&amp;"")</f>
        <v/>
      </c>
    </row>
    <row r="62" spans="1:4">
      <c r="A62" t="s">
        <v>11</v>
      </c>
      <c r="B62" t="s">
        <v>137</v>
      </c>
      <c r="D62" t="str">
        <f t="array" ref="D62">IF(D61="","",INDEX(A:A,SMALL(IF(ISERROR(FIND($D$1,$A$1:$A$305)),65535,ROW($A$1:$A$305)),ROW()-1))&amp;"")</f>
        <v/>
      </c>
    </row>
    <row r="63" spans="1:4">
      <c r="A63" t="s">
        <v>138</v>
      </c>
      <c r="B63" t="s">
        <v>139</v>
      </c>
      <c r="D63" t="str">
        <f t="array" ref="D63">IF(D62="","",INDEX(A:A,SMALL(IF(ISERROR(FIND($D$1,$A$1:$A$305)),65535,ROW($A$1:$A$305)),ROW()-1))&amp;"")</f>
        <v/>
      </c>
    </row>
    <row r="64" spans="1:4">
      <c r="A64" t="s">
        <v>140</v>
      </c>
      <c r="B64" t="s">
        <v>141</v>
      </c>
      <c r="D64" t="str">
        <f t="array" ref="D64">IF(D63="","",INDEX(A:A,SMALL(IF(ISERROR(FIND($D$1,$A$1:$A$305)),65535,ROW($A$1:$A$305)),ROW()-1))&amp;"")</f>
        <v/>
      </c>
    </row>
    <row r="65" spans="1:4">
      <c r="A65" t="s">
        <v>142</v>
      </c>
      <c r="B65" t="s">
        <v>143</v>
      </c>
      <c r="D65" t="str">
        <f t="array" ref="D65">IF(D64="","",INDEX(A:A,SMALL(IF(ISERROR(FIND($D$1,$A$1:$A$305)),65535,ROW($A$1:$A$305)),ROW()-1))&amp;"")</f>
        <v/>
      </c>
    </row>
    <row r="66" spans="1:4">
      <c r="A66" t="s">
        <v>144</v>
      </c>
      <c r="B66" t="s">
        <v>145</v>
      </c>
      <c r="D66" t="str">
        <f t="array" ref="D66">IF(D65="","",INDEX(A:A,SMALL(IF(ISERROR(FIND($D$1,$A$1:$A$305)),65535,ROW($A$1:$A$305)),ROW()-1))&amp;"")</f>
        <v/>
      </c>
    </row>
    <row r="67" spans="1:4">
      <c r="A67" t="s">
        <v>146</v>
      </c>
      <c r="B67" t="s">
        <v>147</v>
      </c>
      <c r="D67" t="str">
        <f t="array" ref="D67">IF(D66="","",INDEX(A:A,SMALL(IF(ISERROR(FIND($D$1,$A$1:$A$305)),65535,ROW($A$1:$A$305)),ROW()-1))&amp;"")</f>
        <v/>
      </c>
    </row>
    <row r="68" spans="1:4">
      <c r="A68" t="s">
        <v>148</v>
      </c>
      <c r="B68" t="s">
        <v>149</v>
      </c>
      <c r="D68" t="str">
        <f t="array" ref="D68">IF(D67="","",INDEX(A:A,SMALL(IF(ISERROR(FIND($D$1,$A$1:$A$305)),65535,ROW($A$1:$A$305)),ROW()-1))&amp;"")</f>
        <v/>
      </c>
    </row>
    <row r="69" spans="1:4">
      <c r="A69" t="s">
        <v>150</v>
      </c>
      <c r="B69" t="s">
        <v>151</v>
      </c>
      <c r="D69" t="str">
        <f t="array" ref="D69">IF(D68="","",INDEX(A:A,SMALL(IF(ISERROR(FIND($D$1,$A$1:$A$305)),65535,ROW($A$1:$A$305)),ROW()-1))&amp;"")</f>
        <v/>
      </c>
    </row>
    <row r="70" spans="1:4">
      <c r="A70" t="s">
        <v>152</v>
      </c>
      <c r="B70" t="s">
        <v>153</v>
      </c>
      <c r="D70" t="str">
        <f t="array" ref="D70">IF(D69="","",INDEX(A:A,SMALL(IF(ISERROR(FIND($D$1,$A$1:$A$305)),65535,ROW($A$1:$A$305)),ROW()-1))&amp;"")</f>
        <v/>
      </c>
    </row>
    <row r="71" spans="1:4">
      <c r="A71" t="s">
        <v>154</v>
      </c>
      <c r="B71" t="s">
        <v>155</v>
      </c>
      <c r="D71" t="str">
        <f t="array" ref="D71">IF(D70="","",INDEX(A:A,SMALL(IF(ISERROR(FIND($D$1,$A$1:$A$305)),65535,ROW($A$1:$A$305)),ROW()-1))&amp;"")</f>
        <v/>
      </c>
    </row>
    <row r="72" spans="1:4">
      <c r="A72" t="s">
        <v>156</v>
      </c>
      <c r="B72" t="s">
        <v>157</v>
      </c>
      <c r="D72" t="str">
        <f t="array" ref="D72">IF(D71="","",INDEX(A:A,SMALL(IF(ISERROR(FIND($D$1,$A$1:$A$305)),65535,ROW($A$1:$A$305)),ROW()-1))&amp;"")</f>
        <v/>
      </c>
    </row>
    <row r="73" spans="1:4">
      <c r="A73" t="s">
        <v>158</v>
      </c>
      <c r="B73" t="s">
        <v>159</v>
      </c>
      <c r="D73" t="str">
        <f t="array" ref="D73">IF(D72="","",INDEX(A:A,SMALL(IF(ISERROR(FIND($D$1,$A$1:$A$305)),65535,ROW($A$1:$A$305)),ROW()-1))&amp;"")</f>
        <v/>
      </c>
    </row>
    <row r="74" spans="1:4">
      <c r="A74" t="s">
        <v>160</v>
      </c>
      <c r="B74" t="s">
        <v>161</v>
      </c>
      <c r="D74" t="str">
        <f t="array" ref="D74">IF(D73="","",INDEX(A:A,SMALL(IF(ISERROR(FIND($D$1,$A$1:$A$305)),65535,ROW($A$1:$A$305)),ROW()-1))&amp;"")</f>
        <v/>
      </c>
    </row>
    <row r="75" spans="1:4">
      <c r="A75" t="s">
        <v>162</v>
      </c>
      <c r="B75" t="s">
        <v>163</v>
      </c>
      <c r="D75" t="str">
        <f t="array" ref="D75">IF(D74="","",INDEX(A:A,SMALL(IF(ISERROR(FIND($D$1,$A$1:$A$305)),65535,ROW($A$1:$A$305)),ROW()-1))&amp;"")</f>
        <v/>
      </c>
    </row>
    <row r="76" spans="1:4">
      <c r="A76" t="s">
        <v>164</v>
      </c>
      <c r="B76" t="s">
        <v>165</v>
      </c>
      <c r="D76" t="str">
        <f t="array" ref="D76">IF(D75="","",INDEX(A:A,SMALL(IF(ISERROR(FIND($D$1,$A$1:$A$305)),65535,ROW($A$1:$A$305)),ROW()-1))&amp;"")</f>
        <v/>
      </c>
    </row>
    <row r="77" spans="1:4">
      <c r="A77" t="s">
        <v>166</v>
      </c>
      <c r="B77" t="s">
        <v>167</v>
      </c>
      <c r="D77" t="str">
        <f t="array" ref="D77">IF(D76="","",INDEX(A:A,SMALL(IF(ISERROR(FIND($D$1,$A$1:$A$305)),65535,ROW($A$1:$A$305)),ROW()-1))&amp;"")</f>
        <v/>
      </c>
    </row>
    <row r="78" spans="1:4">
      <c r="A78" t="s">
        <v>168</v>
      </c>
      <c r="B78" t="s">
        <v>169</v>
      </c>
      <c r="D78" t="str">
        <f t="array" ref="D78">IF(D77="","",INDEX(A:A,SMALL(IF(ISERROR(FIND($D$1,$A$1:$A$305)),65535,ROW($A$1:$A$305)),ROW()-1))&amp;"")</f>
        <v/>
      </c>
    </row>
    <row r="79" spans="1:4">
      <c r="A79" t="s">
        <v>170</v>
      </c>
      <c r="B79" t="s">
        <v>171</v>
      </c>
      <c r="D79" t="str">
        <f t="array" ref="D79">IF(D78="","",INDEX(A:A,SMALL(IF(ISERROR(FIND($D$1,$A$1:$A$305)),65535,ROW($A$1:$A$305)),ROW()-1))&amp;"")</f>
        <v/>
      </c>
    </row>
    <row r="80" spans="1:4">
      <c r="A80" t="s">
        <v>172</v>
      </c>
      <c r="B80" t="s">
        <v>173</v>
      </c>
      <c r="D80" t="str">
        <f t="array" ref="D80">IF(D79="","",INDEX(A:A,SMALL(IF(ISERROR(FIND($D$1,$A$1:$A$305)),65535,ROW($A$1:$A$305)),ROW()-1))&amp;"")</f>
        <v/>
      </c>
    </row>
    <row r="81" spans="1:4">
      <c r="A81" t="s">
        <v>174</v>
      </c>
      <c r="B81" t="s">
        <v>175</v>
      </c>
      <c r="D81" t="str">
        <f t="array" ref="D81">IF(D80="","",INDEX(A:A,SMALL(IF(ISERROR(FIND($D$1,$A$1:$A$305)),65535,ROW($A$1:$A$305)),ROW()-1))&amp;"")</f>
        <v/>
      </c>
    </row>
    <row r="82" spans="1:4">
      <c r="A82" t="s">
        <v>176</v>
      </c>
      <c r="B82" t="s">
        <v>177</v>
      </c>
      <c r="D82" t="str">
        <f t="array" ref="D82">IF(D81="","",INDEX(A:A,SMALL(IF(ISERROR(FIND($D$1,$A$1:$A$305)),65535,ROW($A$1:$A$305)),ROW()-1))&amp;"")</f>
        <v/>
      </c>
    </row>
    <row r="83" spans="1:4">
      <c r="A83" t="s">
        <v>178</v>
      </c>
      <c r="B83" t="s">
        <v>179</v>
      </c>
      <c r="D83" t="str">
        <f t="array" ref="D83">IF(D82="","",INDEX(A:A,SMALL(IF(ISERROR(FIND($D$1,$A$1:$A$305)),65535,ROW($A$1:$A$305)),ROW()-1))&amp;"")</f>
        <v/>
      </c>
    </row>
    <row r="84" spans="1:4">
      <c r="A84" t="s">
        <v>14</v>
      </c>
      <c r="B84" t="s">
        <v>137</v>
      </c>
      <c r="D84" t="str">
        <f t="array" ref="D84">IF(D83="","",INDEX(A:A,SMALL(IF(ISERROR(FIND($D$1,$A$1:$A$305)),65535,ROW($A$1:$A$305)),ROW()-1))&amp;"")</f>
        <v/>
      </c>
    </row>
    <row r="85" spans="1:4">
      <c r="A85" t="s">
        <v>180</v>
      </c>
      <c r="B85" t="s">
        <v>181</v>
      </c>
      <c r="D85" t="str">
        <f t="array" ref="D85">IF(D84="","",INDEX(A:A,SMALL(IF(ISERROR(FIND($D$1,$A$1:$A$305)),65535,ROW($A$1:$A$305)),ROW()-1))&amp;"")</f>
        <v/>
      </c>
    </row>
    <row r="86" spans="1:4">
      <c r="A86" t="s">
        <v>182</v>
      </c>
      <c r="B86" t="s">
        <v>183</v>
      </c>
      <c r="D86" t="str">
        <f t="array" ref="D86">IF(D85="","",INDEX(A:A,SMALL(IF(ISERROR(FIND($D$1,$A$1:$A$305)),65535,ROW($A$1:$A$305)),ROW()-1))&amp;"")</f>
        <v/>
      </c>
    </row>
    <row r="87" spans="1:4">
      <c r="A87" t="s">
        <v>184</v>
      </c>
      <c r="B87" t="s">
        <v>185</v>
      </c>
      <c r="D87" t="str">
        <f t="array" ref="D87">IF(D86="","",INDEX(A:A,SMALL(IF(ISERROR(FIND($D$1,$A$1:$A$305)),65535,ROW($A$1:$A$305)),ROW()-1))&amp;"")</f>
        <v/>
      </c>
    </row>
    <row r="88" spans="1:4">
      <c r="A88" t="s">
        <v>186</v>
      </c>
      <c r="B88" t="s">
        <v>187</v>
      </c>
      <c r="D88" t="str">
        <f t="array" ref="D88">IF(D87="","",INDEX(A:A,SMALL(IF(ISERROR(FIND($D$1,$A$1:$A$305)),65535,ROW($A$1:$A$305)),ROW()-1))&amp;"")</f>
        <v/>
      </c>
    </row>
    <row r="89" spans="1:4">
      <c r="A89" t="s">
        <v>188</v>
      </c>
      <c r="B89" t="s">
        <v>189</v>
      </c>
      <c r="D89" t="str">
        <f t="array" ref="D89">IF(D88="","",INDEX(A:A,SMALL(IF(ISERROR(FIND($D$1,$A$1:$A$305)),65535,ROW($A$1:$A$305)),ROW()-1))&amp;"")</f>
        <v/>
      </c>
    </row>
    <row r="90" spans="1:4">
      <c r="A90" t="s">
        <v>190</v>
      </c>
      <c r="B90" t="s">
        <v>191</v>
      </c>
      <c r="D90" t="str">
        <f t="array" ref="D90">IF(D89="","",INDEX(A:A,SMALL(IF(ISERROR(FIND($D$1,$A$1:$A$305)),65535,ROW($A$1:$A$305)),ROW()-1))&amp;"")</f>
        <v/>
      </c>
    </row>
    <row r="91" spans="1:4">
      <c r="A91" t="s">
        <v>192</v>
      </c>
      <c r="B91" t="s">
        <v>193</v>
      </c>
      <c r="D91" t="str">
        <f t="array" ref="D91">IF(D90="","",INDEX(A:A,SMALL(IF(ISERROR(FIND($D$1,$A$1:$A$305)),65535,ROW($A$1:$A$305)),ROW()-1))&amp;"")</f>
        <v/>
      </c>
    </row>
    <row r="92" spans="1:4">
      <c r="A92" t="s">
        <v>17</v>
      </c>
      <c r="B92" t="s">
        <v>137</v>
      </c>
      <c r="D92" t="str">
        <f t="array" ref="D92">IF(D91="","",INDEX(A:A,SMALL(IF(ISERROR(FIND($D$1,$A$1:$A$305)),65535,ROW($A$1:$A$305)),ROW()-1))&amp;"")</f>
        <v/>
      </c>
    </row>
    <row r="93" spans="1:4">
      <c r="A93" t="s">
        <v>194</v>
      </c>
      <c r="B93" t="s">
        <v>195</v>
      </c>
      <c r="D93" t="str">
        <f t="array" ref="D93">IF(D92="","",INDEX(A:A,SMALL(IF(ISERROR(FIND($D$1,$A$1:$A$305)),65535,ROW($A$1:$A$305)),ROW()-1))&amp;"")</f>
        <v/>
      </c>
    </row>
    <row r="94" spans="1:4">
      <c r="A94" t="s">
        <v>20</v>
      </c>
      <c r="B94" t="s">
        <v>137</v>
      </c>
      <c r="D94" t="str">
        <f t="array" ref="D94">IF(D93="","",INDEX(A:A,SMALL(IF(ISERROR(FIND($D$1,$A$1:$A$305)),65535,ROW($A$1:$A$305)),ROW()-1))&amp;"")</f>
        <v/>
      </c>
    </row>
    <row r="95" spans="1:4">
      <c r="A95" t="s">
        <v>196</v>
      </c>
      <c r="B95" t="s">
        <v>197</v>
      </c>
      <c r="D95" t="str">
        <f t="array" ref="D95">IF(D94="","",INDEX(A:A,SMALL(IF(ISERROR(FIND($D$1,$A$1:$A$305)),65535,ROW($A$1:$A$305)),ROW()-1))&amp;"")</f>
        <v/>
      </c>
    </row>
    <row r="96" spans="1:4">
      <c r="A96" t="s">
        <v>198</v>
      </c>
      <c r="B96" t="s">
        <v>199</v>
      </c>
      <c r="D96" t="str">
        <f t="array" ref="D96">IF(D95="","",INDEX(A:A,SMALL(IF(ISERROR(FIND($D$1,$A$1:$A$305)),65535,ROW($A$1:$A$305)),ROW()-1))&amp;"")</f>
        <v/>
      </c>
    </row>
    <row r="97" spans="1:4">
      <c r="A97" t="s">
        <v>200</v>
      </c>
      <c r="B97" t="s">
        <v>201</v>
      </c>
      <c r="D97" t="str">
        <f t="array" ref="D97">IF(D96="","",INDEX(A:A,SMALL(IF(ISERROR(FIND($D$1,$A$1:$A$305)),65535,ROW($A$1:$A$305)),ROW()-1))&amp;"")</f>
        <v/>
      </c>
    </row>
    <row r="98" spans="1:4">
      <c r="A98" t="s">
        <v>202</v>
      </c>
      <c r="B98" t="s">
        <v>203</v>
      </c>
      <c r="D98" t="str">
        <f t="array" ref="D98">IF(D97="","",INDEX(A:A,SMALL(IF(ISERROR(FIND($D$1,$A$1:$A$305)),65535,ROW($A$1:$A$305)),ROW()-1))&amp;"")</f>
        <v/>
      </c>
    </row>
    <row r="99" spans="1:4">
      <c r="A99" t="s">
        <v>204</v>
      </c>
      <c r="B99" t="s">
        <v>205</v>
      </c>
      <c r="D99" t="str">
        <f t="array" ref="D99">IF(D98="","",INDEX(A:A,SMALL(IF(ISERROR(FIND($D$1,$A$1:$A$305)),65535,ROW($A$1:$A$305)),ROW()-1))&amp;"")</f>
        <v/>
      </c>
    </row>
    <row r="100" spans="1:4">
      <c r="A100" t="s">
        <v>206</v>
      </c>
      <c r="B100" t="s">
        <v>207</v>
      </c>
      <c r="D100" t="str">
        <f t="array" ref="D100">IF(D99="","",INDEX(A:A,SMALL(IF(ISERROR(FIND($D$1,$A$1:$A$305)),65535,ROW($A$1:$A$305)),ROW()-1))&amp;"")</f>
        <v/>
      </c>
    </row>
    <row r="101" spans="1:4">
      <c r="A101" t="s">
        <v>208</v>
      </c>
      <c r="B101" t="s">
        <v>209</v>
      </c>
      <c r="D101" t="str">
        <f t="array" ref="D101">IF(D100="","",INDEX(A:A,SMALL(IF(ISERROR(FIND($D$1,$A$1:$A$305)),65535,ROW($A$1:$A$305)),ROW()-1))&amp;"")</f>
        <v/>
      </c>
    </row>
    <row r="102" spans="1:4">
      <c r="A102" t="s">
        <v>210</v>
      </c>
      <c r="B102" t="s">
        <v>211</v>
      </c>
      <c r="D102" t="str">
        <f t="array" ref="D102">IF(D101="","",INDEX(A:A,SMALL(IF(ISERROR(FIND($D$1,$A$1:$A$305)),65535,ROW($A$1:$A$305)),ROW()-1))&amp;"")</f>
        <v/>
      </c>
    </row>
    <row r="103" spans="1:4">
      <c r="A103" t="s">
        <v>212</v>
      </c>
      <c r="B103" t="s">
        <v>213</v>
      </c>
      <c r="D103" t="str">
        <f t="array" ref="D103">IF(D102="","",INDEX(A:A,SMALL(IF(ISERROR(FIND($D$1,$A$1:$A$305)),65535,ROW($A$1:$A$305)),ROW()-1))&amp;"")</f>
        <v/>
      </c>
    </row>
    <row r="104" spans="1:4">
      <c r="A104" t="s">
        <v>214</v>
      </c>
      <c r="B104" t="s">
        <v>215</v>
      </c>
      <c r="D104" t="str">
        <f t="array" ref="D104">IF(D103="","",INDEX(A:A,SMALL(IF(ISERROR(FIND($D$1,$A$1:$A$305)),65535,ROW($A$1:$A$305)),ROW()-1))&amp;"")</f>
        <v/>
      </c>
    </row>
    <row r="105" spans="1:4">
      <c r="A105" t="s">
        <v>216</v>
      </c>
      <c r="B105" t="s">
        <v>217</v>
      </c>
      <c r="D105" t="str">
        <f t="array" ref="D105">IF(D104="","",INDEX(A:A,SMALL(IF(ISERROR(FIND($D$1,$A$1:$A$305)),65535,ROW($A$1:$A$305)),ROW()-1))&amp;"")</f>
        <v/>
      </c>
    </row>
    <row r="106" spans="1:4">
      <c r="A106" t="s">
        <v>218</v>
      </c>
      <c r="B106" t="s">
        <v>219</v>
      </c>
      <c r="D106" t="str">
        <f t="array" ref="D106">IF(D105="","",INDEX(A:A,SMALL(IF(ISERROR(FIND($D$1,$A$1:$A$305)),65535,ROW($A$1:$A$305)),ROW()-1))&amp;"")</f>
        <v/>
      </c>
    </row>
    <row r="107" spans="1:4">
      <c r="A107" t="s">
        <v>220</v>
      </c>
      <c r="B107" t="s">
        <v>221</v>
      </c>
      <c r="D107" t="str">
        <f t="array" ref="D107">IF(D106="","",INDEX(A:A,SMALL(IF(ISERROR(FIND($D$1,$A$1:$A$305)),65535,ROW($A$1:$A$305)),ROW()-1))&amp;"")</f>
        <v/>
      </c>
    </row>
    <row r="108" spans="1:4">
      <c r="A108" t="s">
        <v>222</v>
      </c>
      <c r="B108" t="s">
        <v>223</v>
      </c>
      <c r="D108" t="str">
        <f t="array" ref="D108">IF(D107="","",INDEX(A:A,SMALL(IF(ISERROR(FIND($D$1,$A$1:$A$305)),65535,ROW($A$1:$A$305)),ROW()-1))&amp;"")</f>
        <v/>
      </c>
    </row>
    <row r="109" spans="1:4">
      <c r="A109" t="s">
        <v>224</v>
      </c>
      <c r="B109" t="s">
        <v>225</v>
      </c>
      <c r="D109" t="str">
        <f t="array" ref="D109">IF(D108="","",INDEX(A:A,SMALL(IF(ISERROR(FIND($D$1,$A$1:$A$305)),65535,ROW($A$1:$A$305)),ROW()-1))&amp;"")</f>
        <v/>
      </c>
    </row>
    <row r="110" spans="1:4">
      <c r="A110" t="s">
        <v>226</v>
      </c>
      <c r="B110" t="s">
        <v>227</v>
      </c>
      <c r="D110" t="str">
        <f t="array" ref="D110">IF(D109="","",INDEX(A:A,SMALL(IF(ISERROR(FIND($D$1,$A$1:$A$305)),65535,ROW($A$1:$A$305)),ROW()-1))&amp;"")</f>
        <v/>
      </c>
    </row>
    <row r="111" spans="1:4">
      <c r="A111" t="s">
        <v>228</v>
      </c>
      <c r="B111" t="s">
        <v>229</v>
      </c>
      <c r="D111" t="str">
        <f t="array" ref="D111">IF(D110="","",INDEX(A:A,SMALL(IF(ISERROR(FIND($D$1,$A$1:$A$305)),65535,ROW($A$1:$A$305)),ROW()-1))&amp;"")</f>
        <v/>
      </c>
    </row>
    <row r="112" spans="1:4">
      <c r="A112" t="s">
        <v>230</v>
      </c>
      <c r="B112" t="s">
        <v>231</v>
      </c>
      <c r="D112" t="str">
        <f t="array" ref="D112">IF(D111="","",INDEX(A:A,SMALL(IF(ISERROR(FIND($D$1,$A$1:$A$305)),65535,ROW($A$1:$A$305)),ROW()-1))&amp;"")</f>
        <v/>
      </c>
    </row>
    <row r="113" spans="1:4">
      <c r="A113" t="s">
        <v>232</v>
      </c>
      <c r="B113" t="s">
        <v>233</v>
      </c>
      <c r="D113" t="str">
        <f t="array" ref="D113">IF(D112="","",INDEX(A:A,SMALL(IF(ISERROR(FIND($D$1,$A$1:$A$305)),65535,ROW($A$1:$A$305)),ROW()-1))&amp;"")</f>
        <v/>
      </c>
    </row>
    <row r="114" spans="1:4">
      <c r="A114" t="s">
        <v>234</v>
      </c>
      <c r="B114" t="s">
        <v>235</v>
      </c>
      <c r="D114" t="str">
        <f t="array" ref="D114">IF(D113="","",INDEX(A:A,SMALL(IF(ISERROR(FIND($D$1,$A$1:$A$305)),65535,ROW($A$1:$A$305)),ROW()-1))&amp;"")</f>
        <v/>
      </c>
    </row>
    <row r="115" spans="1:4">
      <c r="A115" t="s">
        <v>236</v>
      </c>
      <c r="B115" t="s">
        <v>237</v>
      </c>
      <c r="D115" t="str">
        <f t="array" ref="D115">IF(D114="","",INDEX(A:A,SMALL(IF(ISERROR(FIND($D$1,$A$1:$A$305)),65535,ROW($A$1:$A$305)),ROW()-1))&amp;"")</f>
        <v/>
      </c>
    </row>
    <row r="116" spans="1:4">
      <c r="A116" t="s">
        <v>238</v>
      </c>
      <c r="B116" t="s">
        <v>239</v>
      </c>
      <c r="D116" t="str">
        <f t="array" ref="D116">IF(D115="","",INDEX(A:A,SMALL(IF(ISERROR(FIND($D$1,$A$1:$A$305)),65535,ROW($A$1:$A$305)),ROW()-1))&amp;"")</f>
        <v/>
      </c>
    </row>
    <row r="117" spans="1:4">
      <c r="A117" t="s">
        <v>240</v>
      </c>
      <c r="B117" t="s">
        <v>241</v>
      </c>
      <c r="D117" t="str">
        <f t="array" ref="D117">IF(D116="","",INDEX(A:A,SMALL(IF(ISERROR(FIND($D$1,$A$1:$A$305)),65535,ROW($A$1:$A$305)),ROW()-1))&amp;"")</f>
        <v/>
      </c>
    </row>
    <row r="118" spans="1:4">
      <c r="A118" t="s">
        <v>242</v>
      </c>
      <c r="B118" t="s">
        <v>243</v>
      </c>
      <c r="D118" t="str">
        <f t="array" ref="D118">IF(D117="","",INDEX(A:A,SMALL(IF(ISERROR(FIND($D$1,$A$1:$A$305)),65535,ROW($A$1:$A$305)),ROW()-1))&amp;"")</f>
        <v/>
      </c>
    </row>
    <row r="119" spans="1:4">
      <c r="A119" t="s">
        <v>244</v>
      </c>
      <c r="B119" t="s">
        <v>245</v>
      </c>
      <c r="D119" t="str">
        <f t="array" ref="D119">IF(D118="","",INDEX(A:A,SMALL(IF(ISERROR(FIND($D$1,$A$1:$A$305)),65535,ROW($A$1:$A$305)),ROW()-1))&amp;"")</f>
        <v/>
      </c>
    </row>
    <row r="120" spans="1:4">
      <c r="A120" t="s">
        <v>246</v>
      </c>
      <c r="B120" t="s">
        <v>247</v>
      </c>
      <c r="D120" t="str">
        <f t="array" ref="D120">IF(D119="","",INDEX(A:A,SMALL(IF(ISERROR(FIND($D$1,$A$1:$A$305)),65535,ROW($A$1:$A$305)),ROW()-1))&amp;"")</f>
        <v/>
      </c>
    </row>
    <row r="121" spans="1:4">
      <c r="A121" t="s">
        <v>248</v>
      </c>
      <c r="B121" t="s">
        <v>249</v>
      </c>
      <c r="D121" t="str">
        <f t="array" ref="D121">IF(D120="","",INDEX(A:A,SMALL(IF(ISERROR(FIND($D$1,$A$1:$A$305)),65535,ROW($A$1:$A$305)),ROW()-1))&amp;"")</f>
        <v/>
      </c>
    </row>
    <row r="122" spans="1:4">
      <c r="A122" t="s">
        <v>250</v>
      </c>
      <c r="B122" t="s">
        <v>251</v>
      </c>
      <c r="D122" t="str">
        <f t="array" ref="D122">IF(D121="","",INDEX(A:A,SMALL(IF(ISERROR(FIND($D$1,$A$1:$A$305)),65535,ROW($A$1:$A$305)),ROW()-1))&amp;"")</f>
        <v/>
      </c>
    </row>
    <row r="123" spans="1:4">
      <c r="A123" t="s">
        <v>252</v>
      </c>
      <c r="B123" t="s">
        <v>253</v>
      </c>
      <c r="D123" t="str">
        <f t="array" ref="D123">IF(D122="","",INDEX(A:A,SMALL(IF(ISERROR(FIND($D$1,$A$1:$A$305)),65535,ROW($A$1:$A$305)),ROW()-1))&amp;"")</f>
        <v/>
      </c>
    </row>
    <row r="124" spans="1:4">
      <c r="A124" t="s">
        <v>254</v>
      </c>
      <c r="B124" t="s">
        <v>255</v>
      </c>
      <c r="D124" t="str">
        <f t="array" ref="D124">IF(D123="","",INDEX(A:A,SMALL(IF(ISERROR(FIND($D$1,$A$1:$A$305)),65535,ROW($A$1:$A$305)),ROW()-1))&amp;"")</f>
        <v/>
      </c>
    </row>
    <row r="125" spans="1:4">
      <c r="A125" t="s">
        <v>256</v>
      </c>
      <c r="B125" t="s">
        <v>257</v>
      </c>
      <c r="D125" t="str">
        <f t="array" ref="D125">IF(D124="","",INDEX(A:A,SMALL(IF(ISERROR(FIND($D$1,$A$1:$A$305)),65535,ROW($A$1:$A$305)),ROW()-1))&amp;"")</f>
        <v/>
      </c>
    </row>
    <row r="126" spans="1:4">
      <c r="A126" t="s">
        <v>258</v>
      </c>
      <c r="B126" t="s">
        <v>259</v>
      </c>
      <c r="D126" t="str">
        <f t="array" ref="D126">IF(D125="","",INDEX(A:A,SMALL(IF(ISERROR(FIND($D$1,$A$1:$A$305)),65535,ROW($A$1:$A$305)),ROW()-1))&amp;"")</f>
        <v/>
      </c>
    </row>
    <row r="127" spans="1:2">
      <c r="A127" t="s">
        <v>260</v>
      </c>
      <c r="B127" t="s">
        <v>261</v>
      </c>
    </row>
    <row r="128" spans="1:4">
      <c r="A128" t="s">
        <v>262</v>
      </c>
      <c r="B128" t="s">
        <v>263</v>
      </c>
      <c r="D128" t="str">
        <f t="array" ref="D128">IF(D126="","",INDEX(A:A,SMALL(IF(ISERROR(FIND($D$1,$A$1:$A$305)),65535,ROW($A$1:$A$305)),ROW()-1))&amp;"")</f>
        <v/>
      </c>
    </row>
    <row r="129" spans="1:4">
      <c r="A129" t="s">
        <v>264</v>
      </c>
      <c r="B129" t="s">
        <v>265</v>
      </c>
      <c r="D129" t="str">
        <f t="array" ref="D129">IF(D128="","",INDEX(A:A,SMALL(IF(ISERROR(FIND($D$1,$A$1:$A$305)),65535,ROW($A$1:$A$305)),ROW()-1))&amp;"")</f>
        <v/>
      </c>
    </row>
    <row r="130" spans="1:4">
      <c r="A130" t="s">
        <v>266</v>
      </c>
      <c r="B130" t="s">
        <v>267</v>
      </c>
      <c r="D130" t="str">
        <f t="array" ref="D130">IF(D129="","",INDEX(A:A,SMALL(IF(ISERROR(FIND($D$1,$A$1:$A$305)),65535,ROW($A$1:$A$305)),ROW()-1))&amp;"")</f>
        <v/>
      </c>
    </row>
    <row r="131" spans="1:4">
      <c r="A131" t="s">
        <v>268</v>
      </c>
      <c r="B131" t="s">
        <v>269</v>
      </c>
      <c r="D131" t="str">
        <f t="array" ref="D131">IF(D130="","",INDEX(A:A,SMALL(IF(ISERROR(FIND($D$1,$A$1:$A$305)),65535,ROW($A$1:$A$305)),ROW()-1))&amp;"")</f>
        <v/>
      </c>
    </row>
    <row r="132" spans="1:4">
      <c r="A132" t="s">
        <v>270</v>
      </c>
      <c r="B132" t="s">
        <v>271</v>
      </c>
      <c r="D132" t="str">
        <f t="array" ref="D132">IF(D131="","",INDEX(A:A,SMALL(IF(ISERROR(FIND($D$1,$A$1:$A$305)),65535,ROW($A$1:$A$305)),ROW()-1))&amp;"")</f>
        <v/>
      </c>
    </row>
    <row r="133" spans="1:4">
      <c r="A133" t="s">
        <v>272</v>
      </c>
      <c r="B133" t="s">
        <v>273</v>
      </c>
      <c r="D133" t="str">
        <f t="array" ref="D133">IF(D132="","",INDEX(A:A,SMALL(IF(ISERROR(FIND($D$1,$A$1:$A$305)),65535,ROW($A$1:$A$305)),ROW()-1))&amp;"")</f>
        <v/>
      </c>
    </row>
    <row r="134" spans="1:4">
      <c r="A134" t="s">
        <v>274</v>
      </c>
      <c r="B134" t="s">
        <v>275</v>
      </c>
      <c r="D134" t="str">
        <f t="array" ref="D134">IF(D133="","",INDEX(A:A,SMALL(IF(ISERROR(FIND($D$1,$A$1:$A$305)),65535,ROW($A$1:$A$305)),ROW()-1))&amp;"")</f>
        <v/>
      </c>
    </row>
    <row r="135" spans="1:4">
      <c r="A135" t="s">
        <v>276</v>
      </c>
      <c r="B135" t="s">
        <v>277</v>
      </c>
      <c r="D135" t="str">
        <f t="array" ref="D135">IF(D134="","",INDEX(A:A,SMALL(IF(ISERROR(FIND($D$1,$A$1:$A$305)),65535,ROW($A$1:$A$305)),ROW()-1))&amp;"")</f>
        <v/>
      </c>
    </row>
    <row r="136" spans="1:4">
      <c r="A136" t="s">
        <v>278</v>
      </c>
      <c r="B136" t="s">
        <v>279</v>
      </c>
      <c r="D136" t="str">
        <f t="array" ref="D136">IF(D135="","",INDEX(A:A,SMALL(IF(ISERROR(FIND($D$1,$A$1:$A$305)),65535,ROW($A$1:$A$305)),ROW()-1))&amp;"")</f>
        <v/>
      </c>
    </row>
    <row r="137" spans="1:4">
      <c r="A137" t="s">
        <v>280</v>
      </c>
      <c r="B137" t="s">
        <v>281</v>
      </c>
      <c r="D137" t="str">
        <f t="array" ref="D137">IF(D136="","",INDEX(A:A,SMALL(IF(ISERROR(FIND($D$1,$A$1:$A$305)),65535,ROW($A$1:$A$305)),ROW()-1))&amp;"")</f>
        <v/>
      </c>
    </row>
    <row r="138" spans="1:4">
      <c r="A138" t="s">
        <v>282</v>
      </c>
      <c r="B138" t="s">
        <v>283</v>
      </c>
      <c r="D138" t="str">
        <f t="array" ref="D138">IF(D137="","",INDEX(A:A,SMALL(IF(ISERROR(FIND($D$1,$A$1:$A$305)),65535,ROW($A$1:$A$305)),ROW()-1))&amp;"")</f>
        <v/>
      </c>
    </row>
    <row r="139" spans="1:4">
      <c r="A139" t="s">
        <v>284</v>
      </c>
      <c r="B139" t="s">
        <v>285</v>
      </c>
      <c r="D139" t="str">
        <f t="array" ref="D139">IF(D138="","",INDEX(A:A,SMALL(IF(ISERROR(FIND($D$1,$A$1:$A$305)),65535,ROW($A$1:$A$305)),ROW()-1))&amp;"")</f>
        <v/>
      </c>
    </row>
    <row r="140" spans="1:4">
      <c r="A140" t="s">
        <v>286</v>
      </c>
      <c r="B140" t="s">
        <v>287</v>
      </c>
      <c r="D140" t="str">
        <f t="array" ref="D140">IF(D139="","",INDEX(A:A,SMALL(IF(ISERROR(FIND($D$1,$A$1:$A$305)),65535,ROW($A$1:$A$305)),ROW()-1))&amp;"")</f>
        <v/>
      </c>
    </row>
    <row r="141" spans="1:4">
      <c r="A141" t="s">
        <v>288</v>
      </c>
      <c r="B141" t="s">
        <v>289</v>
      </c>
      <c r="D141" t="str">
        <f t="array" ref="D141">IF(D140="","",INDEX(A:A,SMALL(IF(ISERROR(FIND($D$1,$A$1:$A$305)),65535,ROW($A$1:$A$305)),ROW()-1))&amp;"")</f>
        <v/>
      </c>
    </row>
    <row r="142" spans="1:4">
      <c r="A142" t="s">
        <v>290</v>
      </c>
      <c r="B142" t="s">
        <v>291</v>
      </c>
      <c r="D142" t="str">
        <f t="array" ref="D142">IF(D141="","",INDEX(A:A,SMALL(IF(ISERROR(FIND($D$1,$A$1:$A$305)),65535,ROW($A$1:$A$305)),ROW()-1))&amp;"")</f>
        <v/>
      </c>
    </row>
    <row r="143" spans="1:4">
      <c r="A143" t="s">
        <v>292</v>
      </c>
      <c r="B143" t="s">
        <v>293</v>
      </c>
      <c r="D143" t="str">
        <f t="array" ref="D143">IF(D142="","",INDEX(A:A,SMALL(IF(ISERROR(FIND($D$1,$A$1:$A$305)),65535,ROW($A$1:$A$305)),ROW()-1))&amp;"")</f>
        <v/>
      </c>
    </row>
    <row r="144" spans="1:4">
      <c r="A144" t="s">
        <v>294</v>
      </c>
      <c r="B144" t="s">
        <v>295</v>
      </c>
      <c r="D144" t="str">
        <f t="array" ref="D144">IF(D143="","",INDEX(A:A,SMALL(IF(ISERROR(FIND($D$1,$A$1:$A$305)),65535,ROW($A$1:$A$305)),ROW()-1))&amp;"")</f>
        <v/>
      </c>
    </row>
    <row r="145" spans="1:4">
      <c r="A145" t="s">
        <v>296</v>
      </c>
      <c r="B145" t="s">
        <v>297</v>
      </c>
      <c r="D145" t="str">
        <f t="array" ref="D145">IF(D144="","",INDEX(A:A,SMALL(IF(ISERROR(FIND($D$1,$A$1:$A$305)),65535,ROW($A$1:$A$305)),ROW()-1))&amp;"")</f>
        <v/>
      </c>
    </row>
    <row r="146" spans="1:4">
      <c r="A146" t="s">
        <v>298</v>
      </c>
      <c r="B146" t="s">
        <v>299</v>
      </c>
      <c r="D146" t="str">
        <f t="array" ref="D146">IF(D145="","",INDEX(A:A,SMALL(IF(ISERROR(FIND($D$1,$A$1:$A$305)),65535,ROW($A$1:$A$305)),ROW()-1))&amp;"")</f>
        <v/>
      </c>
    </row>
    <row r="147" spans="1:4">
      <c r="A147" t="s">
        <v>300</v>
      </c>
      <c r="B147" t="s">
        <v>301</v>
      </c>
      <c r="D147" t="str">
        <f t="array" ref="D147">IF(D146="","",INDEX(A:A,SMALL(IF(ISERROR(FIND($D$1,$A$1:$A$305)),65535,ROW($A$1:$A$305)),ROW()-1))&amp;"")</f>
        <v/>
      </c>
    </row>
    <row r="148" spans="1:4">
      <c r="A148" t="s">
        <v>302</v>
      </c>
      <c r="B148" t="s">
        <v>303</v>
      </c>
      <c r="D148" t="str">
        <f t="array" ref="D148">IF(D147="","",INDEX(A:A,SMALL(IF(ISERROR(FIND($D$1,$A$1:$A$305)),65535,ROW($A$1:$A$305)),ROW()-1))&amp;"")</f>
        <v/>
      </c>
    </row>
    <row r="149" spans="1:4">
      <c r="A149" t="s">
        <v>304</v>
      </c>
      <c r="B149" t="s">
        <v>305</v>
      </c>
      <c r="D149" t="str">
        <f t="array" ref="D149">IF(D148="","",INDEX(A:A,SMALL(IF(ISERROR(FIND($D$1,$A$1:$A$305)),65535,ROW($A$1:$A$305)),ROW()-1))&amp;"")</f>
        <v/>
      </c>
    </row>
    <row r="150" spans="1:4">
      <c r="A150" t="s">
        <v>306</v>
      </c>
      <c r="B150" t="s">
        <v>307</v>
      </c>
      <c r="D150" t="str">
        <f t="array" ref="D150">IF(D149="","",INDEX(A:A,SMALL(IF(ISERROR(FIND($D$1,$A$1:$A$305)),65535,ROW($A$1:$A$305)),ROW()-1))&amp;"")</f>
        <v/>
      </c>
    </row>
    <row r="151" spans="1:4">
      <c r="A151" t="s">
        <v>308</v>
      </c>
      <c r="B151" t="s">
        <v>309</v>
      </c>
      <c r="D151" t="str">
        <f t="array" ref="D151">IF(D150="","",INDEX(A:A,SMALL(IF(ISERROR(FIND($D$1,$A$1:$A$305)),65535,ROW($A$1:$A$305)),ROW()-1))&amp;"")</f>
        <v/>
      </c>
    </row>
    <row r="152" spans="1:4">
      <c r="A152" t="s">
        <v>310</v>
      </c>
      <c r="B152" t="s">
        <v>311</v>
      </c>
      <c r="D152" t="str">
        <f t="array" ref="D152">IF(D151="","",INDEX(A:A,SMALL(IF(ISERROR(FIND($D$1,$A$1:$A$305)),65535,ROW($A$1:$A$305)),ROW()-1))&amp;"")</f>
        <v/>
      </c>
    </row>
    <row r="153" spans="1:4">
      <c r="A153" t="s">
        <v>312</v>
      </c>
      <c r="B153" t="s">
        <v>313</v>
      </c>
      <c r="D153" t="str">
        <f t="array" ref="D153">IF(D152="","",INDEX(A:A,SMALL(IF(ISERROR(FIND($D$1,$A$1:$A$305)),65535,ROW($A$1:$A$305)),ROW()-1))&amp;"")</f>
        <v/>
      </c>
    </row>
    <row r="154" spans="1:4">
      <c r="A154" t="s">
        <v>314</v>
      </c>
      <c r="B154" t="s">
        <v>315</v>
      </c>
      <c r="D154" t="str">
        <f t="array" ref="D154">IF(D153="","",INDEX(A:A,SMALL(IF(ISERROR(FIND($D$1,$A$1:$A$305)),65535,ROW($A$1:$A$305)),ROW()-1))&amp;"")</f>
        <v/>
      </c>
    </row>
    <row r="155" spans="1:4">
      <c r="A155" t="s">
        <v>316</v>
      </c>
      <c r="B155" t="s">
        <v>317</v>
      </c>
      <c r="D155" t="str">
        <f t="array" ref="D155">IF(D154="","",INDEX(A:A,SMALL(IF(ISERROR(FIND($D$1,$A$1:$A$305)),65535,ROW($A$1:$A$305)),ROW()-1))&amp;"")</f>
        <v/>
      </c>
    </row>
    <row r="156" spans="1:4">
      <c r="A156" t="s">
        <v>318</v>
      </c>
      <c r="B156" t="s">
        <v>319</v>
      </c>
      <c r="D156" t="str">
        <f t="array" ref="D156">IF(D155="","",INDEX(A:A,SMALL(IF(ISERROR(FIND($D$1,$A$1:$A$305)),65535,ROW($A$1:$A$305)),ROW()-1))&amp;"")</f>
        <v/>
      </c>
    </row>
    <row r="157" spans="1:4">
      <c r="A157" t="s">
        <v>320</v>
      </c>
      <c r="B157" t="s">
        <v>321</v>
      </c>
      <c r="D157" t="str">
        <f t="array" ref="D157">IF(D156="","",INDEX(A:A,SMALL(IF(ISERROR(FIND($D$1,$A$1:$A$305)),65535,ROW($A$1:$A$305)),ROW()-1))&amp;"")</f>
        <v/>
      </c>
    </row>
    <row r="158" spans="1:4">
      <c r="A158" t="s">
        <v>322</v>
      </c>
      <c r="B158" t="s">
        <v>323</v>
      </c>
      <c r="D158" t="str">
        <f t="array" ref="D158">IF(D157="","",INDEX(A:A,SMALL(IF(ISERROR(FIND($D$1,$A$1:$A$305)),65535,ROW($A$1:$A$305)),ROW()-1))&amp;"")</f>
        <v/>
      </c>
    </row>
    <row r="159" spans="1:4">
      <c r="A159" t="s">
        <v>324</v>
      </c>
      <c r="B159" t="s">
        <v>325</v>
      </c>
      <c r="D159" t="str">
        <f t="array" ref="D159">IF(D158="","",INDEX(A:A,SMALL(IF(ISERROR(FIND($D$1,$A$1:$A$305)),65535,ROW($A$1:$A$305)),ROW()-1))&amp;"")</f>
        <v/>
      </c>
    </row>
    <row r="160" spans="1:4">
      <c r="A160" t="s">
        <v>326</v>
      </c>
      <c r="B160" t="s">
        <v>327</v>
      </c>
      <c r="D160" t="str">
        <f t="array" ref="D160">IF(D159="","",INDEX(A:A,SMALL(IF(ISERROR(FIND($D$1,$A$1:$A$305)),65535,ROW($A$1:$A$305)),ROW()-1))&amp;"")</f>
        <v/>
      </c>
    </row>
    <row r="161" spans="1:4">
      <c r="A161" t="s">
        <v>328</v>
      </c>
      <c r="B161" t="s">
        <v>329</v>
      </c>
      <c r="D161" t="str">
        <f t="array" ref="D161">IF(D160="","",INDEX(A:A,SMALL(IF(ISERROR(FIND($D$1,$A$1:$A$305)),65535,ROW($A$1:$A$305)),ROW()-1))&amp;"")</f>
        <v/>
      </c>
    </row>
    <row r="162" spans="1:4">
      <c r="A162" t="s">
        <v>330</v>
      </c>
      <c r="B162" t="s">
        <v>331</v>
      </c>
      <c r="D162" t="str">
        <f t="array" ref="D162">IF(D161="","",INDEX(A:A,SMALL(IF(ISERROR(FIND($D$1,$A$1:$A$305)),65535,ROW($A$1:$A$305)),ROW()-1))&amp;"")</f>
        <v/>
      </c>
    </row>
    <row r="163" spans="1:2">
      <c r="A163" t="s">
        <v>332</v>
      </c>
      <c r="B163" t="s">
        <v>333</v>
      </c>
    </row>
    <row r="164" spans="1:2">
      <c r="A164" t="s">
        <v>334</v>
      </c>
      <c r="B164" t="s">
        <v>335</v>
      </c>
    </row>
    <row r="165" spans="1:2">
      <c r="A165" t="s">
        <v>336</v>
      </c>
      <c r="B165" t="s">
        <v>337</v>
      </c>
    </row>
    <row r="166" spans="1:2">
      <c r="A166" t="s">
        <v>338</v>
      </c>
      <c r="B166" t="s">
        <v>339</v>
      </c>
    </row>
    <row r="167" spans="1:2">
      <c r="A167" t="s">
        <v>340</v>
      </c>
      <c r="B167" t="s">
        <v>341</v>
      </c>
    </row>
    <row r="168" spans="1:2">
      <c r="A168" t="s">
        <v>342</v>
      </c>
      <c r="B168" t="s">
        <v>343</v>
      </c>
    </row>
    <row r="169" spans="1:2">
      <c r="A169" t="s">
        <v>344</v>
      </c>
      <c r="B169" t="s">
        <v>345</v>
      </c>
    </row>
    <row r="170" spans="1:2">
      <c r="A170" t="s">
        <v>346</v>
      </c>
      <c r="B170" t="s">
        <v>347</v>
      </c>
    </row>
    <row r="171" spans="1:2">
      <c r="A171" t="s">
        <v>348</v>
      </c>
      <c r="B171" t="s">
        <v>349</v>
      </c>
    </row>
    <row r="172" spans="1:2">
      <c r="A172" t="s">
        <v>350</v>
      </c>
      <c r="B172" t="s">
        <v>351</v>
      </c>
    </row>
    <row r="173" spans="1:2">
      <c r="A173" t="s">
        <v>352</v>
      </c>
      <c r="B173" t="s">
        <v>353</v>
      </c>
    </row>
    <row r="174" spans="1:2">
      <c r="A174" t="s">
        <v>354</v>
      </c>
      <c r="B174" t="s">
        <v>355</v>
      </c>
    </row>
    <row r="175" spans="1:2">
      <c r="A175" t="s">
        <v>356</v>
      </c>
      <c r="B175" t="s">
        <v>357</v>
      </c>
    </row>
    <row r="176" spans="1:2">
      <c r="A176" t="s">
        <v>358</v>
      </c>
      <c r="B176" t="s">
        <v>359</v>
      </c>
    </row>
    <row r="177" spans="1:2">
      <c r="A177" t="s">
        <v>360</v>
      </c>
      <c r="B177" t="s">
        <v>361</v>
      </c>
    </row>
    <row r="178" spans="1:2">
      <c r="A178" t="s">
        <v>362</v>
      </c>
      <c r="B178" t="s">
        <v>363</v>
      </c>
    </row>
    <row r="179" spans="1:2">
      <c r="A179" t="s">
        <v>364</v>
      </c>
      <c r="B179" t="s">
        <v>365</v>
      </c>
    </row>
    <row r="180" spans="1:2">
      <c r="A180" t="s">
        <v>23</v>
      </c>
      <c r="B180" t="s">
        <v>137</v>
      </c>
    </row>
    <row r="181" spans="1:2">
      <c r="A181" t="s">
        <v>366</v>
      </c>
      <c r="B181" t="s">
        <v>367</v>
      </c>
    </row>
    <row r="182" spans="1:2">
      <c r="A182" t="s">
        <v>368</v>
      </c>
      <c r="B182" t="s">
        <v>369</v>
      </c>
    </row>
    <row r="183" spans="1:2">
      <c r="A183" t="s">
        <v>370</v>
      </c>
      <c r="B183" t="s">
        <v>371</v>
      </c>
    </row>
    <row r="184" spans="1:2">
      <c r="A184" t="s">
        <v>372</v>
      </c>
      <c r="B184" t="s">
        <v>373</v>
      </c>
    </row>
    <row r="185" spans="1:2">
      <c r="A185" t="s">
        <v>374</v>
      </c>
      <c r="B185" t="s">
        <v>375</v>
      </c>
    </row>
    <row r="186" spans="1:2">
      <c r="A186" t="s">
        <v>376</v>
      </c>
      <c r="B186" t="s">
        <v>377</v>
      </c>
    </row>
    <row r="187" spans="1:2">
      <c r="A187" t="s">
        <v>378</v>
      </c>
      <c r="B187" t="s">
        <v>379</v>
      </c>
    </row>
    <row r="188" spans="1:2">
      <c r="A188" t="s">
        <v>380</v>
      </c>
      <c r="B188" t="s">
        <v>381</v>
      </c>
    </row>
    <row r="189" spans="1:2">
      <c r="A189" t="s">
        <v>382</v>
      </c>
      <c r="B189" t="s">
        <v>383</v>
      </c>
    </row>
    <row r="190" spans="1:2">
      <c r="A190" t="s">
        <v>384</v>
      </c>
      <c r="B190" t="s">
        <v>385</v>
      </c>
    </row>
    <row r="191" spans="1:2">
      <c r="A191" t="s">
        <v>386</v>
      </c>
      <c r="B191" t="s">
        <v>387</v>
      </c>
    </row>
    <row r="192" spans="1:2">
      <c r="A192" t="s">
        <v>388</v>
      </c>
      <c r="B192" t="s">
        <v>389</v>
      </c>
    </row>
    <row r="193" spans="1:2">
      <c r="A193" t="s">
        <v>390</v>
      </c>
      <c r="B193" t="s">
        <v>391</v>
      </c>
    </row>
    <row r="194" spans="1:2">
      <c r="A194" t="s">
        <v>392</v>
      </c>
      <c r="B194" t="s">
        <v>393</v>
      </c>
    </row>
    <row r="195" spans="1:2">
      <c r="A195" t="s">
        <v>394</v>
      </c>
      <c r="B195" t="s">
        <v>395</v>
      </c>
    </row>
    <row r="196" spans="1:2">
      <c r="A196" t="s">
        <v>396</v>
      </c>
      <c r="B196" t="s">
        <v>397</v>
      </c>
    </row>
    <row r="197" spans="1:2">
      <c r="A197" t="s">
        <v>398</v>
      </c>
      <c r="B197" t="s">
        <v>399</v>
      </c>
    </row>
    <row r="198" spans="1:2">
      <c r="A198" t="s">
        <v>2</v>
      </c>
      <c r="B198" t="s">
        <v>137</v>
      </c>
    </row>
    <row r="199" spans="1:2">
      <c r="A199" t="s">
        <v>400</v>
      </c>
      <c r="B199" t="s">
        <v>401</v>
      </c>
    </row>
    <row r="200" spans="1:2">
      <c r="A200" t="s">
        <v>402</v>
      </c>
      <c r="B200" t="s">
        <v>403</v>
      </c>
    </row>
    <row r="201" spans="1:2">
      <c r="A201" t="s">
        <v>404</v>
      </c>
      <c r="B201" t="s">
        <v>405</v>
      </c>
    </row>
    <row r="202" spans="1:2">
      <c r="A202" t="s">
        <v>406</v>
      </c>
      <c r="B202" t="s">
        <v>407</v>
      </c>
    </row>
    <row r="203" spans="1:2">
      <c r="A203" t="s">
        <v>408</v>
      </c>
      <c r="B203" t="s">
        <v>409</v>
      </c>
    </row>
    <row r="204" spans="1:2">
      <c r="A204" t="s">
        <v>410</v>
      </c>
      <c r="B204" t="s">
        <v>411</v>
      </c>
    </row>
    <row r="205" spans="1:2">
      <c r="A205" t="s">
        <v>412</v>
      </c>
      <c r="B205" t="s">
        <v>413</v>
      </c>
    </row>
    <row r="206" spans="1:2">
      <c r="A206" t="s">
        <v>414</v>
      </c>
      <c r="B206" t="s">
        <v>415</v>
      </c>
    </row>
    <row r="207" spans="1:2">
      <c r="A207" t="s">
        <v>416</v>
      </c>
      <c r="B207" t="s">
        <v>417</v>
      </c>
    </row>
    <row r="208" spans="1:2">
      <c r="A208" t="s">
        <v>418</v>
      </c>
      <c r="B208" t="s">
        <v>419</v>
      </c>
    </row>
    <row r="209" spans="1:2">
      <c r="A209" t="s">
        <v>420</v>
      </c>
      <c r="B209" t="s">
        <v>421</v>
      </c>
    </row>
    <row r="210" spans="1:2">
      <c r="A210" t="s">
        <v>422</v>
      </c>
      <c r="B210" t="s">
        <v>423</v>
      </c>
    </row>
    <row r="211" spans="1:2">
      <c r="A211" t="s">
        <v>424</v>
      </c>
      <c r="B211" t="s">
        <v>425</v>
      </c>
    </row>
    <row r="212" spans="1:2">
      <c r="A212" t="s">
        <v>426</v>
      </c>
      <c r="B212" t="s">
        <v>427</v>
      </c>
    </row>
    <row r="213" spans="1:2">
      <c r="A213" t="s">
        <v>428</v>
      </c>
      <c r="B213" t="s">
        <v>429</v>
      </c>
    </row>
    <row r="214" spans="1:2">
      <c r="A214" t="s">
        <v>430</v>
      </c>
      <c r="B214" t="s">
        <v>431</v>
      </c>
    </row>
    <row r="215" spans="1:2">
      <c r="A215" t="s">
        <v>28</v>
      </c>
      <c r="B215" t="s">
        <v>137</v>
      </c>
    </row>
    <row r="216" spans="1:2">
      <c r="A216" t="s">
        <v>432</v>
      </c>
      <c r="B216" t="s">
        <v>433</v>
      </c>
    </row>
    <row r="217" spans="1:2">
      <c r="A217" t="s">
        <v>434</v>
      </c>
      <c r="B217" t="s">
        <v>435</v>
      </c>
    </row>
    <row r="218" spans="1:2">
      <c r="A218" t="s">
        <v>436</v>
      </c>
      <c r="B218" t="s">
        <v>437</v>
      </c>
    </row>
    <row r="219" spans="1:2">
      <c r="A219" t="s">
        <v>438</v>
      </c>
      <c r="B219" t="s">
        <v>439</v>
      </c>
    </row>
    <row r="220" spans="1:2">
      <c r="A220" t="s">
        <v>440</v>
      </c>
      <c r="B220" t="s">
        <v>441</v>
      </c>
    </row>
    <row r="221" spans="1:2">
      <c r="A221" t="s">
        <v>442</v>
      </c>
      <c r="B221" t="s">
        <v>443</v>
      </c>
    </row>
    <row r="222" spans="1:2">
      <c r="A222" t="s">
        <v>444</v>
      </c>
      <c r="B222" t="s">
        <v>445</v>
      </c>
    </row>
    <row r="223" spans="1:2">
      <c r="A223" t="s">
        <v>446</v>
      </c>
      <c r="B223" t="s">
        <v>447</v>
      </c>
    </row>
    <row r="224" spans="1:2">
      <c r="A224" t="s">
        <v>448</v>
      </c>
      <c r="B224" t="s">
        <v>449</v>
      </c>
    </row>
    <row r="225" spans="1:2">
      <c r="A225" t="s">
        <v>450</v>
      </c>
      <c r="B225" t="s">
        <v>449</v>
      </c>
    </row>
    <row r="226" spans="1:2">
      <c r="A226" t="s">
        <v>451</v>
      </c>
      <c r="B226" t="s">
        <v>452</v>
      </c>
    </row>
    <row r="227" spans="1:2">
      <c r="A227" t="s">
        <v>453</v>
      </c>
      <c r="B227" t="s">
        <v>454</v>
      </c>
    </row>
    <row r="228" spans="1:2">
      <c r="A228" t="s">
        <v>455</v>
      </c>
      <c r="B228" t="s">
        <v>456</v>
      </c>
    </row>
    <row r="229" spans="1:2">
      <c r="A229" t="s">
        <v>457</v>
      </c>
      <c r="B229" t="s">
        <v>458</v>
      </c>
    </row>
    <row r="230" spans="1:2">
      <c r="A230" t="s">
        <v>459</v>
      </c>
      <c r="B230" t="s">
        <v>458</v>
      </c>
    </row>
    <row r="231" spans="1:2">
      <c r="A231" t="s">
        <v>460</v>
      </c>
      <c r="B231" t="s">
        <v>461</v>
      </c>
    </row>
    <row r="232" spans="1:2">
      <c r="A232" t="s">
        <v>462</v>
      </c>
      <c r="B232" t="s">
        <v>463</v>
      </c>
    </row>
    <row r="233" spans="1:2">
      <c r="A233" t="s">
        <v>464</v>
      </c>
      <c r="B233" t="s">
        <v>463</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472</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483</v>
      </c>
    </row>
    <row r="245" spans="1:2">
      <c r="A245" t="s">
        <v>485</v>
      </c>
      <c r="B245" t="s">
        <v>486</v>
      </c>
    </row>
    <row r="246" spans="1:2">
      <c r="A246" t="s">
        <v>487</v>
      </c>
      <c r="B246" t="s">
        <v>488</v>
      </c>
    </row>
    <row r="247" spans="1:2">
      <c r="A247" t="s">
        <v>489</v>
      </c>
      <c r="B247" t="s">
        <v>490</v>
      </c>
    </row>
    <row r="248" spans="1:2">
      <c r="A248" t="s">
        <v>491</v>
      </c>
      <c r="B248" t="s">
        <v>492</v>
      </c>
    </row>
    <row r="249" spans="1:2">
      <c r="A249" t="s">
        <v>493</v>
      </c>
      <c r="B249" t="s">
        <v>494</v>
      </c>
    </row>
    <row r="250" spans="1:2">
      <c r="A250" t="s">
        <v>495</v>
      </c>
      <c r="B250" t="s">
        <v>496</v>
      </c>
    </row>
    <row r="251" spans="1:2">
      <c r="A251" t="s">
        <v>497</v>
      </c>
      <c r="B251" t="s">
        <v>498</v>
      </c>
    </row>
    <row r="252" spans="1:2">
      <c r="A252" t="s">
        <v>499</v>
      </c>
      <c r="B252" t="s">
        <v>500</v>
      </c>
    </row>
    <row r="253" spans="1:2">
      <c r="A253" t="s">
        <v>501</v>
      </c>
      <c r="B253" t="s">
        <v>502</v>
      </c>
    </row>
    <row r="254" spans="1:2">
      <c r="A254" t="s">
        <v>31</v>
      </c>
      <c r="B254" t="s">
        <v>137</v>
      </c>
    </row>
    <row r="255" spans="1:2">
      <c r="A255" t="s">
        <v>503</v>
      </c>
      <c r="B255" t="s">
        <v>504</v>
      </c>
    </row>
    <row r="256" spans="1:2">
      <c r="A256" s="35" t="b">
        <v>0</v>
      </c>
      <c r="B256" t="s">
        <v>505</v>
      </c>
    </row>
    <row r="257" spans="1:2">
      <c r="A257" t="s">
        <v>506</v>
      </c>
      <c r="B257" t="s">
        <v>507</v>
      </c>
    </row>
    <row r="258" spans="1:2">
      <c r="A258" t="s">
        <v>508</v>
      </c>
      <c r="B258" t="s">
        <v>509</v>
      </c>
    </row>
    <row r="259" spans="1:2">
      <c r="A259" t="s">
        <v>510</v>
      </c>
      <c r="B259" t="s">
        <v>511</v>
      </c>
    </row>
    <row r="260" spans="1:2">
      <c r="A260" t="s">
        <v>512</v>
      </c>
      <c r="B260" t="s">
        <v>513</v>
      </c>
    </row>
    <row r="261" spans="1:2">
      <c r="A261" t="s">
        <v>514</v>
      </c>
      <c r="B261" t="s">
        <v>515</v>
      </c>
    </row>
    <row r="262" spans="1:2">
      <c r="A262" t="s">
        <v>516</v>
      </c>
      <c r="B262" t="s">
        <v>517</v>
      </c>
    </row>
    <row r="263" spans="1:2">
      <c r="A263" s="35" t="b">
        <v>1</v>
      </c>
      <c r="B263" t="s">
        <v>518</v>
      </c>
    </row>
    <row r="264" spans="1:2">
      <c r="A264" t="s">
        <v>34</v>
      </c>
      <c r="B264" t="s">
        <v>137</v>
      </c>
    </row>
    <row r="265" spans="1:2">
      <c r="A265" t="s">
        <v>519</v>
      </c>
      <c r="B265" t="s">
        <v>520</v>
      </c>
    </row>
    <row r="266" spans="1:2">
      <c r="A266" t="s">
        <v>521</v>
      </c>
      <c r="B266" t="s">
        <v>522</v>
      </c>
    </row>
    <row r="267" spans="1:2">
      <c r="A267" t="s">
        <v>523</v>
      </c>
      <c r="B267" t="s">
        <v>524</v>
      </c>
    </row>
    <row r="268" spans="1:2">
      <c r="A268" t="s">
        <v>525</v>
      </c>
      <c r="B268" t="s">
        <v>526</v>
      </c>
    </row>
    <row r="269" spans="1:2">
      <c r="A269" t="s">
        <v>527</v>
      </c>
      <c r="B269" t="s">
        <v>528</v>
      </c>
    </row>
    <row r="270" spans="1:2">
      <c r="A270" t="s">
        <v>529</v>
      </c>
      <c r="B270" t="s">
        <v>530</v>
      </c>
    </row>
    <row r="271" spans="1:2">
      <c r="A271" t="s">
        <v>531</v>
      </c>
      <c r="B271" t="s">
        <v>532</v>
      </c>
    </row>
    <row r="272" spans="1:2">
      <c r="A272" t="s">
        <v>533</v>
      </c>
      <c r="B272" t="s">
        <v>534</v>
      </c>
    </row>
    <row r="273" spans="1:2">
      <c r="A273" t="s">
        <v>535</v>
      </c>
      <c r="B273" t="s">
        <v>536</v>
      </c>
    </row>
    <row r="274" spans="1:2">
      <c r="A274" t="s">
        <v>537</v>
      </c>
      <c r="B274" t="s">
        <v>538</v>
      </c>
    </row>
    <row r="275" spans="1:2">
      <c r="A275" t="s">
        <v>539</v>
      </c>
      <c r="B275" t="s">
        <v>540</v>
      </c>
    </row>
    <row r="276" spans="1:2">
      <c r="A276" t="s">
        <v>541</v>
      </c>
      <c r="B276" t="s">
        <v>542</v>
      </c>
    </row>
    <row r="277" spans="1:2">
      <c r="A277" t="s">
        <v>543</v>
      </c>
      <c r="B277" t="s">
        <v>544</v>
      </c>
    </row>
    <row r="278" spans="1:2">
      <c r="A278" t="s">
        <v>545</v>
      </c>
      <c r="B278" t="s">
        <v>546</v>
      </c>
    </row>
    <row r="279" spans="1:2">
      <c r="A279" t="s">
        <v>547</v>
      </c>
      <c r="B279" t="s">
        <v>548</v>
      </c>
    </row>
    <row r="280" spans="1:2">
      <c r="A280" t="s">
        <v>549</v>
      </c>
      <c r="B280" t="s">
        <v>550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showGridLines="0" workbookViewId="0">
      <pane ySplit="2" topLeftCell="A3" activePane="bottomLeft" state="frozen"/>
      <selection/>
      <selection pane="bottomLeft" activeCell="E13" sqref="E13"/>
    </sheetView>
  </sheetViews>
  <sheetFormatPr defaultColWidth="9" defaultRowHeight="13.5"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551</v>
      </c>
      <c r="B1" s="2"/>
      <c r="C1" s="2"/>
      <c r="D1" s="2"/>
      <c r="E1" s="2"/>
      <c r="F1" s="2"/>
    </row>
    <row r="2" ht="93" customHeight="1" spans="1:6">
      <c r="A2" s="4" t="s">
        <v>552</v>
      </c>
      <c r="B2" s="5"/>
      <c r="C2" s="5"/>
      <c r="D2" s="5"/>
      <c r="E2" s="5"/>
      <c r="F2" s="5"/>
    </row>
    <row r="3" ht="21" customHeight="1" spans="1:3">
      <c r="A3" s="100" t="s">
        <v>553</v>
      </c>
      <c r="B3" s="101" t="s">
        <v>554</v>
      </c>
      <c r="C3" s="45"/>
    </row>
    <row r="4" ht="20" customHeight="1" spans="1:4">
      <c r="A4" s="106" t="s">
        <v>555</v>
      </c>
      <c r="B4" s="162">
        <v>42373</v>
      </c>
      <c r="C4" s="106" t="s">
        <v>556</v>
      </c>
      <c r="D4" s="162">
        <v>43464</v>
      </c>
    </row>
    <row r="5" ht="19" customHeight="1" spans="1:4">
      <c r="A5" s="129" t="s">
        <v>557</v>
      </c>
      <c r="B5" s="129" t="s">
        <v>558</v>
      </c>
      <c r="C5" s="129" t="s">
        <v>559</v>
      </c>
      <c r="D5" s="41" t="s">
        <v>560</v>
      </c>
    </row>
    <row r="6" ht="19" customHeight="1" spans="1:4">
      <c r="A6" s="105" t="s">
        <v>561</v>
      </c>
      <c r="B6" s="105" t="s">
        <v>562</v>
      </c>
      <c r="C6" s="23">
        <f>DATEDIF($B$4,$D$4,A6)</f>
        <v>1091</v>
      </c>
      <c r="D6" s="23" t="str">
        <f t="shared" ref="D6:D11" si="0">_xlfn.FORMULATEXT(C6)</f>
        <v>=DATEDIF($B$4,$D$4,A6)</v>
      </c>
    </row>
    <row r="7" ht="19" customHeight="1" spans="1:4">
      <c r="A7" s="105" t="s">
        <v>563</v>
      </c>
      <c r="B7" s="105" t="s">
        <v>564</v>
      </c>
      <c r="C7" s="23">
        <f>DATEDIF($B$4,$D$4,A7)</f>
        <v>35</v>
      </c>
      <c r="D7" s="23" t="str">
        <f t="shared" si="0"/>
        <v>=DATEDIF($B$4,$D$4,A7)</v>
      </c>
    </row>
    <row r="8" ht="19" customHeight="1" spans="1:4">
      <c r="A8" s="105" t="s">
        <v>565</v>
      </c>
      <c r="B8" s="105" t="s">
        <v>566</v>
      </c>
      <c r="C8" s="23">
        <f>DATEDIF($B$4,$D$4,A8)</f>
        <v>2</v>
      </c>
      <c r="D8" s="23" t="str">
        <f t="shared" si="0"/>
        <v>=DATEDIF($B$4,$D$4,A8)</v>
      </c>
    </row>
    <row r="9" ht="19" customHeight="1" spans="1:4">
      <c r="A9" s="105" t="s">
        <v>567</v>
      </c>
      <c r="B9" s="105" t="s">
        <v>568</v>
      </c>
      <c r="C9" s="23">
        <f>DATEDIF($B$4,$D$4,A9)</f>
        <v>361</v>
      </c>
      <c r="D9" s="23" t="str">
        <f t="shared" si="0"/>
        <v>=DATEDIF($B$4,$D$4,A9)</v>
      </c>
    </row>
    <row r="10" ht="19" customHeight="1" spans="1:4">
      <c r="A10" s="105" t="s">
        <v>569</v>
      </c>
      <c r="B10" s="105" t="s">
        <v>570</v>
      </c>
      <c r="C10" s="23">
        <f>DATEDIF($B$4,$D$4,A10)</f>
        <v>26</v>
      </c>
      <c r="D10" s="23" t="str">
        <f t="shared" si="0"/>
        <v>=DATEDIF($B$4,$D$4,A10)</v>
      </c>
    </row>
    <row r="11" ht="19" customHeight="1" spans="1:4">
      <c r="A11" s="105" t="s">
        <v>571</v>
      </c>
      <c r="B11" s="105" t="s">
        <v>572</v>
      </c>
      <c r="C11" s="23">
        <f>DATEDIF($B$4,$D$4,A11)</f>
        <v>11</v>
      </c>
      <c r="D11" s="23" t="str">
        <f t="shared" si="0"/>
        <v>=DATEDIF($B$4,$D$4,A11)</v>
      </c>
    </row>
    <row r="12" ht="19" customHeight="1" spans="1:4">
      <c r="A12" s="117" t="s">
        <v>573</v>
      </c>
      <c r="B12" s="133"/>
      <c r="C12" s="133"/>
      <c r="D12" s="118"/>
    </row>
    <row r="13" ht="23" customHeight="1" spans="1:3">
      <c r="A13" s="100" t="s">
        <v>574</v>
      </c>
      <c r="B13" s="101" t="s">
        <v>575</v>
      </c>
      <c r="C13" s="45"/>
    </row>
    <row r="14" ht="16.5" spans="1:4">
      <c r="A14" s="343" t="s">
        <v>576</v>
      </c>
      <c r="B14" s="343" t="s">
        <v>577</v>
      </c>
      <c r="C14" s="344" t="s">
        <v>560</v>
      </c>
      <c r="D14" s="344"/>
    </row>
    <row r="15" ht="21" customHeight="1" spans="1:4">
      <c r="A15" s="367" t="s">
        <v>578</v>
      </c>
      <c r="B15" s="127">
        <f ca="1">DATEDIF(TEXT(MID(A15,7,8),"0000-00-00"),TODAY(),"y")</f>
        <v>64</v>
      </c>
      <c r="C15" s="345" t="str">
        <f ca="1">_xlfn.FORMULATEXT(B15)</f>
        <v>=DATEDIF(TEXT(MID(A15,7,8),"0000-00-00"),TODAY(),"y")</v>
      </c>
      <c r="D15" s="345"/>
    </row>
    <row r="16" ht="21" customHeight="1" spans="1:4">
      <c r="A16" s="367" t="s">
        <v>579</v>
      </c>
      <c r="B16" s="127">
        <f ca="1">DATEDIF(TEXT(MID(A16,7,8),"0000-00-00"),TODAY(),"y")</f>
        <v>37</v>
      </c>
      <c r="C16" s="345" t="str">
        <f ca="1">_xlfn.FORMULATEXT(B16)</f>
        <v>=DATEDIF(TEXT(MID(A16,7,8),"0000-00-00"),TODAY(),"y")</v>
      </c>
      <c r="D16" s="345"/>
    </row>
  </sheetData>
  <mergeCells count="8">
    <mergeCell ref="A1:F1"/>
    <mergeCell ref="A2:F2"/>
    <mergeCell ref="B3:C3"/>
    <mergeCell ref="A12:D12"/>
    <mergeCell ref="B13:C13"/>
    <mergeCell ref="C14:D14"/>
    <mergeCell ref="C15:D15"/>
    <mergeCell ref="C16:D16"/>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580</v>
      </c>
      <c r="B1" s="2"/>
      <c r="C1" s="2"/>
      <c r="D1" s="2"/>
      <c r="E1" s="2"/>
      <c r="F1" s="2"/>
    </row>
    <row r="2" ht="101" customHeight="1" spans="1:6">
      <c r="A2" s="83" t="s">
        <v>581</v>
      </c>
      <c r="B2" s="84"/>
      <c r="C2" s="84"/>
      <c r="D2" s="84"/>
      <c r="E2" s="84"/>
      <c r="F2" s="84"/>
    </row>
    <row r="3" ht="21" customHeight="1" spans="1:3">
      <c r="A3" s="100" t="s">
        <v>553</v>
      </c>
      <c r="B3" s="101"/>
      <c r="C3" s="45"/>
    </row>
    <row r="4" ht="20" customHeight="1" spans="1:4">
      <c r="A4" s="106" t="s">
        <v>582</v>
      </c>
      <c r="B4" s="106" t="s">
        <v>583</v>
      </c>
      <c r="C4" s="106" t="s">
        <v>560</v>
      </c>
      <c r="D4" s="162"/>
    </row>
    <row r="5" ht="19" customHeight="1" spans="1:4">
      <c r="A5" s="105">
        <v>23</v>
      </c>
      <c r="B5" s="105">
        <f>AVERAGE(A5:A7)</f>
        <v>45</v>
      </c>
      <c r="C5" s="23" t="str">
        <f>_xlfn.FORMULATEXT(B5)</f>
        <v>=AVERAGE(A5:A7)</v>
      </c>
      <c r="D5" s="23"/>
    </row>
    <row r="6" ht="19" customHeight="1" spans="1:4">
      <c r="A6" s="105">
        <v>45</v>
      </c>
      <c r="B6" s="105"/>
      <c r="C6" s="23"/>
      <c r="D6" s="23"/>
    </row>
    <row r="7" ht="19" customHeight="1" spans="1:4">
      <c r="A7" s="105">
        <v>67</v>
      </c>
      <c r="B7" s="105"/>
      <c r="C7" s="23"/>
      <c r="D7" s="23"/>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17.625" customWidth="1"/>
    <col min="2" max="2" width="20.625" customWidth="1"/>
    <col min="3" max="3" width="19" customWidth="1"/>
    <col min="4" max="4" width="32.375" customWidth="1"/>
    <col min="5" max="5" width="36.25" customWidth="1"/>
    <col min="6" max="6" width="24.5" customWidth="1"/>
  </cols>
  <sheetData>
    <row r="1" ht="26" customHeight="1" spans="1:6">
      <c r="A1" s="2" t="s">
        <v>584</v>
      </c>
      <c r="B1" s="2"/>
      <c r="C1" s="2"/>
      <c r="D1" s="2"/>
      <c r="E1" s="2"/>
      <c r="F1" s="2"/>
    </row>
    <row r="2" ht="89" customHeight="1" spans="1:6">
      <c r="A2" s="83" t="s">
        <v>585</v>
      </c>
      <c r="B2" s="84"/>
      <c r="C2" s="84"/>
      <c r="D2" s="84"/>
      <c r="E2" s="84"/>
      <c r="F2" s="84"/>
    </row>
    <row r="3" ht="21" customHeight="1" spans="1:3">
      <c r="A3" s="100" t="s">
        <v>553</v>
      </c>
      <c r="B3" s="101"/>
      <c r="C3" s="45"/>
    </row>
    <row r="4" ht="20" customHeight="1" spans="1:3">
      <c r="A4" s="106" t="s">
        <v>586</v>
      </c>
      <c r="B4" s="106" t="s">
        <v>587</v>
      </c>
      <c r="C4" s="106" t="s">
        <v>560</v>
      </c>
    </row>
    <row r="5" ht="19" customHeight="1" spans="1:3">
      <c r="A5" s="152">
        <v>1</v>
      </c>
      <c r="B5" s="105">
        <f>YEAR(A5)</f>
        <v>1900</v>
      </c>
      <c r="C5" s="23" t="str">
        <f>_xlfn.FORMULATEXT(B5)</f>
        <v>=YEAR(A5)</v>
      </c>
    </row>
    <row r="6" ht="19" customHeight="1" spans="1:3">
      <c r="A6" s="152">
        <f ca="1">TODAY()</f>
        <v>43945</v>
      </c>
      <c r="B6" s="105">
        <f ca="1">YEAR(A6)</f>
        <v>2020</v>
      </c>
      <c r="C6" s="23" t="str">
        <f ca="1">_xlfn.FORMULATEXT(B6)</f>
        <v>=YEAR(A6)</v>
      </c>
    </row>
    <row r="7" ht="19" customHeight="1" spans="1:3">
      <c r="A7" s="105">
        <v>25628</v>
      </c>
      <c r="B7" s="105">
        <f>YEAR(A7)</f>
        <v>1970</v>
      </c>
      <c r="C7" s="23" t="str">
        <f>_xlfn.FORMULATEXT(B7)</f>
        <v>=YEAR(A7)</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
  <sheetViews>
    <sheetView workbookViewId="0">
      <pane ySplit="2" topLeftCell="A3" activePane="bottomLeft" state="frozen"/>
      <selection/>
      <selection pane="bottomLeft" activeCell="A1" sqref="A1:F1"/>
    </sheetView>
  </sheetViews>
  <sheetFormatPr defaultColWidth="9" defaultRowHeight="13.5" outlineLevelCol="5"/>
  <cols>
    <col min="1" max="1" width="24.75" customWidth="1"/>
    <col min="2" max="2" width="20.625" customWidth="1"/>
    <col min="3" max="3" width="25.5" customWidth="1"/>
    <col min="4" max="4" width="32.375" customWidth="1"/>
    <col min="5" max="5" width="36.25" customWidth="1"/>
    <col min="6" max="6" width="24.5" customWidth="1"/>
  </cols>
  <sheetData>
    <row r="1" ht="26" customHeight="1" spans="1:6">
      <c r="A1" s="2" t="s">
        <v>588</v>
      </c>
      <c r="B1" s="2"/>
      <c r="C1" s="2"/>
      <c r="D1" s="2"/>
      <c r="E1" s="2"/>
      <c r="F1" s="2"/>
    </row>
    <row r="2" ht="100" customHeight="1" spans="1:6">
      <c r="A2" s="83" t="s">
        <v>589</v>
      </c>
      <c r="B2" s="84"/>
      <c r="C2" s="84"/>
      <c r="D2" s="84"/>
      <c r="E2" s="84"/>
      <c r="F2" s="84"/>
    </row>
    <row r="3" ht="21" customHeight="1" spans="1:3">
      <c r="A3" s="100" t="s">
        <v>553</v>
      </c>
      <c r="B3" s="101"/>
      <c r="C3" s="45"/>
    </row>
    <row r="4" ht="20" customHeight="1" spans="1:3">
      <c r="A4" s="106" t="s">
        <v>558</v>
      </c>
      <c r="B4" s="106" t="s">
        <v>590</v>
      </c>
      <c r="C4" s="106" t="s">
        <v>560</v>
      </c>
    </row>
    <row r="5" ht="19" customHeight="1" spans="1:3">
      <c r="A5" s="337" t="s">
        <v>591</v>
      </c>
      <c r="B5" s="337" t="str">
        <f>REPT("*-",3)</f>
        <v>*-*-*-</v>
      </c>
      <c r="C5" s="127" t="str">
        <f>_xlfn.FORMULATEXT(B5)</f>
        <v>=REPT("*-",3)</v>
      </c>
    </row>
    <row r="6" ht="19" customHeight="1" spans="1:3">
      <c r="A6" s="337" t="s">
        <v>592</v>
      </c>
      <c r="B6" s="337" t="str">
        <f>REPT("-",10)</f>
        <v>----------</v>
      </c>
      <c r="C6" s="127" t="str">
        <f>_xlfn.FORMULATEXT(B6)</f>
        <v>=REPT("-",10)</v>
      </c>
    </row>
    <row r="7" ht="19" customHeight="1" spans="1:3">
      <c r="A7" s="338" t="s">
        <v>574</v>
      </c>
      <c r="B7" s="339" t="s">
        <v>593</v>
      </c>
      <c r="C7" s="340"/>
    </row>
    <row r="8" ht="15" spans="1:3">
      <c r="A8" s="341" t="s">
        <v>594</v>
      </c>
      <c r="B8" s="341" t="s">
        <v>595</v>
      </c>
      <c r="C8" s="341" t="s">
        <v>596</v>
      </c>
    </row>
    <row r="9" ht="14.25" spans="1:3">
      <c r="A9" s="127" t="s">
        <v>597</v>
      </c>
      <c r="B9" s="127">
        <v>85</v>
      </c>
      <c r="C9" s="342" t="str">
        <f>REPT("|",B9/2)</f>
        <v>||||||||||||||||||||||||||||||||||||||||||</v>
      </c>
    </row>
    <row r="10" ht="14.25" spans="1:3">
      <c r="A10" s="127" t="s">
        <v>598</v>
      </c>
      <c r="B10" s="127">
        <v>99</v>
      </c>
      <c r="C10" s="342" t="str">
        <f>REPT("|",B10/2)</f>
        <v>|||||||||||||||||||||||||||||||||||||||||||||||||</v>
      </c>
    </row>
    <row r="11" ht="14.25" spans="1:3">
      <c r="A11" s="127" t="s">
        <v>599</v>
      </c>
      <c r="B11" s="127">
        <v>96</v>
      </c>
      <c r="C11" s="342" t="str">
        <f>REPT("|",B11/2)</f>
        <v>||||||||||||||||||||||||||||||||||||||||||||||||</v>
      </c>
    </row>
    <row r="12" ht="14.25" spans="1:3">
      <c r="A12" s="127" t="s">
        <v>600</v>
      </c>
      <c r="B12" s="127">
        <v>99</v>
      </c>
      <c r="C12" s="342" t="str">
        <f>REPT("|",B12/2)</f>
        <v>|||||||||||||||||||||||||||||||||||||||||||||||||</v>
      </c>
    </row>
    <row r="13" ht="14.25" spans="1:3">
      <c r="A13" s="127" t="s">
        <v>601</v>
      </c>
      <c r="B13" s="127">
        <v>75</v>
      </c>
      <c r="C13" s="342" t="str">
        <f>REPT("|",B13/2)</f>
        <v>|||||||||||||||||||||||||||||||||||||</v>
      </c>
    </row>
  </sheetData>
  <mergeCells count="4">
    <mergeCell ref="A1:F1"/>
    <mergeCell ref="A2:F2"/>
    <mergeCell ref="B3:C3"/>
    <mergeCell ref="B7:C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D14" sqref="D14"/>
    </sheetView>
  </sheetViews>
  <sheetFormatPr defaultColWidth="9" defaultRowHeight="13.5" outlineLevelRow="6" outlineLevelCol="6"/>
  <cols>
    <col min="1" max="1" width="17.625" customWidth="1"/>
    <col min="2" max="3" width="17.25" customWidth="1"/>
    <col min="4" max="4" width="34.75" customWidth="1"/>
    <col min="5" max="5" width="32.375" customWidth="1"/>
    <col min="6" max="6" width="36.25" customWidth="1"/>
    <col min="7" max="7" width="24.5" customWidth="1"/>
  </cols>
  <sheetData>
    <row r="1" ht="26" customHeight="1" spans="1:7">
      <c r="A1" s="2" t="s">
        <v>602</v>
      </c>
      <c r="B1" s="2"/>
      <c r="C1" s="2"/>
      <c r="D1" s="2"/>
      <c r="E1" s="2"/>
      <c r="F1" s="2"/>
      <c r="G1" s="2"/>
    </row>
    <row r="2" ht="115" customHeight="1" spans="1:7">
      <c r="A2" s="83" t="s">
        <v>603</v>
      </c>
      <c r="B2" s="84"/>
      <c r="C2" s="84"/>
      <c r="D2" s="84"/>
      <c r="E2" s="84"/>
      <c r="F2" s="84"/>
      <c r="G2" s="84"/>
    </row>
    <row r="3" ht="21" customHeight="1" spans="1:4">
      <c r="A3" s="100" t="s">
        <v>553</v>
      </c>
      <c r="B3" s="101"/>
      <c r="C3" s="45"/>
      <c r="D3" s="45"/>
    </row>
    <row r="4" ht="20" customHeight="1" spans="1:4">
      <c r="A4" s="106" t="s">
        <v>586</v>
      </c>
      <c r="B4" s="106" t="s">
        <v>604</v>
      </c>
      <c r="C4" s="106" t="s">
        <v>560</v>
      </c>
      <c r="D4" s="106" t="s">
        <v>558</v>
      </c>
    </row>
    <row r="5" ht="19" customHeight="1" spans="1:4">
      <c r="A5" s="269">
        <v>39663</v>
      </c>
      <c r="B5" s="164">
        <f>WEEKNUM(A5)</f>
        <v>32</v>
      </c>
      <c r="C5" s="164" t="str">
        <f>_xlfn.FORMULATEXT(B5)</f>
        <v>=WEEKNUM(A5)</v>
      </c>
      <c r="D5" s="127" t="s">
        <v>605</v>
      </c>
    </row>
    <row r="6" ht="19" customHeight="1" spans="1:4">
      <c r="A6" s="269">
        <v>39663</v>
      </c>
      <c r="B6" s="164">
        <f>WEEKNUM(A6,2)</f>
        <v>31</v>
      </c>
      <c r="C6" s="164" t="str">
        <f>_xlfn.FORMULATEXT(B6)</f>
        <v>=WEEKNUM(A6,2)</v>
      </c>
      <c r="D6" s="127" t="s">
        <v>606</v>
      </c>
    </row>
    <row r="7" ht="19" customHeight="1" spans="1:4">
      <c r="A7" s="269">
        <f ca="1">TODAY()</f>
        <v>43945</v>
      </c>
      <c r="B7" s="164">
        <f ca="1">WEEKNUM(A7,2)</f>
        <v>17</v>
      </c>
      <c r="C7" s="127" t="str">
        <f ca="1">_xlfn.FORMULATEXT(B7)</f>
        <v>=WEEKNUM(A7,2)</v>
      </c>
      <c r="D7" s="127" t="s">
        <v>607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3" width="17.25" customWidth="1"/>
    <col min="4" max="4" width="34.75" customWidth="1"/>
    <col min="5" max="5" width="32.375" customWidth="1"/>
    <col min="6" max="6" width="36.25" customWidth="1"/>
    <col min="7" max="7" width="24.5" customWidth="1"/>
  </cols>
  <sheetData>
    <row r="1" ht="26" customHeight="1" spans="1:7">
      <c r="A1" s="2" t="s">
        <v>602</v>
      </c>
      <c r="B1" s="2"/>
      <c r="C1" s="2"/>
      <c r="D1" s="2"/>
      <c r="E1" s="2"/>
      <c r="F1" s="2"/>
      <c r="G1" s="2"/>
    </row>
    <row r="2" ht="102" customHeight="1" spans="1:7">
      <c r="A2" s="83" t="s">
        <v>608</v>
      </c>
      <c r="B2" s="84"/>
      <c r="C2" s="84"/>
      <c r="D2" s="84"/>
      <c r="E2" s="84"/>
      <c r="F2" s="84"/>
      <c r="G2" s="84"/>
    </row>
    <row r="3" ht="21" customHeight="1" spans="1:4">
      <c r="A3" s="100" t="s">
        <v>553</v>
      </c>
      <c r="B3" s="101"/>
      <c r="C3" s="45"/>
      <c r="D3" s="45"/>
    </row>
    <row r="4" ht="20" customHeight="1" spans="1:3">
      <c r="A4" s="106" t="s">
        <v>609</v>
      </c>
      <c r="B4" s="106" t="s">
        <v>560</v>
      </c>
      <c r="C4" s="106" t="s">
        <v>610</v>
      </c>
    </row>
    <row r="5" ht="19" customHeight="1" spans="1:3">
      <c r="A5" s="269" t="s">
        <v>611</v>
      </c>
      <c r="B5" s="164" t="str">
        <f ca="1">_xlfn.FORMULATEXT(C5)</f>
        <v>=EVALUATE(A5)</v>
      </c>
      <c r="C5" s="164">
        <f ca="1">EVALUATE(A5)</f>
        <v>50</v>
      </c>
    </row>
    <row r="6" ht="19" customHeight="1" spans="1:3">
      <c r="A6" s="269" t="s">
        <v>612</v>
      </c>
      <c r="B6" s="164" t="str">
        <f ca="1">_xlfn.FORMULATEXT(C6)</f>
        <v>=EVALUATE(A6)</v>
      </c>
      <c r="C6" s="164">
        <f ca="1">EVALUATE(A6)</f>
        <v>26</v>
      </c>
    </row>
    <row r="7" ht="19" customHeight="1" spans="1:3">
      <c r="A7" s="269" t="s">
        <v>613</v>
      </c>
      <c r="B7" s="164" t="str">
        <f ca="1">_xlfn.FORMULATEXT(C7)</f>
        <v>=EVALUATE(A7)</v>
      </c>
      <c r="C7" s="164" t="str">
        <f ca="1">EVALUATE(A7)</f>
        <v>张三李四</v>
      </c>
    </row>
    <row r="8" ht="14.25" spans="1:3">
      <c r="A8" s="269" t="s">
        <v>614</v>
      </c>
      <c r="B8" s="164" t="str">
        <f ca="1">_xlfn.FORMULATEXT(C8)</f>
        <v>=EVALUATE(A8)</v>
      </c>
      <c r="C8" s="164" t="e">
        <f ca="1">EVALUATE(A8)</f>
        <v>#NAME?</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C7" sqref="C7"/>
    </sheetView>
  </sheetViews>
  <sheetFormatPr defaultColWidth="9" defaultRowHeight="13.5" outlineLevelRow="6"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615</v>
      </c>
      <c r="B1" s="2"/>
      <c r="C1" s="2"/>
      <c r="D1" s="2"/>
      <c r="E1" s="2"/>
      <c r="F1" s="2"/>
      <c r="G1" s="2"/>
    </row>
    <row r="2" ht="81" customHeight="1" spans="1:7">
      <c r="A2" s="83" t="s">
        <v>616</v>
      </c>
      <c r="B2" s="84"/>
      <c r="C2" s="84"/>
      <c r="D2" s="84"/>
      <c r="E2" s="84"/>
      <c r="F2" s="84"/>
      <c r="G2" s="84"/>
    </row>
    <row r="3" ht="21" customHeight="1" spans="1:4">
      <c r="A3" s="100" t="s">
        <v>553</v>
      </c>
      <c r="B3" s="101"/>
      <c r="C3" s="45"/>
      <c r="D3" s="45"/>
    </row>
    <row r="4" ht="20" customHeight="1" spans="1:2">
      <c r="A4" s="106" t="s">
        <v>590</v>
      </c>
      <c r="B4" s="106" t="s">
        <v>560</v>
      </c>
    </row>
    <row r="5" ht="19" customHeight="1" spans="1:2">
      <c r="A5" s="164" t="str">
        <f>NUMBERSTRING(1234567890,1)</f>
        <v>一十二亿三千四百五十六万七千八百九十</v>
      </c>
      <c r="B5" s="164" t="str">
        <f>_xlfn.FORMULATEXT(A5)</f>
        <v>=NUMBERSTRING(1234567890,1)</v>
      </c>
    </row>
    <row r="6" ht="19" customHeight="1" spans="1:2">
      <c r="A6" s="164" t="str">
        <f>NUMBERSTRING(1234567890,2)</f>
        <v>壹拾贰亿叁仟肆佰伍拾陆万柒仟捌佰玖拾</v>
      </c>
      <c r="B6" s="164" t="str">
        <f>_xlfn.FORMULATEXT(A6)</f>
        <v>=NUMBERSTRING(1234567890,2)</v>
      </c>
    </row>
    <row r="7" ht="19" customHeight="1" spans="1:2">
      <c r="A7" s="164" t="str">
        <f>NUMBERSTRING(1234567890,3)</f>
        <v>一二三四五六七八九○</v>
      </c>
      <c r="B7" s="164" t="str">
        <f>_xlfn.FORMULATEXT(A7)</f>
        <v>=NUMBERSTRING(1234567890,3)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B6" sqref="B6"/>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617</v>
      </c>
      <c r="B1" s="2"/>
      <c r="C1" s="2"/>
      <c r="D1" s="2"/>
      <c r="E1" s="2"/>
      <c r="F1" s="2"/>
      <c r="G1" s="2"/>
    </row>
    <row r="2" ht="115" customHeight="1" spans="1:7">
      <c r="A2" s="83" t="s">
        <v>618</v>
      </c>
      <c r="B2" s="84"/>
      <c r="C2" s="84"/>
      <c r="D2" s="84"/>
      <c r="E2" s="84"/>
      <c r="F2" s="84"/>
      <c r="G2" s="84"/>
    </row>
    <row r="3" ht="21" customHeight="1" spans="1:4">
      <c r="A3" s="100" t="s">
        <v>553</v>
      </c>
      <c r="B3" s="101"/>
      <c r="C3" s="45"/>
      <c r="D3" s="45"/>
    </row>
    <row r="4" ht="20" customHeight="1" spans="1:2">
      <c r="A4" s="89" t="s">
        <v>619</v>
      </c>
      <c r="B4" s="89" t="s">
        <v>620</v>
      </c>
    </row>
    <row r="5" ht="19" customHeight="1" spans="1:2">
      <c r="A5" s="296">
        <v>1</v>
      </c>
      <c r="B5" s="296">
        <v>6</v>
      </c>
    </row>
    <row r="6" ht="19" customHeight="1" spans="1:2">
      <c r="A6" s="86">
        <v>14</v>
      </c>
      <c r="B6" s="296">
        <v>7</v>
      </c>
    </row>
    <row r="7" ht="19" customHeight="1" spans="1:2">
      <c r="A7" s="86">
        <v>9</v>
      </c>
      <c r="B7" s="86">
        <v>12</v>
      </c>
    </row>
    <row r="8" ht="14.25" spans="1:2">
      <c r="A8" s="86">
        <v>23</v>
      </c>
      <c r="B8" s="86">
        <v>9</v>
      </c>
    </row>
    <row r="9" ht="14.25" spans="1:2">
      <c r="A9" s="86">
        <v>8</v>
      </c>
      <c r="B9" s="86">
        <v>3</v>
      </c>
    </row>
    <row r="10" ht="14.25" spans="1:2">
      <c r="A10" s="86" t="s">
        <v>621</v>
      </c>
      <c r="B10" s="86" t="s">
        <v>622</v>
      </c>
    </row>
    <row r="11" ht="28.5" spans="1:2">
      <c r="A11" s="86">
        <f>PEARSON(A5:A9,B5:B9)</f>
        <v>0.328316315313537</v>
      </c>
      <c r="B11" s="86" t="s">
        <v>623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C10" sqref="C10"/>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624</v>
      </c>
      <c r="B1" s="2"/>
      <c r="C1" s="2"/>
      <c r="D1" s="2"/>
      <c r="E1" s="2"/>
      <c r="F1" s="2"/>
      <c r="G1" s="2"/>
    </row>
    <row r="2" ht="99" customHeight="1" spans="1:7">
      <c r="A2" s="83" t="s">
        <v>625</v>
      </c>
      <c r="B2" s="84"/>
      <c r="C2" s="84"/>
      <c r="D2" s="84"/>
      <c r="E2" s="84"/>
      <c r="F2" s="84"/>
      <c r="G2" s="84"/>
    </row>
    <row r="3" ht="21" customHeight="1" spans="1:4">
      <c r="A3" s="100" t="s">
        <v>553</v>
      </c>
      <c r="B3" s="101"/>
      <c r="C3" s="45"/>
      <c r="D3" s="45"/>
    </row>
    <row r="4" ht="19" customHeight="1" spans="1:2">
      <c r="A4" s="134" t="s">
        <v>560</v>
      </c>
      <c r="B4" s="134" t="s">
        <v>622</v>
      </c>
    </row>
    <row r="5" ht="14.25" spans="1:2">
      <c r="A5" s="126">
        <f>ROW()</f>
        <v>5</v>
      </c>
      <c r="B5" s="126" t="s">
        <v>626</v>
      </c>
    </row>
    <row r="6" ht="14.25" spans="1:2">
      <c r="A6" s="126">
        <f>ROW(B9)</f>
        <v>9</v>
      </c>
      <c r="B6" s="126" t="s">
        <v>627</v>
      </c>
    </row>
    <row r="7" ht="14.25" spans="1:2">
      <c r="A7" s="127"/>
      <c r="B7" s="127"/>
    </row>
    <row r="8" ht="14.25" spans="1:2">
      <c r="A8" s="127"/>
      <c r="B8" s="127"/>
    </row>
    <row r="9" ht="14.25" spans="1:2">
      <c r="A9" s="134" t="s">
        <v>560</v>
      </c>
      <c r="B9" s="134" t="s">
        <v>622</v>
      </c>
    </row>
    <row r="10" ht="14.25" spans="1:2">
      <c r="A10" s="126">
        <f>ROW(B4:C6)</f>
        <v>4</v>
      </c>
      <c r="B10" s="126" t="s">
        <v>628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
  <sheetViews>
    <sheetView showGridLines="0" workbookViewId="0">
      <pane ySplit="2" topLeftCell="A3" activePane="bottomLeft" state="frozen"/>
      <selection/>
      <selection pane="bottomLeft" activeCell="D15" sqref="D15"/>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629</v>
      </c>
      <c r="B1" s="2"/>
      <c r="C1" s="2"/>
      <c r="D1" s="2"/>
      <c r="E1" s="2"/>
      <c r="F1" s="2"/>
      <c r="G1" s="2"/>
    </row>
    <row r="2" ht="215" customHeight="1" spans="1:7">
      <c r="A2" s="83" t="s">
        <v>630</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4">
        <v>0.06</v>
      </c>
      <c r="B5" s="126" t="s">
        <v>631</v>
      </c>
    </row>
    <row r="6" ht="19" customHeight="1" spans="1:2">
      <c r="A6" s="126">
        <v>10</v>
      </c>
      <c r="B6" s="126" t="s">
        <v>632</v>
      </c>
    </row>
    <row r="7" ht="19" customHeight="1" spans="1:2">
      <c r="A7" s="126">
        <v>12000</v>
      </c>
      <c r="B7" s="126" t="s">
        <v>633</v>
      </c>
    </row>
    <row r="8" ht="14.25" spans="1:2">
      <c r="A8" s="134" t="s">
        <v>560</v>
      </c>
      <c r="B8" s="134" t="s">
        <v>622</v>
      </c>
    </row>
    <row r="9" ht="14.25" spans="1:2">
      <c r="A9" s="326">
        <f>PMT(A5/12,A6,A7)</f>
        <v>-1233.24687296747</v>
      </c>
      <c r="B9" s="126" t="s">
        <v>634</v>
      </c>
    </row>
    <row r="10" ht="28.5" spans="1:2">
      <c r="A10" s="326">
        <f>PMT(A5/12,A6,A7,0,1)</f>
        <v>-1227.11131638554</v>
      </c>
      <c r="B10" s="126" t="s">
        <v>635</v>
      </c>
    </row>
    <row r="11" ht="14.25" spans="1:2">
      <c r="A11" s="127"/>
      <c r="B11" s="127"/>
    </row>
    <row r="12" ht="14.25" spans="1:2">
      <c r="A12" s="127"/>
      <c r="B12" s="127"/>
    </row>
    <row r="13" ht="14.25" spans="1:2">
      <c r="A13" s="327"/>
      <c r="B13" s="127"/>
    </row>
    <row r="14" ht="14.25" spans="1:2">
      <c r="A14" s="127" t="s">
        <v>636</v>
      </c>
      <c r="B14" s="127"/>
    </row>
    <row r="15" ht="14.25" spans="1:2">
      <c r="A15" s="327"/>
      <c r="B15" s="127"/>
    </row>
    <row r="16" ht="14.25" spans="1:2">
      <c r="A16" s="134" t="s">
        <v>637</v>
      </c>
      <c r="B16" s="134" t="s">
        <v>638</v>
      </c>
    </row>
    <row r="17" ht="14.25" spans="1:2">
      <c r="A17" s="134" t="s">
        <v>582</v>
      </c>
      <c r="B17" s="134" t="s">
        <v>558</v>
      </c>
    </row>
    <row r="18" ht="14.25" spans="1:2">
      <c r="A18" s="324">
        <v>0.04</v>
      </c>
      <c r="B18" s="126" t="s">
        <v>631</v>
      </c>
    </row>
    <row r="19" ht="14.25" spans="1:2">
      <c r="A19" s="126">
        <v>10</v>
      </c>
      <c r="B19" s="126" t="s">
        <v>639</v>
      </c>
    </row>
    <row r="20" ht="14.25" spans="1:2">
      <c r="A20" s="325">
        <v>60000</v>
      </c>
      <c r="B20" s="126" t="s">
        <v>640</v>
      </c>
    </row>
    <row r="21" ht="14.25" spans="1:2">
      <c r="A21" s="134" t="s">
        <v>560</v>
      </c>
      <c r="B21" s="134" t="s">
        <v>622</v>
      </c>
    </row>
    <row r="22" ht="28.5" spans="1:2">
      <c r="A22" s="326">
        <f>PMT(A18/12,A19*12,0,A20)</f>
        <v>-407.470828989277</v>
      </c>
      <c r="B22" s="126" t="s">
        <v>641</v>
      </c>
    </row>
    <row r="23" ht="14.25" spans="1:2">
      <c r="A23" s="327"/>
      <c r="B23" s="127"/>
    </row>
    <row r="24" ht="14.25" spans="1:2">
      <c r="A24" s="138" t="s">
        <v>642</v>
      </c>
      <c r="B24"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C9" sqref="C9"/>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643</v>
      </c>
      <c r="B1" s="2"/>
      <c r="C1" s="2"/>
      <c r="D1" s="2"/>
      <c r="E1" s="2"/>
      <c r="F1" s="2"/>
      <c r="G1" s="2"/>
    </row>
    <row r="2" ht="142" customHeight="1" spans="1:7">
      <c r="A2" s="83" t="s">
        <v>644</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4">
        <v>0.08</v>
      </c>
      <c r="B5" s="126" t="s">
        <v>631</v>
      </c>
    </row>
    <row r="6" ht="19" customHeight="1" spans="1:2">
      <c r="A6" s="126">
        <v>1</v>
      </c>
      <c r="B6" s="126" t="s">
        <v>645</v>
      </c>
    </row>
    <row r="7" ht="19" customHeight="1" spans="1:2">
      <c r="A7" s="126">
        <v>5</v>
      </c>
      <c r="B7" s="126" t="s">
        <v>646</v>
      </c>
    </row>
    <row r="8" ht="14.25" spans="1:2">
      <c r="A8" s="126">
        <v>12000</v>
      </c>
      <c r="B8" s="126" t="s">
        <v>647</v>
      </c>
    </row>
    <row r="9" ht="14.25" spans="1:2">
      <c r="A9" s="134" t="s">
        <v>560</v>
      </c>
      <c r="B9" s="134" t="s">
        <v>622</v>
      </c>
    </row>
    <row r="10" ht="28.5" spans="1:2">
      <c r="A10" s="126">
        <f>ISPMT(A5/12,A6,A7*12,A8)</f>
        <v>-78.6666666666667</v>
      </c>
      <c r="B10" s="126" t="s">
        <v>648</v>
      </c>
    </row>
    <row r="11" ht="28.5" spans="1:2">
      <c r="A11" s="126">
        <f>ISPMT(A5,A6,A7,A8)</f>
        <v>-768</v>
      </c>
      <c r="B11" s="126" t="s">
        <v>649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C7" sqref="C7"/>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650</v>
      </c>
      <c r="B1" s="2"/>
      <c r="C1" s="2"/>
      <c r="D1" s="2"/>
      <c r="E1" s="2"/>
      <c r="F1" s="2"/>
      <c r="G1" s="2"/>
    </row>
    <row r="2" ht="145" customHeight="1" spans="1:7">
      <c r="A2" s="83" t="s">
        <v>651</v>
      </c>
      <c r="B2" s="84"/>
      <c r="C2" s="84"/>
      <c r="D2" s="84"/>
      <c r="E2" s="84"/>
      <c r="F2" s="84"/>
      <c r="G2" s="84"/>
    </row>
    <row r="3" ht="21" customHeight="1" spans="1:4">
      <c r="A3" s="100" t="s">
        <v>553</v>
      </c>
      <c r="B3" s="101"/>
      <c r="C3" s="45"/>
      <c r="D3" s="45"/>
    </row>
    <row r="4" ht="20" customHeight="1" spans="1:2">
      <c r="A4" s="186" t="s">
        <v>652</v>
      </c>
      <c r="B4" s="127"/>
    </row>
    <row r="5" ht="19" customHeight="1" spans="1:2">
      <c r="A5" s="164">
        <v>1452</v>
      </c>
      <c r="B5" s="127"/>
    </row>
    <row r="6" ht="19" customHeight="1" spans="1:2">
      <c r="A6" s="164">
        <v>1413</v>
      </c>
      <c r="B6" s="127"/>
    </row>
    <row r="7" ht="19" customHeight="1" spans="1:2">
      <c r="A7" s="164">
        <v>1498</v>
      </c>
      <c r="B7" s="127"/>
    </row>
    <row r="8" ht="14.25" spans="1:2">
      <c r="A8" s="164">
        <v>1401</v>
      </c>
      <c r="B8" s="127"/>
    </row>
    <row r="9" ht="14.25" spans="1:2">
      <c r="A9" s="164">
        <v>1408</v>
      </c>
      <c r="B9" s="127"/>
    </row>
    <row r="10" ht="14.25" spans="1:2">
      <c r="A10" s="164">
        <v>1492</v>
      </c>
      <c r="B10" s="127"/>
    </row>
    <row r="11" ht="14.25" spans="1:2">
      <c r="A11" s="164">
        <v>1475</v>
      </c>
      <c r="B11" s="127"/>
    </row>
    <row r="12" ht="14.25" spans="1:2">
      <c r="A12" s="164">
        <v>1426</v>
      </c>
      <c r="B12" s="127"/>
    </row>
    <row r="13" ht="14.25" spans="1:2">
      <c r="A13" s="164">
        <v>1416</v>
      </c>
      <c r="B13" s="127"/>
    </row>
    <row r="14" ht="14.25" spans="1:2">
      <c r="A14" s="164">
        <v>1314</v>
      </c>
      <c r="B14" s="127"/>
    </row>
    <row r="15" ht="14.25" spans="1:2">
      <c r="A15" s="186" t="s">
        <v>560</v>
      </c>
      <c r="B15" s="186" t="s">
        <v>622</v>
      </c>
    </row>
    <row r="16" ht="14.25" spans="1:2">
      <c r="A16" s="164">
        <f>VARA(A5:A14)</f>
        <v>2917.38888888889</v>
      </c>
      <c r="B16" s="164" t="s">
        <v>653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D12" sqref="D12"/>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654</v>
      </c>
      <c r="B1" s="2"/>
      <c r="C1" s="2"/>
      <c r="D1" s="2"/>
      <c r="E1" s="2"/>
      <c r="F1" s="2"/>
      <c r="G1" s="2"/>
    </row>
    <row r="2" ht="86" customHeight="1" spans="1:7">
      <c r="A2" s="83" t="s">
        <v>655</v>
      </c>
      <c r="B2" s="84"/>
      <c r="C2" s="84"/>
      <c r="D2" s="84"/>
      <c r="E2" s="84"/>
      <c r="F2" s="84"/>
      <c r="G2" s="84"/>
    </row>
    <row r="3" ht="21" customHeight="1" spans="1:4">
      <c r="A3" s="100" t="s">
        <v>553</v>
      </c>
      <c r="B3" s="101"/>
      <c r="C3" s="45"/>
      <c r="D3" s="45"/>
    </row>
    <row r="4" ht="14.25" spans="1:2">
      <c r="A4" s="86" t="s">
        <v>560</v>
      </c>
      <c r="B4" s="86" t="s">
        <v>622</v>
      </c>
    </row>
    <row r="5" ht="28.5" spans="1:2">
      <c r="A5" s="86">
        <f>EVEN(1.5)</f>
        <v>2</v>
      </c>
      <c r="B5" s="86" t="s">
        <v>656</v>
      </c>
    </row>
    <row r="6" ht="28.5" spans="1:2">
      <c r="A6" s="86">
        <f>EVEN(3)</f>
        <v>4</v>
      </c>
      <c r="B6" s="86" t="s">
        <v>657</v>
      </c>
    </row>
    <row r="7" ht="28.5" spans="1:2">
      <c r="A7" s="86">
        <f>EVEN(2)</f>
        <v>2</v>
      </c>
      <c r="B7" s="86" t="s">
        <v>658</v>
      </c>
    </row>
    <row r="8" ht="28.5" spans="1:2">
      <c r="A8" s="86">
        <f>EVEN(-1)</f>
        <v>-2</v>
      </c>
      <c r="B8" s="86" t="s">
        <v>659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660</v>
      </c>
      <c r="B1" s="2"/>
      <c r="C1" s="2"/>
      <c r="D1" s="2"/>
      <c r="E1" s="2"/>
      <c r="F1" s="2"/>
      <c r="G1" s="2"/>
    </row>
    <row r="2" ht="87" customHeight="1" spans="1:7">
      <c r="A2" s="83" t="s">
        <v>661</v>
      </c>
      <c r="B2" s="84"/>
      <c r="C2" s="84"/>
      <c r="D2" s="84"/>
      <c r="E2" s="84"/>
      <c r="F2" s="84"/>
      <c r="G2" s="84"/>
    </row>
    <row r="3" ht="21" customHeight="1" spans="1:4">
      <c r="A3" s="100" t="s">
        <v>553</v>
      </c>
      <c r="B3" s="101"/>
      <c r="C3" s="45"/>
      <c r="D3" s="45"/>
    </row>
    <row r="4" ht="20" customHeight="1" spans="1:2">
      <c r="A4" s="86" t="s">
        <v>560</v>
      </c>
      <c r="B4" s="86" t="s">
        <v>622</v>
      </c>
    </row>
    <row r="5" ht="19" customHeight="1" spans="1:2">
      <c r="A5" s="86" t="b">
        <f>ISEVEN(-1)</f>
        <v>0</v>
      </c>
      <c r="B5" s="86" t="s">
        <v>662</v>
      </c>
    </row>
    <row r="6" ht="19" customHeight="1" spans="1:2">
      <c r="A6" s="86" t="b">
        <f>ISEVEN(2.5)</f>
        <v>1</v>
      </c>
      <c r="B6" s="86" t="s">
        <v>663</v>
      </c>
    </row>
    <row r="7" ht="19" customHeight="1" spans="1:2">
      <c r="A7" s="86" t="b">
        <f>ISEVEN(5)</f>
        <v>0</v>
      </c>
      <c r="B7" s="86" t="s">
        <v>664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
  <sheetViews>
    <sheetView showGridLines="0" workbookViewId="0">
      <pane ySplit="2" topLeftCell="A3" activePane="bottomLeft" state="frozen"/>
      <selection/>
      <selection pane="bottomLeft" activeCell="D8" sqref="D8"/>
    </sheetView>
  </sheetViews>
  <sheetFormatPr defaultColWidth="9" defaultRowHeight="13.5" outlineLevelCol="6"/>
  <cols>
    <col min="1" max="1" width="28.875" customWidth="1"/>
    <col min="2" max="2" width="33" customWidth="1"/>
    <col min="3" max="3" width="17.25" customWidth="1"/>
    <col min="4" max="4" width="34.75" customWidth="1"/>
    <col min="5" max="5" width="32.375" customWidth="1"/>
    <col min="6" max="6" width="36.25" customWidth="1"/>
    <col min="7" max="7" width="24.5" customWidth="1"/>
  </cols>
  <sheetData>
    <row r="1" ht="26" customHeight="1" spans="1:7">
      <c r="A1" s="2" t="s">
        <v>665</v>
      </c>
      <c r="B1" s="2"/>
      <c r="C1" s="2"/>
      <c r="D1" s="2"/>
      <c r="E1" s="2"/>
      <c r="F1" s="2"/>
      <c r="G1" s="2"/>
    </row>
    <row r="2" ht="187" customHeight="1" spans="1:7">
      <c r="A2" s="83" t="s">
        <v>666</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4">
        <v>0.1</v>
      </c>
      <c r="B5" s="126" t="s">
        <v>631</v>
      </c>
    </row>
    <row r="6" ht="19" customHeight="1" spans="1:2">
      <c r="A6" s="126">
        <v>12</v>
      </c>
      <c r="B6" s="126" t="s">
        <v>667</v>
      </c>
    </row>
    <row r="7" ht="19" customHeight="1" spans="1:2">
      <c r="A7" s="126">
        <v>-400</v>
      </c>
      <c r="B7" s="126" t="s">
        <v>668</v>
      </c>
    </row>
    <row r="8" ht="14.25" spans="1:2">
      <c r="A8" s="126">
        <v>-900</v>
      </c>
      <c r="B8" s="126" t="s">
        <v>669</v>
      </c>
    </row>
    <row r="9" ht="14.25" spans="1:2">
      <c r="A9" s="126">
        <v>1</v>
      </c>
      <c r="B9" s="126" t="s">
        <v>670</v>
      </c>
    </row>
    <row r="10" ht="14.25" spans="1:2">
      <c r="A10" s="134" t="s">
        <v>560</v>
      </c>
      <c r="B10" s="134" t="s">
        <v>622</v>
      </c>
    </row>
    <row r="11" ht="14.25" spans="1:2">
      <c r="A11" s="326">
        <f>FV(A5/12,A6,A7,A8,A9)</f>
        <v>6062.35422485593</v>
      </c>
      <c r="B11" s="126" t="s">
        <v>671</v>
      </c>
    </row>
    <row r="12" ht="14.25" spans="1:2">
      <c r="A12" s="126"/>
      <c r="B12" s="126"/>
    </row>
    <row r="13" ht="14.25" spans="1:2">
      <c r="A13" s="134" t="s">
        <v>637</v>
      </c>
      <c r="B13" s="134" t="s">
        <v>638</v>
      </c>
    </row>
    <row r="14" ht="14.25" spans="1:2">
      <c r="A14" s="134" t="s">
        <v>582</v>
      </c>
      <c r="B14" s="134" t="s">
        <v>558</v>
      </c>
    </row>
    <row r="15" ht="14.25" spans="1:2">
      <c r="A15" s="324">
        <v>0.09</v>
      </c>
      <c r="B15" s="126" t="s">
        <v>631</v>
      </c>
    </row>
    <row r="16" ht="14.25" spans="1:2">
      <c r="A16" s="126">
        <v>32</v>
      </c>
      <c r="B16" s="126" t="s">
        <v>667</v>
      </c>
    </row>
    <row r="17" ht="14.25" spans="1:2">
      <c r="A17" s="126">
        <v>-1800</v>
      </c>
      <c r="B17" s="126" t="s">
        <v>668</v>
      </c>
    </row>
    <row r="18" ht="14.25" spans="1:2">
      <c r="A18" s="126">
        <v>1</v>
      </c>
      <c r="B18" s="126" t="s">
        <v>670</v>
      </c>
    </row>
    <row r="19" ht="14.25" spans="1:2">
      <c r="A19" s="134" t="s">
        <v>560</v>
      </c>
      <c r="B19" s="134" t="s">
        <v>622</v>
      </c>
    </row>
    <row r="20" ht="14.25" spans="1:2">
      <c r="A20" s="326">
        <f>FV(A5/12,A7,A6,,A8)</f>
        <v>1399.48094429732</v>
      </c>
      <c r="B20" s="126" t="s">
        <v>672</v>
      </c>
    </row>
    <row r="21" ht="14.25" spans="1:2">
      <c r="A21" s="127"/>
      <c r="B21" s="127"/>
    </row>
    <row r="22" ht="14.25" spans="1:2">
      <c r="A22" s="138" t="s">
        <v>673</v>
      </c>
      <c r="B22"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674</v>
      </c>
      <c r="B1" s="2"/>
      <c r="C1" s="2"/>
      <c r="D1" s="2"/>
      <c r="E1" s="2"/>
      <c r="F1" s="2"/>
      <c r="G1" s="2"/>
    </row>
    <row r="2" ht="183" customHeight="1" spans="1:7">
      <c r="A2" s="83" t="s">
        <v>675</v>
      </c>
      <c r="B2" s="84"/>
      <c r="C2" s="84"/>
      <c r="D2" s="84"/>
      <c r="E2" s="84"/>
      <c r="F2" s="84"/>
      <c r="G2" s="84"/>
    </row>
    <row r="3" ht="21" customHeight="1" spans="1:4">
      <c r="A3" s="100" t="s">
        <v>553</v>
      </c>
      <c r="B3" s="101"/>
      <c r="C3" s="45"/>
      <c r="D3" s="45"/>
    </row>
    <row r="4" ht="20" customHeight="1" spans="1:2">
      <c r="A4" s="336" t="s">
        <v>676</v>
      </c>
      <c r="B4" s="336" t="s">
        <v>677</v>
      </c>
    </row>
    <row r="5" ht="19" customHeight="1" spans="1:2">
      <c r="A5" s="164">
        <v>1</v>
      </c>
      <c r="B5" s="164">
        <v>6</v>
      </c>
    </row>
    <row r="6" ht="19" customHeight="1" spans="1:2">
      <c r="A6" s="164">
        <v>14</v>
      </c>
      <c r="B6" s="164">
        <v>7</v>
      </c>
    </row>
    <row r="7" ht="19" customHeight="1" spans="1:2">
      <c r="A7" s="164">
        <v>9</v>
      </c>
      <c r="B7" s="164">
        <v>12</v>
      </c>
    </row>
    <row r="8" ht="14.25" spans="1:2">
      <c r="A8" s="164">
        <v>23</v>
      </c>
      <c r="B8" s="164">
        <v>9</v>
      </c>
    </row>
    <row r="9" ht="14.25" spans="1:2">
      <c r="A9" s="164">
        <v>8</v>
      </c>
      <c r="B9" s="164">
        <v>3</v>
      </c>
    </row>
    <row r="10" ht="14.25" spans="1:2">
      <c r="A10" s="186" t="s">
        <v>560</v>
      </c>
      <c r="B10" s="186" t="s">
        <v>622</v>
      </c>
    </row>
    <row r="11" ht="28.5" spans="1:2">
      <c r="A11" s="164">
        <f>RSQ(A5:A9,B5:B9)</f>
        <v>0.107791602901058</v>
      </c>
      <c r="B11" s="164" t="s">
        <v>678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C17" sqref="C17"/>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679</v>
      </c>
      <c r="B1" s="2"/>
      <c r="C1" s="2"/>
      <c r="D1" s="2"/>
      <c r="E1" s="2"/>
      <c r="F1" s="2"/>
      <c r="G1" s="2"/>
    </row>
    <row r="2" ht="60" customHeight="1" spans="1:7">
      <c r="A2" s="83" t="s">
        <v>680</v>
      </c>
      <c r="B2" s="84"/>
      <c r="C2" s="84"/>
      <c r="D2" s="84"/>
      <c r="E2" s="84"/>
      <c r="F2" s="84"/>
      <c r="G2" s="84"/>
    </row>
    <row r="3" ht="21" customHeight="1" spans="1:4">
      <c r="A3" s="100" t="s">
        <v>553</v>
      </c>
      <c r="B3" s="101"/>
      <c r="C3" s="45"/>
      <c r="D3" s="45"/>
    </row>
    <row r="4" ht="20" customHeight="1" spans="1:2">
      <c r="A4" s="86" t="s">
        <v>560</v>
      </c>
      <c r="B4" s="86" t="s">
        <v>622</v>
      </c>
    </row>
    <row r="5" ht="19" customHeight="1" spans="1:2">
      <c r="A5" s="86">
        <f>SUMSQ(2,7)</f>
        <v>53</v>
      </c>
      <c r="B5" s="86" t="s">
        <v>681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B13" sqref="B13"/>
    </sheetView>
  </sheetViews>
  <sheetFormatPr defaultColWidth="9" defaultRowHeight="13.5" outlineLevelRow="6"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682</v>
      </c>
      <c r="B1" s="2"/>
      <c r="C1" s="2"/>
      <c r="D1" s="2"/>
      <c r="E1" s="2"/>
      <c r="F1" s="2"/>
      <c r="G1" s="2"/>
    </row>
    <row r="2" ht="85" customHeight="1" spans="1:7">
      <c r="A2" s="83" t="s">
        <v>683</v>
      </c>
      <c r="B2" s="84"/>
      <c r="C2" s="84"/>
      <c r="D2" s="84"/>
      <c r="E2" s="84"/>
      <c r="F2" s="84"/>
      <c r="G2" s="84"/>
    </row>
    <row r="3" ht="21" customHeight="1" spans="1:4">
      <c r="A3" s="100" t="s">
        <v>553</v>
      </c>
      <c r="B3" s="101"/>
      <c r="C3" s="45"/>
      <c r="D3" s="45"/>
    </row>
    <row r="4" ht="20" customHeight="1" spans="1:2">
      <c r="A4" s="86" t="s">
        <v>560</v>
      </c>
      <c r="B4" s="86" t="s">
        <v>622</v>
      </c>
    </row>
    <row r="5" ht="19" customHeight="1" spans="1:2">
      <c r="A5" s="86">
        <f>QUOTIENT(8,3)</f>
        <v>2</v>
      </c>
      <c r="B5" s="86" t="s">
        <v>684</v>
      </c>
    </row>
    <row r="6" ht="19" customHeight="1" spans="1:2">
      <c r="A6" s="86">
        <f>QUOTIENT(5.5,2.7)</f>
        <v>2</v>
      </c>
      <c r="B6" s="86" t="s">
        <v>685</v>
      </c>
    </row>
    <row r="7" ht="19" customHeight="1" spans="1:2">
      <c r="A7" s="86">
        <f>QUOTIENT(-11,4)</f>
        <v>-2</v>
      </c>
      <c r="B7" s="86" t="s">
        <v>686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687</v>
      </c>
      <c r="B1" s="2"/>
      <c r="C1" s="2"/>
      <c r="D1" s="2"/>
      <c r="E1" s="2"/>
      <c r="F1" s="2"/>
      <c r="G1" s="2"/>
    </row>
    <row r="2" ht="115" customHeight="1" spans="1:7">
      <c r="A2" s="83" t="s">
        <v>688</v>
      </c>
      <c r="B2" s="84"/>
      <c r="C2" s="84"/>
      <c r="D2" s="84"/>
      <c r="E2" s="84"/>
      <c r="F2" s="84"/>
      <c r="G2" s="84"/>
    </row>
    <row r="3" ht="171" customHeight="1" spans="1:7">
      <c r="A3" s="182" t="s">
        <v>689</v>
      </c>
      <c r="B3" s="182"/>
      <c r="C3" s="182"/>
      <c r="D3" s="182"/>
      <c r="E3" s="182"/>
      <c r="F3" s="182"/>
      <c r="G3" s="335"/>
    </row>
    <row r="4" ht="21" customHeight="1" spans="1:4">
      <c r="A4" s="100" t="s">
        <v>553</v>
      </c>
      <c r="B4" s="101"/>
      <c r="C4" s="45"/>
      <c r="D4" s="45"/>
    </row>
    <row r="5" ht="20" customHeight="1" spans="1:2">
      <c r="A5" s="86" t="s">
        <v>582</v>
      </c>
      <c r="B5" s="86" t="s">
        <v>558</v>
      </c>
    </row>
    <row r="6" ht="19" customHeight="1" spans="1:2">
      <c r="A6" s="86">
        <v>400</v>
      </c>
      <c r="B6" s="86" t="s">
        <v>690</v>
      </c>
    </row>
    <row r="7" ht="19" customHeight="1" spans="1:2">
      <c r="A7" s="86">
        <v>0.1</v>
      </c>
      <c r="B7" s="86" t="s">
        <v>691</v>
      </c>
    </row>
    <row r="8" ht="19" customHeight="1" spans="1:2">
      <c r="A8" s="86">
        <v>12</v>
      </c>
      <c r="B8" s="86" t="s">
        <v>692</v>
      </c>
    </row>
    <row r="9" ht="14.25" spans="1:2">
      <c r="A9" s="86" t="s">
        <v>560</v>
      </c>
      <c r="B9" s="86" t="s">
        <v>622</v>
      </c>
    </row>
    <row r="10" ht="14.25" spans="1:2">
      <c r="A10" s="86">
        <f>PV(A7/12,12*A8,A6,,0)</f>
        <v>-33470.6112931611</v>
      </c>
      <c r="B10" s="86" t="s">
        <v>693</v>
      </c>
    </row>
  </sheetData>
  <mergeCells count="4">
    <mergeCell ref="A1:G1"/>
    <mergeCell ref="A2:G2"/>
    <mergeCell ref="A3:F3"/>
    <mergeCell ref="B4:D4"/>
  </mergeCells>
  <dataValidations count="1">
    <dataValidation type="list" allowBlank="1" showInputMessage="1" showErrorMessage="1" sqref="B2 C2 B3 C3">
      <formula1>函数!$C$1:$C$9</formula1>
    </dataValidation>
  </dataValidation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694</v>
      </c>
      <c r="B1" s="2"/>
      <c r="C1" s="2"/>
      <c r="D1" s="2"/>
      <c r="E1" s="2"/>
      <c r="F1" s="2"/>
      <c r="G1" s="2"/>
    </row>
    <row r="2" ht="144" customHeight="1" spans="1:7">
      <c r="A2" s="83" t="s">
        <v>695</v>
      </c>
      <c r="B2" s="84"/>
      <c r="C2" s="84"/>
      <c r="D2" s="84"/>
      <c r="E2" s="84"/>
      <c r="F2" s="84"/>
      <c r="G2" s="84"/>
    </row>
    <row r="3" ht="60" customHeight="1" spans="1:7">
      <c r="A3" s="182" t="s">
        <v>696</v>
      </c>
      <c r="B3" s="182"/>
      <c r="C3" s="182"/>
      <c r="D3" s="182"/>
      <c r="E3" s="182"/>
      <c r="F3" s="182"/>
      <c r="G3" s="335"/>
    </row>
    <row r="4" ht="21" customHeight="1" spans="1:4">
      <c r="A4" s="100" t="s">
        <v>553</v>
      </c>
      <c r="B4" s="101"/>
      <c r="C4" s="45"/>
      <c r="D4" s="45"/>
    </row>
    <row r="5" ht="20" customHeight="1" spans="1:2">
      <c r="A5" s="134" t="s">
        <v>582</v>
      </c>
      <c r="B5" s="134" t="s">
        <v>558</v>
      </c>
    </row>
    <row r="6" ht="19" customHeight="1" spans="1:2">
      <c r="A6" s="324">
        <v>0.06</v>
      </c>
      <c r="B6" s="126" t="s">
        <v>631</v>
      </c>
    </row>
    <row r="7" ht="19" customHeight="1" spans="1:2">
      <c r="A7" s="126">
        <v>3</v>
      </c>
      <c r="B7" s="126" t="s">
        <v>697</v>
      </c>
    </row>
    <row r="8" ht="19" customHeight="1" spans="1:2">
      <c r="A8" s="126">
        <v>12000</v>
      </c>
      <c r="B8" s="126" t="s">
        <v>633</v>
      </c>
    </row>
    <row r="9" ht="14.25" spans="1:2">
      <c r="A9" s="134" t="s">
        <v>560</v>
      </c>
      <c r="B9" s="134" t="s">
        <v>622</v>
      </c>
    </row>
    <row r="10" ht="14.25" spans="1:2">
      <c r="A10" s="326">
        <f>PPMT(A6/12,1,A7*12,A8)</f>
        <v>-305.063249418669</v>
      </c>
      <c r="B10" s="126" t="s">
        <v>698</v>
      </c>
    </row>
    <row r="11" ht="14.25" spans="1:2">
      <c r="A11" s="127"/>
      <c r="B11" s="127"/>
    </row>
    <row r="12" ht="14.25" spans="1:2">
      <c r="A12" s="138" t="s">
        <v>699</v>
      </c>
      <c r="B12" s="127"/>
    </row>
    <row r="13" ht="14.25" spans="1:2">
      <c r="A13" s="327"/>
      <c r="B13" s="127"/>
    </row>
    <row r="14" ht="14.25" spans="1:2">
      <c r="A14" s="134" t="s">
        <v>582</v>
      </c>
      <c r="B14" s="134" t="s">
        <v>558</v>
      </c>
    </row>
    <row r="15" ht="14.25" spans="1:2">
      <c r="A15" s="324">
        <v>0.06</v>
      </c>
      <c r="B15" s="126" t="s">
        <v>631</v>
      </c>
    </row>
    <row r="16" ht="14.25" spans="1:2">
      <c r="A16" s="126">
        <v>3</v>
      </c>
      <c r="B16" s="126" t="s">
        <v>697</v>
      </c>
    </row>
    <row r="17" ht="14.25" spans="1:2">
      <c r="A17" s="126">
        <v>12000</v>
      </c>
      <c r="B17" s="126" t="s">
        <v>633</v>
      </c>
    </row>
    <row r="18" ht="14.25" spans="1:2">
      <c r="A18" s="134" t="s">
        <v>560</v>
      </c>
      <c r="B18" s="134" t="s">
        <v>622</v>
      </c>
    </row>
    <row r="19" ht="14.25" spans="1:2">
      <c r="A19" s="326">
        <f>PPMT(A15,A16,A16,A17)</f>
        <v>-4235.20542781756</v>
      </c>
      <c r="B19" s="126" t="s">
        <v>700</v>
      </c>
    </row>
  </sheetData>
  <mergeCells count="4">
    <mergeCell ref="A1:G1"/>
    <mergeCell ref="A2:G2"/>
    <mergeCell ref="A3:F3"/>
    <mergeCell ref="B4:D4"/>
  </mergeCells>
  <dataValidations count="1">
    <dataValidation type="list" allowBlank="1" showInputMessage="1" showErrorMessage="1" sqref="B2 C2 B3 C3">
      <formula1>函数!$C$1:$C$9</formula1>
    </dataValidation>
  </dataValidations>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
  <sheetViews>
    <sheetView showGridLines="0" workbookViewId="0">
      <pane ySplit="2" topLeftCell="A12" activePane="bottomLeft" state="frozen"/>
      <selection/>
      <selection pane="bottomLeft" activeCell="D15" sqref="D15"/>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694</v>
      </c>
      <c r="B1" s="2"/>
      <c r="C1" s="2"/>
      <c r="D1" s="2"/>
      <c r="E1" s="2"/>
      <c r="F1" s="2"/>
      <c r="G1" s="2"/>
    </row>
    <row r="2" ht="215" customHeight="1" spans="1:7">
      <c r="A2" s="83" t="s">
        <v>630</v>
      </c>
      <c r="B2" s="84"/>
      <c r="C2" s="84"/>
      <c r="D2" s="84"/>
      <c r="E2" s="84"/>
      <c r="F2" s="84"/>
      <c r="G2" s="84"/>
    </row>
    <row r="3" ht="171" customHeight="1" spans="1:7">
      <c r="A3" s="182" t="s">
        <v>689</v>
      </c>
      <c r="B3" s="182"/>
      <c r="C3" s="182"/>
      <c r="D3" s="182"/>
      <c r="E3" s="182"/>
      <c r="F3" s="182"/>
      <c r="G3" s="335"/>
    </row>
    <row r="4" ht="21" customHeight="1" spans="1:4">
      <c r="A4" s="100" t="s">
        <v>553</v>
      </c>
      <c r="B4" s="101"/>
      <c r="C4" s="45"/>
      <c r="D4" s="45"/>
    </row>
    <row r="5" ht="20" customHeight="1" spans="1:2">
      <c r="A5" s="29" t="s">
        <v>582</v>
      </c>
      <c r="B5" s="29" t="s">
        <v>558</v>
      </c>
    </row>
    <row r="6" ht="19" customHeight="1" spans="1:2">
      <c r="A6" s="324">
        <v>0.06</v>
      </c>
      <c r="B6" s="126" t="s">
        <v>631</v>
      </c>
    </row>
    <row r="7" ht="19" customHeight="1" spans="1:2">
      <c r="A7" s="126">
        <v>10</v>
      </c>
      <c r="B7" s="126" t="s">
        <v>632</v>
      </c>
    </row>
    <row r="8" ht="19" customHeight="1" spans="1:2">
      <c r="A8" s="126">
        <v>12000</v>
      </c>
      <c r="B8" s="126" t="s">
        <v>633</v>
      </c>
    </row>
    <row r="9" ht="14.25" spans="1:2">
      <c r="A9" s="134" t="s">
        <v>560</v>
      </c>
      <c r="B9" s="134" t="s">
        <v>622</v>
      </c>
    </row>
    <row r="10" ht="14.25" spans="1:2">
      <c r="A10" s="326">
        <f>PMT(A6/12,A7,A8)</f>
        <v>-1233.24687296747</v>
      </c>
      <c r="B10" s="126" t="s">
        <v>634</v>
      </c>
    </row>
    <row r="11" ht="28.5" spans="1:2">
      <c r="A11" s="326">
        <f>PMT(A6/12,A7,A8,0,1)</f>
        <v>-1227.11131638554</v>
      </c>
      <c r="B11" s="126" t="s">
        <v>635</v>
      </c>
    </row>
    <row r="12" ht="14.25" spans="1:2">
      <c r="A12" s="127"/>
      <c r="B12" s="127"/>
    </row>
    <row r="13" ht="14.25" spans="1:2">
      <c r="A13" s="127"/>
      <c r="B13" s="127"/>
    </row>
    <row r="14" ht="14.25" spans="1:2">
      <c r="A14" s="327"/>
      <c r="B14" s="127"/>
    </row>
    <row r="15" ht="14.25" spans="1:2">
      <c r="A15" s="127" t="s">
        <v>636</v>
      </c>
      <c r="B15" s="127"/>
    </row>
    <row r="16" ht="14.25" spans="1:2">
      <c r="A16" s="327"/>
      <c r="B16" s="127"/>
    </row>
    <row r="17" ht="14.25" spans="1:2">
      <c r="A17" s="134" t="s">
        <v>582</v>
      </c>
      <c r="B17" s="134" t="s">
        <v>558</v>
      </c>
    </row>
    <row r="18" ht="14.25" spans="1:2">
      <c r="A18" s="324">
        <v>0.04</v>
      </c>
      <c r="B18" s="126" t="s">
        <v>631</v>
      </c>
    </row>
    <row r="19" ht="14.25" spans="1:2">
      <c r="A19" s="126">
        <v>10</v>
      </c>
      <c r="B19" s="126" t="s">
        <v>639</v>
      </c>
    </row>
    <row r="20" ht="14.25" spans="1:2">
      <c r="A20" s="325">
        <v>60000</v>
      </c>
      <c r="B20" s="126" t="s">
        <v>640</v>
      </c>
    </row>
    <row r="21" ht="14.25" spans="1:2">
      <c r="A21" s="134" t="s">
        <v>560</v>
      </c>
      <c r="B21" s="134" t="s">
        <v>622</v>
      </c>
    </row>
    <row r="22" ht="28.5" spans="1:2">
      <c r="A22" s="326">
        <f>PMT(A18/12,A19*12,0,A20)</f>
        <v>-407.470828989277</v>
      </c>
      <c r="B22" s="126" t="s">
        <v>641</v>
      </c>
    </row>
    <row r="23" ht="14.25" spans="1:2">
      <c r="A23" s="327"/>
      <c r="B23" s="127"/>
    </row>
    <row r="24" ht="14.25" spans="1:2">
      <c r="A24" s="138" t="s">
        <v>642</v>
      </c>
      <c r="B24" s="127"/>
    </row>
    <row r="25" ht="14.25" spans="1:2">
      <c r="A25" s="127"/>
      <c r="B25" s="127"/>
    </row>
  </sheetData>
  <mergeCells count="4">
    <mergeCell ref="A1:G1"/>
    <mergeCell ref="A2:G2"/>
    <mergeCell ref="A3:F3"/>
    <mergeCell ref="B4:D4"/>
  </mergeCells>
  <dataValidations count="1">
    <dataValidation type="list" allowBlank="1" showInputMessage="1" showErrorMessage="1" sqref="B2 C2 B3 C3">
      <formula1>函数!$C$1:$C$9</formula1>
    </dataValidation>
  </dataValidation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701</v>
      </c>
      <c r="B1" s="2"/>
      <c r="C1" s="2"/>
      <c r="D1" s="2"/>
      <c r="E1" s="2"/>
      <c r="F1" s="2"/>
      <c r="G1" s="2"/>
    </row>
    <row r="2" ht="84" customHeight="1" spans="1:7">
      <c r="A2" s="83" t="s">
        <v>702</v>
      </c>
      <c r="B2" s="84"/>
      <c r="C2" s="84"/>
      <c r="D2" s="84"/>
      <c r="E2" s="84"/>
      <c r="F2" s="84"/>
      <c r="G2" s="84"/>
    </row>
    <row r="3" ht="21" customHeight="1" spans="1:4">
      <c r="A3" s="100" t="s">
        <v>553</v>
      </c>
      <c r="B3" s="101"/>
      <c r="C3" s="45"/>
      <c r="D3" s="45"/>
    </row>
    <row r="4" ht="20" customHeight="1" spans="1:2">
      <c r="A4" s="86" t="s">
        <v>560</v>
      </c>
      <c r="B4" s="86" t="s">
        <v>622</v>
      </c>
    </row>
    <row r="5" ht="36" customHeight="1" spans="1:2">
      <c r="A5" s="86">
        <f>MULTINOMIAL(1,2,3)</f>
        <v>60</v>
      </c>
      <c r="B5" s="86" t="s">
        <v>703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
  <sheetViews>
    <sheetView showGridLines="0" workbookViewId="0">
      <pane ySplit="2" topLeftCell="A3" activePane="bottomLeft" state="frozen"/>
      <selection/>
      <selection pane="bottomLeft" activeCell="D8" sqref="D8"/>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704</v>
      </c>
      <c r="B1" s="2"/>
      <c r="C1" s="2"/>
      <c r="D1" s="2"/>
      <c r="E1" s="2"/>
      <c r="F1" s="2"/>
      <c r="G1" s="2"/>
    </row>
    <row r="2" ht="129" customHeight="1" spans="1:7">
      <c r="A2" s="83" t="s">
        <v>705</v>
      </c>
      <c r="B2" s="84"/>
      <c r="C2" s="84"/>
      <c r="D2" s="84"/>
      <c r="E2" s="84"/>
      <c r="F2" s="84"/>
      <c r="G2" s="84"/>
    </row>
    <row r="3" ht="21" customHeight="1" spans="1:4">
      <c r="A3" s="100" t="s">
        <v>553</v>
      </c>
      <c r="B3" s="101"/>
      <c r="C3" s="45"/>
      <c r="D3" s="45"/>
    </row>
    <row r="4" ht="20" customHeight="1" spans="1:2">
      <c r="A4" s="186" t="s">
        <v>582</v>
      </c>
      <c r="B4" s="127"/>
    </row>
    <row r="5" ht="19" customHeight="1" spans="1:2">
      <c r="A5" s="164">
        <v>19</v>
      </c>
      <c r="B5" s="127"/>
    </row>
    <row r="6" ht="19" customHeight="1" spans="1:2">
      <c r="A6" s="164">
        <v>12</v>
      </c>
      <c r="B6" s="127"/>
    </row>
    <row r="7" ht="19" customHeight="1" spans="1:2">
      <c r="A7" s="164">
        <v>9</v>
      </c>
      <c r="B7" s="127"/>
    </row>
    <row r="8" ht="14.25" spans="1:2">
      <c r="A8" s="164">
        <v>7</v>
      </c>
      <c r="B8" s="127"/>
    </row>
    <row r="9" ht="14.25" spans="1:2">
      <c r="A9" s="164">
        <v>6</v>
      </c>
      <c r="B9" s="127"/>
    </row>
    <row r="10" ht="14.25" spans="1:2">
      <c r="A10" s="164">
        <v>3</v>
      </c>
      <c r="B10" s="127"/>
    </row>
    <row r="11" ht="14.25" spans="1:2">
      <c r="A11" s="164">
        <v>3</v>
      </c>
      <c r="B11" s="127"/>
    </row>
    <row r="12" ht="14.25" spans="1:2">
      <c r="A12" s="164">
        <v>2</v>
      </c>
      <c r="B12" s="127"/>
    </row>
    <row r="13" ht="14.25" spans="1:2">
      <c r="A13" s="164">
        <v>1</v>
      </c>
      <c r="B13" s="127"/>
    </row>
    <row r="14" ht="14.25" spans="1:2">
      <c r="A14" s="164">
        <v>1</v>
      </c>
      <c r="B14" s="127"/>
    </row>
    <row r="15" ht="14.25" spans="1:2">
      <c r="A15" s="186" t="s">
        <v>560</v>
      </c>
      <c r="B15" s="186" t="s">
        <v>622</v>
      </c>
    </row>
    <row r="16" ht="57" spans="1:2">
      <c r="A16" s="164">
        <f>PERCENTRANK(A5:A14,2)</f>
        <v>0.222</v>
      </c>
      <c r="B16" s="164" t="s">
        <v>706</v>
      </c>
    </row>
    <row r="17" ht="14.25" spans="1:2">
      <c r="A17" s="164">
        <f>PERCENTRANK(A5:A14,4)</f>
        <v>0.481</v>
      </c>
      <c r="B17" s="164" t="s">
        <v>707</v>
      </c>
    </row>
    <row r="18" ht="14.25" spans="1:2">
      <c r="A18" s="164">
        <f>PERCENTRANK(A5:A14,8)</f>
        <v>0.722</v>
      </c>
      <c r="B18" s="164" t="s">
        <v>708</v>
      </c>
    </row>
    <row r="19" ht="57" spans="1:2">
      <c r="A19" s="164">
        <f>PERCENTRANK(A5:A14,5)</f>
        <v>0.518</v>
      </c>
      <c r="B19" s="164" t="s">
        <v>709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C7" sqref="C7"/>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710</v>
      </c>
      <c r="B1" s="2"/>
      <c r="C1" s="2"/>
      <c r="D1" s="2"/>
      <c r="E1" s="2"/>
      <c r="F1" s="2"/>
      <c r="G1" s="2"/>
    </row>
    <row r="2" ht="179" customHeight="1" spans="1:7">
      <c r="A2" s="83" t="s">
        <v>711</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5">
        <v>-180000</v>
      </c>
      <c r="B5" s="126" t="s">
        <v>712</v>
      </c>
    </row>
    <row r="6" ht="19" customHeight="1" spans="1:2">
      <c r="A6" s="325">
        <v>42000</v>
      </c>
      <c r="B6" s="126" t="s">
        <v>713</v>
      </c>
    </row>
    <row r="7" ht="19" customHeight="1" spans="1:2">
      <c r="A7" s="325">
        <v>39000</v>
      </c>
      <c r="B7" s="126" t="s">
        <v>714</v>
      </c>
    </row>
    <row r="8" ht="14.25" spans="1:2">
      <c r="A8" s="325">
        <v>40000</v>
      </c>
      <c r="B8" s="126" t="s">
        <v>715</v>
      </c>
    </row>
    <row r="9" ht="14.25" spans="1:2">
      <c r="A9" s="325">
        <v>32000</v>
      </c>
      <c r="B9" s="126" t="s">
        <v>716</v>
      </c>
    </row>
    <row r="10" ht="14.25" spans="1:2">
      <c r="A10" s="325">
        <v>48000</v>
      </c>
      <c r="B10" s="126" t="s">
        <v>717</v>
      </c>
    </row>
    <row r="11" ht="14.25" spans="1:2">
      <c r="A11" s="333">
        <v>0.08</v>
      </c>
      <c r="B11" s="126" t="s">
        <v>718</v>
      </c>
    </row>
    <row r="12" ht="14.25" spans="1:2">
      <c r="A12" s="333">
        <v>0.11</v>
      </c>
      <c r="B12" s="126" t="s">
        <v>719</v>
      </c>
    </row>
    <row r="13" ht="14.25" spans="1:2">
      <c r="A13" s="134" t="s">
        <v>560</v>
      </c>
      <c r="B13" s="134" t="s">
        <v>622</v>
      </c>
    </row>
    <row r="14" ht="14.25" spans="1:2">
      <c r="A14" s="324">
        <f>MIRR(A5:A10,A11,A12)</f>
        <v>0.0678222034905702</v>
      </c>
      <c r="B14" s="126" t="s">
        <v>720</v>
      </c>
    </row>
    <row r="15" ht="14.25" spans="1:2">
      <c r="A15" s="324">
        <f>MIRR(A5:A8,A11,A12)</f>
        <v>-0.0913540153611183</v>
      </c>
      <c r="B15" s="126" t="s">
        <v>721</v>
      </c>
    </row>
    <row r="16" ht="28.5" spans="1:2">
      <c r="A16" s="324">
        <f>MIRR(A5:A10,A11,8%)</f>
        <v>0.0552084514421651</v>
      </c>
      <c r="B16" s="126" t="s">
        <v>722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723</v>
      </c>
      <c r="B1" s="2"/>
      <c r="C1" s="2"/>
      <c r="D1" s="2"/>
      <c r="E1" s="2"/>
      <c r="F1" s="2"/>
      <c r="G1" s="2"/>
    </row>
    <row r="2" ht="183" customHeight="1" spans="1:7">
      <c r="A2" s="83" t="s">
        <v>724</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5">
        <v>-68000</v>
      </c>
      <c r="B5" s="126" t="s">
        <v>725</v>
      </c>
    </row>
    <row r="6" ht="19" customHeight="1" spans="1:2">
      <c r="A6" s="325">
        <v>11000</v>
      </c>
      <c r="B6" s="126" t="s">
        <v>726</v>
      </c>
    </row>
    <row r="7" ht="19" customHeight="1" spans="1:2">
      <c r="A7" s="325">
        <v>14000</v>
      </c>
      <c r="B7" s="126" t="s">
        <v>727</v>
      </c>
    </row>
    <row r="8" ht="14.25" spans="1:2">
      <c r="A8" s="325">
        <v>18000</v>
      </c>
      <c r="B8" s="126" t="s">
        <v>728</v>
      </c>
    </row>
    <row r="9" ht="14.25" spans="1:2">
      <c r="A9" s="325">
        <v>22000</v>
      </c>
      <c r="B9" s="126" t="s">
        <v>729</v>
      </c>
    </row>
    <row r="10" ht="14.25" spans="1:2">
      <c r="A10" s="325">
        <v>28000</v>
      </c>
      <c r="B10" s="126" t="s">
        <v>730</v>
      </c>
    </row>
    <row r="11" ht="14.25" spans="1:2">
      <c r="A11" s="134" t="s">
        <v>560</v>
      </c>
      <c r="B11" s="134" t="s">
        <v>622</v>
      </c>
    </row>
    <row r="12" ht="14.25" spans="1:2">
      <c r="A12" s="324">
        <f>IRR(A5:A9)</f>
        <v>-0.0160184506925583</v>
      </c>
      <c r="B12" s="126" t="s">
        <v>731</v>
      </c>
    </row>
    <row r="13" ht="14.25" spans="1:2">
      <c r="A13" s="324">
        <f>IRR(A5:A10)</f>
        <v>0.0975516949977482</v>
      </c>
      <c r="B13" s="126" t="s">
        <v>732</v>
      </c>
    </row>
    <row r="14" ht="28.5" spans="1:2">
      <c r="A14" s="324">
        <f>IRR(A5:A7,-10%)</f>
        <v>-0.458222531052505</v>
      </c>
      <c r="B14" s="126" t="s">
        <v>733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734</v>
      </c>
      <c r="B1" s="2"/>
      <c r="C1" s="2"/>
      <c r="D1" s="2"/>
      <c r="E1" s="2"/>
      <c r="F1" s="2"/>
      <c r="G1" s="2"/>
    </row>
    <row r="2" ht="201" customHeight="1" spans="1:7">
      <c r="A2" s="83" t="s">
        <v>735</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4">
        <v>0.08</v>
      </c>
      <c r="B5" s="126" t="s">
        <v>631</v>
      </c>
    </row>
    <row r="6" ht="19" customHeight="1" spans="1:2">
      <c r="A6" s="126">
        <v>1</v>
      </c>
      <c r="B6" s="126" t="s">
        <v>736</v>
      </c>
    </row>
    <row r="7" ht="19" customHeight="1" spans="1:2">
      <c r="A7" s="126">
        <v>5</v>
      </c>
      <c r="B7" s="126" t="s">
        <v>737</v>
      </c>
    </row>
    <row r="8" ht="14.25" spans="1:2">
      <c r="A8" s="126">
        <v>12000</v>
      </c>
      <c r="B8" s="126" t="s">
        <v>647</v>
      </c>
    </row>
    <row r="9" ht="14.25" spans="1:2">
      <c r="A9" s="134" t="s">
        <v>560</v>
      </c>
      <c r="B9" s="134" t="s">
        <v>622</v>
      </c>
    </row>
    <row r="10" ht="28.5" spans="1:2">
      <c r="A10" s="326">
        <f>IPMT(A5/12,A6,A7*12,A8)</f>
        <v>-80</v>
      </c>
      <c r="B10" s="126" t="s">
        <v>738</v>
      </c>
    </row>
    <row r="11" ht="28.5" spans="1:2">
      <c r="A11" s="326">
        <f>IPMT(A5,5,A7,A8)</f>
        <v>-222.627959614964</v>
      </c>
      <c r="B11" s="126" t="s">
        <v>739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showGridLines="0" workbookViewId="0">
      <pane ySplit="2" topLeftCell="A4"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11.25" customWidth="1"/>
    <col min="7" max="7" width="22.75" customWidth="1"/>
  </cols>
  <sheetData>
    <row r="1" ht="26" customHeight="1" spans="1:7">
      <c r="A1" s="2" t="s">
        <v>740</v>
      </c>
      <c r="B1" s="2"/>
      <c r="C1" s="2"/>
      <c r="D1" s="2"/>
      <c r="E1" s="2"/>
      <c r="F1" s="2"/>
      <c r="G1" s="2"/>
    </row>
    <row r="2" ht="127" customHeight="1" spans="1:7">
      <c r="A2" s="83" t="s">
        <v>741</v>
      </c>
      <c r="B2" s="84"/>
      <c r="C2" s="84"/>
      <c r="D2" s="84"/>
      <c r="E2" s="84"/>
      <c r="F2" s="84"/>
      <c r="G2" s="84"/>
    </row>
    <row r="3" ht="171" customHeight="1" spans="1:7">
      <c r="A3" s="182" t="s">
        <v>742</v>
      </c>
      <c r="B3" s="182"/>
      <c r="C3" s="182"/>
      <c r="D3" s="182"/>
      <c r="E3" s="182"/>
      <c r="F3" s="182"/>
      <c r="G3" s="182"/>
    </row>
    <row r="4" ht="21" customHeight="1" spans="1:4">
      <c r="A4" s="100" t="s">
        <v>553</v>
      </c>
      <c r="B4" s="101"/>
      <c r="C4" s="45"/>
      <c r="D4" s="45"/>
    </row>
    <row r="5" ht="20" customHeight="1" spans="1:2">
      <c r="A5" s="134" t="s">
        <v>582</v>
      </c>
      <c r="B5" s="134" t="s">
        <v>558</v>
      </c>
    </row>
    <row r="6" ht="19" customHeight="1" spans="1:2">
      <c r="A6" s="214">
        <v>39539</v>
      </c>
      <c r="B6" s="126" t="s">
        <v>743</v>
      </c>
    </row>
    <row r="7" ht="19" customHeight="1" spans="1:2">
      <c r="A7" s="214">
        <v>39614</v>
      </c>
      <c r="B7" s="126" t="s">
        <v>744</v>
      </c>
    </row>
    <row r="8" ht="19" customHeight="1" spans="1:2">
      <c r="A8" s="333">
        <v>0.1</v>
      </c>
      <c r="B8" s="126" t="s">
        <v>745</v>
      </c>
    </row>
    <row r="9" ht="14.25" spans="1:2">
      <c r="A9" s="334">
        <v>1000</v>
      </c>
      <c r="B9" s="126" t="s">
        <v>746</v>
      </c>
    </row>
    <row r="10" ht="28.5" spans="1:2">
      <c r="A10" s="126">
        <v>3</v>
      </c>
      <c r="B10" s="126" t="s">
        <v>747</v>
      </c>
    </row>
    <row r="11" ht="14.25" spans="1:2">
      <c r="A11" s="134" t="s">
        <v>560</v>
      </c>
      <c r="B11" s="134" t="s">
        <v>622</v>
      </c>
    </row>
    <row r="12" ht="14.25" spans="1:2">
      <c r="A12" s="126">
        <f>ACCRINTM(A6,A7,A8,A9,A10)</f>
        <v>20.5479452054795</v>
      </c>
      <c r="B12" s="126" t="s">
        <v>748</v>
      </c>
    </row>
  </sheetData>
  <mergeCells count="4">
    <mergeCell ref="A1:G1"/>
    <mergeCell ref="A2:G2"/>
    <mergeCell ref="A3:G3"/>
    <mergeCell ref="B4:D4"/>
  </mergeCells>
  <dataValidations count="1">
    <dataValidation type="list" allowBlank="1" showInputMessage="1" showErrorMessage="1" sqref="B2 C2 B3 C3">
      <formula1>函数!$C$1:$C$9</formula1>
    </dataValidation>
  </dataValidation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showGridLines="0" workbookViewId="0">
      <pane ySplit="2" topLeftCell="A3" activePane="bottomLeft" state="frozen"/>
      <selection/>
      <selection pane="bottomLeft" activeCell="D11" sqref="D1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749</v>
      </c>
      <c r="B1" s="2"/>
      <c r="C1" s="2"/>
      <c r="D1" s="2"/>
      <c r="E1" s="2"/>
      <c r="F1" s="2"/>
      <c r="G1" s="2"/>
    </row>
    <row r="2" ht="115" customHeight="1" spans="1:7">
      <c r="A2" s="83" t="s">
        <v>750</v>
      </c>
      <c r="B2" s="84"/>
      <c r="C2" s="84"/>
      <c r="D2" s="84"/>
      <c r="E2" s="84"/>
      <c r="F2" s="84"/>
      <c r="G2" s="84"/>
    </row>
    <row r="3" ht="21" customHeight="1" spans="1:4">
      <c r="A3" s="100" t="s">
        <v>553</v>
      </c>
      <c r="B3" s="101"/>
      <c r="C3" s="45"/>
      <c r="D3" s="45"/>
    </row>
    <row r="4" ht="20" customHeight="1" spans="1:2">
      <c r="A4" s="134" t="s">
        <v>582</v>
      </c>
      <c r="B4" s="127"/>
    </row>
    <row r="5" ht="19" customHeight="1" spans="1:2">
      <c r="A5" s="126">
        <v>2</v>
      </c>
      <c r="B5" s="127"/>
    </row>
    <row r="6" ht="19" customHeight="1" spans="1:2">
      <c r="A6" s="126">
        <v>4</v>
      </c>
      <c r="B6" s="127"/>
    </row>
    <row r="7" ht="19" customHeight="1" spans="1:2">
      <c r="A7" s="126">
        <v>5</v>
      </c>
      <c r="B7" s="127"/>
    </row>
    <row r="8" ht="14.25" spans="1:2">
      <c r="A8" s="126">
        <v>7</v>
      </c>
      <c r="B8" s="127"/>
    </row>
    <row r="9" ht="14.25" spans="1:2">
      <c r="A9" s="126">
        <v>3</v>
      </c>
      <c r="B9" s="127"/>
    </row>
    <row r="10" ht="14.25" spans="1:2">
      <c r="A10" s="126">
        <v>9</v>
      </c>
      <c r="B10" s="127"/>
    </row>
    <row r="11" ht="14.25" spans="1:2">
      <c r="A11" s="126">
        <v>7</v>
      </c>
      <c r="B11" s="127"/>
    </row>
    <row r="12" ht="14.25" spans="1:2">
      <c r="A12" s="126">
        <v>4</v>
      </c>
      <c r="B12" s="127"/>
    </row>
    <row r="13" ht="14.25" spans="1:2">
      <c r="A13" s="126">
        <v>2</v>
      </c>
      <c r="B13" s="127"/>
    </row>
    <row r="14" ht="14.25" spans="1:2">
      <c r="A14" s="126">
        <v>8</v>
      </c>
      <c r="B14" s="127"/>
    </row>
    <row r="15" ht="14.25" spans="1:2">
      <c r="A15" s="126">
        <v>6</v>
      </c>
      <c r="B15" s="127"/>
    </row>
    <row r="16" ht="14.25" spans="1:2">
      <c r="A16" s="127"/>
      <c r="B16" s="127"/>
    </row>
    <row r="17" ht="14.25" spans="1:2">
      <c r="A17" s="134" t="s">
        <v>560</v>
      </c>
      <c r="B17" s="134" t="s">
        <v>622</v>
      </c>
    </row>
    <row r="18" ht="28.5" spans="1:2">
      <c r="A18" s="126">
        <f>TRIMMEAN(A5:A15,0.4)</f>
        <v>5.14285714285714</v>
      </c>
      <c r="B18" s="126" t="s">
        <v>751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C11" sqref="C11"/>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752</v>
      </c>
      <c r="B1" s="2"/>
      <c r="C1" s="2"/>
      <c r="D1" s="2"/>
      <c r="E1" s="2"/>
      <c r="F1" s="2"/>
      <c r="G1" s="2"/>
    </row>
    <row r="2" ht="186" customHeight="1" spans="1:7">
      <c r="A2" s="83" t="s">
        <v>753</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0.254</v>
      </c>
      <c r="B5" s="86" t="s">
        <v>754</v>
      </c>
    </row>
    <row r="6" ht="19" customHeight="1" spans="1:2">
      <c r="A6" s="86">
        <v>40</v>
      </c>
      <c r="B6" s="86" t="s">
        <v>755</v>
      </c>
    </row>
    <row r="7" ht="19" customHeight="1" spans="1:2">
      <c r="A7" s="86" t="s">
        <v>560</v>
      </c>
      <c r="B7" s="86" t="s">
        <v>622</v>
      </c>
    </row>
    <row r="8" ht="28.5" spans="1:2">
      <c r="A8" s="86">
        <f>TINV(A5,A6)</f>
        <v>1.15733507228048</v>
      </c>
      <c r="B8" s="86" t="s">
        <v>756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617</v>
      </c>
      <c r="B1" s="2"/>
      <c r="C1" s="2"/>
      <c r="D1" s="2"/>
      <c r="E1" s="2"/>
      <c r="F1" s="2"/>
      <c r="G1" s="2"/>
    </row>
    <row r="2" ht="143" customHeight="1" spans="1:7">
      <c r="A2" s="83" t="s">
        <v>757</v>
      </c>
      <c r="B2" s="84"/>
      <c r="C2" s="84"/>
      <c r="D2" s="84"/>
      <c r="E2" s="84"/>
      <c r="F2" s="84"/>
      <c r="G2" s="84"/>
    </row>
    <row r="3" ht="21" customHeight="1" spans="1:4">
      <c r="A3" s="100" t="s">
        <v>553</v>
      </c>
      <c r="B3" s="101"/>
      <c r="C3" s="45"/>
      <c r="D3" s="45"/>
    </row>
    <row r="4" ht="20" customHeight="1" spans="1:2">
      <c r="A4" s="186" t="s">
        <v>582</v>
      </c>
      <c r="B4" s="127"/>
    </row>
    <row r="5" ht="19" customHeight="1" spans="1:2">
      <c r="A5" s="164">
        <v>19</v>
      </c>
      <c r="B5" s="127"/>
    </row>
    <row r="6" ht="19" customHeight="1" spans="1:2">
      <c r="A6" s="164">
        <v>12</v>
      </c>
      <c r="B6" s="127"/>
    </row>
    <row r="7" ht="19" customHeight="1" spans="1:2">
      <c r="A7" s="164">
        <v>9</v>
      </c>
      <c r="B7" s="127"/>
    </row>
    <row r="8" ht="14.25" spans="1:2">
      <c r="A8" s="164">
        <v>7</v>
      </c>
      <c r="B8" s="127"/>
    </row>
    <row r="9" ht="14.25" spans="1:2">
      <c r="A9" s="164">
        <v>6</v>
      </c>
      <c r="B9" s="127"/>
    </row>
    <row r="10" ht="14.25" spans="1:2">
      <c r="A10" s="164">
        <v>3</v>
      </c>
      <c r="B10" s="127"/>
    </row>
    <row r="11" ht="14.25" spans="1:2">
      <c r="A11" s="164">
        <v>3</v>
      </c>
      <c r="B11" s="127"/>
    </row>
    <row r="12" ht="14.25" spans="1:2">
      <c r="A12" s="164">
        <v>2</v>
      </c>
      <c r="B12" s="127"/>
    </row>
    <row r="13" ht="14.25" spans="1:2">
      <c r="A13" s="186" t="s">
        <v>560</v>
      </c>
      <c r="B13" s="186" t="s">
        <v>622</v>
      </c>
    </row>
    <row r="14" ht="28.5" spans="1:2">
      <c r="A14" s="164">
        <f>QUARTILE(A5:A12,1)</f>
        <v>3</v>
      </c>
      <c r="B14" s="164" t="s">
        <v>758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759</v>
      </c>
      <c r="B1" s="2"/>
      <c r="C1" s="2"/>
      <c r="D1" s="2"/>
      <c r="E1" s="2"/>
      <c r="F1" s="2"/>
      <c r="G1" s="2"/>
    </row>
    <row r="2" ht="225" customHeight="1" spans="1:7">
      <c r="A2" s="83" t="s">
        <v>760</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4</v>
      </c>
      <c r="B5" s="86" t="s">
        <v>761</v>
      </c>
    </row>
    <row r="6" ht="19" customHeight="1" spans="1:2">
      <c r="A6" s="86">
        <v>9</v>
      </c>
      <c r="B6" s="86" t="s">
        <v>762</v>
      </c>
    </row>
    <row r="7" ht="19" customHeight="1" spans="1:2">
      <c r="A7" s="86" t="s">
        <v>560</v>
      </c>
      <c r="B7" s="86" t="s">
        <v>622</v>
      </c>
    </row>
    <row r="8" ht="28.5" spans="1:2">
      <c r="A8" s="86">
        <f>POISSON(A5,A6,TRUE)</f>
        <v>0.0549636414951049</v>
      </c>
      <c r="B8" s="86" t="s">
        <v>763</v>
      </c>
    </row>
    <row r="9" ht="28.5" spans="1:2">
      <c r="A9" s="86">
        <f>POISSON(A5,A6,FALSE)</f>
        <v>0.033737155192196</v>
      </c>
      <c r="B9" s="86" t="s">
        <v>764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C10" sqref="C10"/>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765</v>
      </c>
      <c r="B1" s="2"/>
      <c r="C1" s="2"/>
      <c r="D1" s="2"/>
      <c r="E1" s="2"/>
      <c r="F1" s="2"/>
      <c r="G1" s="2"/>
    </row>
    <row r="2" ht="157" customHeight="1" spans="1:7">
      <c r="A2" s="83" t="s">
        <v>766</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0.999911583</v>
      </c>
      <c r="B5" s="86" t="s">
        <v>767</v>
      </c>
    </row>
    <row r="6" ht="19" customHeight="1" spans="1:2">
      <c r="A6" s="86">
        <v>30</v>
      </c>
      <c r="B6" s="86" t="s">
        <v>768</v>
      </c>
    </row>
    <row r="7" ht="19" customHeight="1" spans="1:2">
      <c r="A7" s="86">
        <v>1.6</v>
      </c>
      <c r="B7" s="86" t="s">
        <v>769</v>
      </c>
    </row>
    <row r="8" ht="14.25" spans="1:2">
      <c r="A8" s="86" t="s">
        <v>560</v>
      </c>
      <c r="B8" s="86" t="s">
        <v>622</v>
      </c>
    </row>
    <row r="9" ht="28.5" spans="1:2">
      <c r="A9" s="86">
        <f>NORMINV(A5,A6,A7)</f>
        <v>36.0000012941794</v>
      </c>
      <c r="B9" s="86" t="s">
        <v>770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B16" sqref="B16"/>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771</v>
      </c>
      <c r="B1" s="2"/>
      <c r="C1" s="2"/>
      <c r="D1" s="2"/>
      <c r="E1" s="2"/>
      <c r="F1" s="2"/>
      <c r="G1" s="2"/>
    </row>
    <row r="2" ht="110" customHeight="1" spans="1:7">
      <c r="A2" s="83" t="s">
        <v>772</v>
      </c>
      <c r="B2" s="84"/>
      <c r="C2" s="84"/>
      <c r="D2" s="84"/>
      <c r="E2" s="84"/>
      <c r="F2" s="84"/>
      <c r="G2" s="84"/>
    </row>
    <row r="3" ht="21" customHeight="1" spans="1:4">
      <c r="A3" s="100" t="s">
        <v>553</v>
      </c>
      <c r="B3" s="101"/>
      <c r="C3" s="45"/>
      <c r="D3" s="45"/>
    </row>
    <row r="4" ht="20" customHeight="1" spans="1:2">
      <c r="A4" s="86" t="s">
        <v>560</v>
      </c>
      <c r="B4" s="86" t="s">
        <v>622</v>
      </c>
    </row>
    <row r="5" ht="35" customHeight="1" spans="1:2">
      <c r="A5" s="86">
        <f>FISHERINV(0.8291140383)</f>
        <v>0.67999999999905</v>
      </c>
      <c r="B5" s="86" t="s">
        <v>773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C7" sqref="C7"/>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774</v>
      </c>
      <c r="B1" s="2"/>
      <c r="C1" s="2"/>
      <c r="D1" s="2"/>
      <c r="E1" s="2"/>
      <c r="F1" s="2"/>
      <c r="G1" s="2"/>
    </row>
    <row r="2" ht="186" customHeight="1" spans="1:7">
      <c r="A2" s="83" t="s">
        <v>775</v>
      </c>
      <c r="B2" s="84"/>
      <c r="C2" s="84"/>
      <c r="D2" s="84"/>
      <c r="E2" s="84"/>
      <c r="F2" s="84"/>
      <c r="G2" s="84"/>
    </row>
    <row r="3" ht="21" customHeight="1" spans="1:4">
      <c r="A3" s="100" t="s">
        <v>553</v>
      </c>
      <c r="B3" s="101"/>
      <c r="C3" s="45"/>
      <c r="D3" s="45"/>
    </row>
    <row r="4" ht="20" customHeight="1" spans="1:2">
      <c r="A4" s="332" t="s">
        <v>582</v>
      </c>
      <c r="B4" s="332" t="s">
        <v>558</v>
      </c>
    </row>
    <row r="5" ht="19" customHeight="1" spans="1:2">
      <c r="A5" s="86">
        <v>0.050837468</v>
      </c>
      <c r="B5" s="86" t="s">
        <v>776</v>
      </c>
    </row>
    <row r="6" ht="19" customHeight="1" spans="1:2">
      <c r="A6" s="86">
        <v>6</v>
      </c>
      <c r="B6" s="86" t="s">
        <v>777</v>
      </c>
    </row>
    <row r="7" ht="19" customHeight="1" spans="1:2">
      <c r="A7" s="86">
        <v>2</v>
      </c>
      <c r="B7" s="86" t="s">
        <v>778</v>
      </c>
    </row>
    <row r="8" ht="14.25" spans="1:2">
      <c r="A8" s="86" t="s">
        <v>560</v>
      </c>
      <c r="B8" s="86" t="s">
        <v>622</v>
      </c>
    </row>
    <row r="9" ht="14.25" spans="1:2">
      <c r="A9" s="86">
        <f>FINV(A5,A6,A7)</f>
        <v>18.9999998880979</v>
      </c>
      <c r="B9" s="86" t="s">
        <v>779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780</v>
      </c>
      <c r="B1" s="2"/>
      <c r="C1" s="2"/>
      <c r="D1" s="2"/>
      <c r="E1" s="2"/>
      <c r="F1" s="2"/>
      <c r="G1" s="2"/>
    </row>
    <row r="2" ht="156" customHeight="1" spans="1:7">
      <c r="A2" s="83" t="s">
        <v>781</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0.050837468</v>
      </c>
      <c r="B5" s="86" t="s">
        <v>782</v>
      </c>
    </row>
    <row r="6" ht="19" customHeight="1" spans="1:2">
      <c r="A6" s="86">
        <v>6</v>
      </c>
      <c r="B6" s="86" t="s">
        <v>783</v>
      </c>
    </row>
    <row r="7" ht="19" customHeight="1" spans="1:2">
      <c r="A7" s="86">
        <v>2</v>
      </c>
      <c r="B7" s="86" t="s">
        <v>784</v>
      </c>
    </row>
    <row r="8" ht="14.25" spans="1:2">
      <c r="A8" s="86" t="s">
        <v>560</v>
      </c>
      <c r="B8" s="86" t="s">
        <v>622</v>
      </c>
    </row>
    <row r="9" ht="28.5" spans="1:2">
      <c r="A9" s="86">
        <f>GAMMAINV(A5,A6,A7)</f>
        <v>5.24842041294933</v>
      </c>
      <c r="B9" s="86" t="s">
        <v>785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786</v>
      </c>
      <c r="B1" s="2"/>
      <c r="C1" s="2"/>
      <c r="D1" s="2"/>
      <c r="E1" s="2"/>
      <c r="F1" s="2"/>
      <c r="G1" s="2"/>
    </row>
    <row r="2" ht="210" customHeight="1" spans="1:7">
      <c r="A2" s="83" t="s">
        <v>787</v>
      </c>
      <c r="B2" s="84"/>
      <c r="C2" s="84"/>
      <c r="D2" s="84"/>
      <c r="E2" s="84"/>
      <c r="F2" s="84"/>
      <c r="G2" s="84"/>
    </row>
    <row r="3" ht="21" customHeight="1" spans="1:4">
      <c r="A3" s="100" t="s">
        <v>553</v>
      </c>
      <c r="B3" s="101"/>
      <c r="C3" s="45"/>
      <c r="D3" s="45"/>
    </row>
    <row r="4" ht="20" customHeight="1" spans="1:2">
      <c r="A4" s="86" t="s">
        <v>560</v>
      </c>
      <c r="B4" s="86" t="s">
        <v>622</v>
      </c>
    </row>
    <row r="5" ht="19" customHeight="1" spans="1:2">
      <c r="A5" s="86">
        <f>GAMMALN(6)</f>
        <v>4.78749174278205</v>
      </c>
      <c r="B5" s="86" t="s">
        <v>788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789</v>
      </c>
      <c r="B1" s="2"/>
      <c r="C1" s="2"/>
      <c r="D1" s="2"/>
      <c r="E1" s="2"/>
      <c r="F1" s="2"/>
      <c r="G1" s="2"/>
    </row>
    <row r="2" ht="189" customHeight="1" spans="1:7">
      <c r="A2" s="83" t="s">
        <v>790</v>
      </c>
      <c r="B2" s="84"/>
      <c r="C2" s="84"/>
      <c r="D2" s="84"/>
      <c r="E2" s="84"/>
      <c r="F2" s="84"/>
      <c r="G2" s="84"/>
    </row>
    <row r="3" ht="21" customHeight="1" spans="1:4">
      <c r="A3" s="100" t="s">
        <v>553</v>
      </c>
      <c r="B3" s="101"/>
      <c r="C3" s="45"/>
      <c r="D3" s="45"/>
    </row>
    <row r="4" ht="20" customHeight="1" spans="1:2">
      <c r="A4" s="186" t="s">
        <v>560</v>
      </c>
      <c r="B4" s="186" t="s">
        <v>622</v>
      </c>
    </row>
    <row r="5" ht="19" customHeight="1" spans="1:2">
      <c r="A5" s="164">
        <f>_xlfn.GAMMALN.PRECISE(6)</f>
        <v>4.78749174278205</v>
      </c>
      <c r="B5" s="164" t="s">
        <v>788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6.375" customWidth="1"/>
    <col min="2" max="2" width="39" customWidth="1"/>
    <col min="3" max="3" width="17.25" customWidth="1"/>
    <col min="4" max="4" width="34.75" customWidth="1"/>
    <col min="5" max="5" width="32.375" customWidth="1"/>
    <col min="6" max="6" width="36.25" customWidth="1"/>
    <col min="7" max="7" width="24.5" customWidth="1"/>
  </cols>
  <sheetData>
    <row r="1" ht="26" customHeight="1" spans="1:7">
      <c r="A1" s="2" t="s">
        <v>791</v>
      </c>
      <c r="B1" s="2"/>
      <c r="C1" s="2"/>
      <c r="D1" s="2"/>
      <c r="E1" s="2"/>
      <c r="F1" s="2"/>
      <c r="G1" s="2"/>
    </row>
    <row r="2" ht="174" customHeight="1" spans="1:7">
      <c r="A2" s="83" t="s">
        <v>792</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324">
        <v>0.16</v>
      </c>
      <c r="B5" s="126" t="s">
        <v>631</v>
      </c>
    </row>
    <row r="6" ht="19" customHeight="1" spans="1:2">
      <c r="A6" s="126">
        <v>-2000</v>
      </c>
      <c r="B6" s="126" t="s">
        <v>793</v>
      </c>
    </row>
    <row r="7" ht="19" customHeight="1" spans="1:2">
      <c r="A7" s="126">
        <v>-10000</v>
      </c>
      <c r="B7" s="126" t="s">
        <v>669</v>
      </c>
    </row>
    <row r="8" ht="14.25" spans="1:2">
      <c r="A8" s="126">
        <v>80000</v>
      </c>
      <c r="B8" s="126" t="s">
        <v>794</v>
      </c>
    </row>
    <row r="9" ht="14.25" spans="1:2">
      <c r="A9" s="126">
        <v>1</v>
      </c>
      <c r="B9" s="126" t="s">
        <v>670</v>
      </c>
    </row>
    <row r="10" ht="14.25" spans="1:2">
      <c r="A10" s="134" t="s">
        <v>560</v>
      </c>
      <c r="B10" s="134" t="s">
        <v>622</v>
      </c>
    </row>
    <row r="11" ht="14.25" spans="1:2">
      <c r="A11" s="126">
        <f>NPER(A5/12,A6,A7,A8,1)</f>
        <v>27.1147518432151</v>
      </c>
      <c r="B11" s="126" t="s">
        <v>795</v>
      </c>
    </row>
    <row r="12" ht="14.25" spans="1:2">
      <c r="A12" s="126">
        <f>NPER(A5/12,A6,A7,A8)</f>
        <v>27.3989642109223</v>
      </c>
      <c r="B12" s="126" t="s">
        <v>796</v>
      </c>
    </row>
    <row r="13" ht="14.25" spans="1:2">
      <c r="A13" s="126">
        <f>NPER(A5/12,A6,A7)</f>
        <v>-4.87258711048267</v>
      </c>
      <c r="B13" s="126" t="s">
        <v>797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798</v>
      </c>
      <c r="B1" s="2"/>
      <c r="C1" s="2"/>
      <c r="D1" s="2"/>
      <c r="E1" s="2"/>
      <c r="F1" s="2"/>
      <c r="G1" s="2"/>
    </row>
    <row r="2" ht="129" customHeight="1" spans="1:7">
      <c r="A2" s="83" t="s">
        <v>799</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50</v>
      </c>
      <c r="B5" s="86" t="s">
        <v>800</v>
      </c>
    </row>
    <row r="6" ht="19" customHeight="1" spans="1:2">
      <c r="A6" s="86">
        <v>4</v>
      </c>
      <c r="B6" s="86" t="s">
        <v>801</v>
      </c>
    </row>
    <row r="7" ht="19" customHeight="1" spans="1:2">
      <c r="A7" s="86" t="s">
        <v>560</v>
      </c>
      <c r="B7" s="86" t="s">
        <v>622</v>
      </c>
    </row>
    <row r="8" ht="28.5" spans="1:2">
      <c r="A8" s="86">
        <f>PERMUT(A5,A6)</f>
        <v>5527200</v>
      </c>
      <c r="B8" s="86" t="s">
        <v>802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617</v>
      </c>
      <c r="B1" s="2"/>
      <c r="C1" s="2"/>
      <c r="D1" s="2"/>
      <c r="E1" s="2"/>
      <c r="F1" s="2"/>
      <c r="G1" s="2"/>
    </row>
    <row r="2" ht="115" customHeight="1" spans="1:7">
      <c r="A2" s="83" t="s">
        <v>803</v>
      </c>
      <c r="B2" s="84"/>
      <c r="C2" s="84"/>
      <c r="D2" s="84"/>
      <c r="E2" s="84"/>
      <c r="F2" s="84"/>
      <c r="G2" s="84"/>
    </row>
    <row r="3" ht="21" customHeight="1" spans="1:4">
      <c r="A3" s="100" t="s">
        <v>553</v>
      </c>
      <c r="B3" s="101"/>
      <c r="C3" s="45"/>
      <c r="D3" s="45"/>
    </row>
    <row r="4" ht="20" customHeight="1" spans="1:2">
      <c r="A4" s="86" t="s">
        <v>804</v>
      </c>
      <c r="B4" s="303"/>
    </row>
    <row r="5" ht="19" customHeight="1" spans="1:2">
      <c r="A5" s="296">
        <v>5</v>
      </c>
      <c r="B5" s="303"/>
    </row>
    <row r="6" ht="19" customHeight="1" spans="1:2">
      <c r="A6" s="86">
        <v>7</v>
      </c>
      <c r="B6" s="303"/>
    </row>
    <row r="7" ht="19" customHeight="1" spans="1:2">
      <c r="A7" s="86">
        <v>9</v>
      </c>
      <c r="B7" s="303"/>
    </row>
    <row r="8" ht="14.25" spans="1:2">
      <c r="A8" s="86">
        <v>4</v>
      </c>
      <c r="B8" s="303"/>
    </row>
    <row r="9" ht="14.25" spans="1:2">
      <c r="A9" s="86" t="s">
        <v>805</v>
      </c>
      <c r="B9" s="303"/>
    </row>
    <row r="10" ht="14.25" spans="1:2">
      <c r="A10" s="86" t="s">
        <v>621</v>
      </c>
      <c r="B10" s="86" t="s">
        <v>622</v>
      </c>
    </row>
    <row r="11" ht="28.5" spans="1:2">
      <c r="A11" s="86" t="s">
        <v>806</v>
      </c>
      <c r="B11" s="86" t="s">
        <v>807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808</v>
      </c>
      <c r="B1" s="2"/>
      <c r="C1" s="2"/>
      <c r="D1" s="2"/>
      <c r="E1" s="2"/>
      <c r="F1" s="2"/>
      <c r="G1" s="2"/>
    </row>
    <row r="2" ht="115" customHeight="1" spans="1:7">
      <c r="A2" s="83" t="s">
        <v>809</v>
      </c>
      <c r="B2" s="84"/>
      <c r="C2" s="84"/>
      <c r="D2" s="84"/>
      <c r="E2" s="84"/>
      <c r="F2" s="84"/>
      <c r="G2" s="84"/>
    </row>
    <row r="3" ht="21" customHeight="1" spans="1:4">
      <c r="A3" s="100" t="s">
        <v>553</v>
      </c>
      <c r="B3" s="101"/>
      <c r="C3" s="45"/>
      <c r="D3" s="45"/>
    </row>
    <row r="4" ht="20" customHeight="1" spans="1:2">
      <c r="A4" s="86" t="s">
        <v>582</v>
      </c>
      <c r="B4" s="86" t="s">
        <v>582</v>
      </c>
    </row>
    <row r="5" ht="19" customHeight="1" spans="1:2">
      <c r="A5" s="86">
        <v>1</v>
      </c>
      <c r="B5" s="86">
        <v>-1</v>
      </c>
    </row>
    <row r="6" ht="19" customHeight="1" spans="1:2">
      <c r="A6" s="86">
        <v>3</v>
      </c>
      <c r="B6" s="86">
        <v>2</v>
      </c>
    </row>
    <row r="7" ht="19" customHeight="1" spans="1:2">
      <c r="A7" s="86" t="s">
        <v>560</v>
      </c>
      <c r="B7" s="86" t="s">
        <v>590</v>
      </c>
    </row>
    <row r="8" ht="14.25" spans="1:2">
      <c r="A8" s="86" t="e">
        <f>MINVERSE(A5:A6)</f>
        <v>#VALUE!</v>
      </c>
      <c r="B8" s="86" t="s">
        <v>810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811</v>
      </c>
      <c r="B1" s="2"/>
      <c r="C1" s="2"/>
      <c r="D1" s="2"/>
      <c r="E1" s="2"/>
      <c r="F1" s="2"/>
      <c r="G1" s="2"/>
    </row>
    <row r="2" ht="115" customHeight="1" spans="1:7">
      <c r="A2" s="83" t="s">
        <v>812</v>
      </c>
      <c r="B2" s="84"/>
      <c r="C2" s="84"/>
      <c r="D2" s="84"/>
      <c r="E2" s="84"/>
      <c r="F2" s="84"/>
      <c r="G2" s="84"/>
    </row>
    <row r="3" ht="21" customHeight="1" spans="1:4">
      <c r="A3" s="100" t="s">
        <v>553</v>
      </c>
      <c r="B3" s="101"/>
      <c r="C3" s="45"/>
      <c r="D3" s="45"/>
    </row>
    <row r="4" ht="20" customHeight="1" spans="1:2">
      <c r="A4" s="135" t="s">
        <v>582</v>
      </c>
      <c r="B4" s="89"/>
    </row>
    <row r="5" ht="19" customHeight="1" spans="1:2">
      <c r="A5" s="296">
        <v>5</v>
      </c>
      <c r="B5" s="296"/>
    </row>
    <row r="6" ht="19" customHeight="1" spans="1:2">
      <c r="A6" s="86">
        <v>7</v>
      </c>
      <c r="B6" s="296"/>
    </row>
    <row r="7" ht="19" customHeight="1" spans="1:2">
      <c r="A7" s="86">
        <v>9</v>
      </c>
      <c r="B7" s="86"/>
    </row>
    <row r="8" ht="14.25" spans="1:2">
      <c r="A8" s="86">
        <v>4</v>
      </c>
      <c r="B8" s="86"/>
    </row>
    <row r="9" ht="14.25" spans="1:2">
      <c r="A9" s="86">
        <v>0</v>
      </c>
      <c r="B9" s="86"/>
    </row>
    <row r="10" ht="14.25" spans="1:2">
      <c r="A10" s="86" t="s">
        <v>621</v>
      </c>
      <c r="B10" s="86"/>
    </row>
    <row r="11" ht="28.5" spans="1:2">
      <c r="A11" s="86">
        <f>DEVSQ(A5:A9)</f>
        <v>46</v>
      </c>
      <c r="B11" s="135" t="s">
        <v>813</v>
      </c>
    </row>
    <row r="12" ht="14.25" spans="1:2">
      <c r="A12" s="135"/>
      <c r="B12" s="331"/>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814</v>
      </c>
      <c r="B1" s="2"/>
      <c r="C1" s="2"/>
      <c r="D1" s="2"/>
      <c r="E1" s="2"/>
      <c r="F1" s="2"/>
      <c r="G1" s="2"/>
    </row>
    <row r="2" ht="144" customHeight="1" spans="1:7">
      <c r="A2" s="83" t="s">
        <v>815</v>
      </c>
      <c r="B2" s="84"/>
      <c r="C2" s="84"/>
      <c r="D2" s="84"/>
      <c r="E2" s="84"/>
      <c r="F2" s="84"/>
      <c r="G2" s="84"/>
    </row>
    <row r="3" ht="21" customHeight="1" spans="1:4">
      <c r="A3" s="100" t="s">
        <v>553</v>
      </c>
      <c r="B3" s="101"/>
      <c r="C3" s="45"/>
      <c r="D3" s="45"/>
    </row>
    <row r="4" ht="20" customHeight="1" spans="1:2">
      <c r="A4" s="86" t="s">
        <v>804</v>
      </c>
      <c r="B4" s="86" t="s">
        <v>558</v>
      </c>
    </row>
    <row r="5" ht="19" customHeight="1" spans="1:2">
      <c r="A5" s="86">
        <v>36</v>
      </c>
      <c r="B5" s="86" t="s">
        <v>816</v>
      </c>
    </row>
    <row r="6" ht="19" customHeight="1" spans="1:2">
      <c r="A6" s="86">
        <v>30</v>
      </c>
      <c r="B6" s="86" t="s">
        <v>817</v>
      </c>
    </row>
    <row r="7" ht="19" customHeight="1" spans="1:2">
      <c r="A7" s="86">
        <v>1.6</v>
      </c>
      <c r="B7" s="86" t="s">
        <v>769</v>
      </c>
    </row>
    <row r="8" ht="14.25" spans="1:2">
      <c r="A8" s="86" t="s">
        <v>818</v>
      </c>
      <c r="B8" s="86" t="s">
        <v>622</v>
      </c>
    </row>
    <row r="9" ht="28.5" spans="1:2">
      <c r="A9" s="86">
        <f>NORMDIST(A5,A6,A7,TRUE)</f>
        <v>0.999911582714799</v>
      </c>
      <c r="B9" s="86" t="s">
        <v>819</v>
      </c>
    </row>
    <row r="10" ht="28.5" spans="1:2">
      <c r="A10" s="86">
        <f>NORMDIST(A5,A6,A7,FALSE)</f>
        <v>0.000220372301479653</v>
      </c>
      <c r="B10" s="86" t="s">
        <v>820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821</v>
      </c>
      <c r="B1" s="2"/>
      <c r="C1" s="2"/>
      <c r="D1" s="2"/>
      <c r="E1" s="2"/>
      <c r="F1" s="2"/>
      <c r="G1" s="2"/>
    </row>
    <row r="2" ht="85" customHeight="1" spans="1:7">
      <c r="A2" s="83" t="s">
        <v>822</v>
      </c>
      <c r="B2" s="84"/>
      <c r="C2" s="84"/>
      <c r="D2" s="84"/>
      <c r="E2" s="84"/>
      <c r="F2" s="84"/>
      <c r="G2" s="84"/>
    </row>
    <row r="3" ht="21" customHeight="1" spans="1:4">
      <c r="A3" s="100" t="s">
        <v>553</v>
      </c>
      <c r="B3" s="101"/>
      <c r="C3" s="45"/>
      <c r="D3" s="45"/>
    </row>
    <row r="4" ht="20" customHeight="1" spans="1:2">
      <c r="A4" s="86" t="s">
        <v>818</v>
      </c>
      <c r="B4" s="86" t="s">
        <v>622</v>
      </c>
    </row>
    <row r="5" ht="28.5" spans="1:2">
      <c r="A5" s="86">
        <f>NORMSDIST(2.568)</f>
        <v>0.9948856421968</v>
      </c>
      <c r="B5" s="86" t="s">
        <v>823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824</v>
      </c>
      <c r="B1" s="2"/>
      <c r="C1" s="2"/>
      <c r="D1" s="2"/>
      <c r="E1" s="2"/>
      <c r="F1" s="2"/>
      <c r="G1" s="2"/>
    </row>
    <row r="2" ht="101" customHeight="1" spans="1:7">
      <c r="A2" s="83" t="s">
        <v>825</v>
      </c>
      <c r="B2" s="84"/>
      <c r="C2" s="84"/>
      <c r="D2" s="84"/>
      <c r="E2" s="84"/>
      <c r="F2" s="84"/>
      <c r="G2" s="84"/>
    </row>
    <row r="3" ht="21" customHeight="1" spans="1:4">
      <c r="A3" s="100" t="s">
        <v>553</v>
      </c>
      <c r="B3" s="101"/>
      <c r="C3" s="45"/>
      <c r="D3" s="45"/>
    </row>
    <row r="4" ht="20" customHeight="1" spans="1:2">
      <c r="A4" s="89" t="s">
        <v>826</v>
      </c>
      <c r="B4" s="127"/>
    </row>
    <row r="5" ht="19" customHeight="1" spans="1:2">
      <c r="A5" s="296">
        <v>1452</v>
      </c>
      <c r="B5" s="127"/>
    </row>
    <row r="6" ht="19" customHeight="1" spans="1:2">
      <c r="A6" s="86">
        <v>1413</v>
      </c>
      <c r="B6" s="127"/>
    </row>
    <row r="7" ht="19" customHeight="1" spans="1:2">
      <c r="A7" s="86">
        <v>1498</v>
      </c>
      <c r="B7" s="127"/>
    </row>
    <row r="8" ht="14.25" spans="1:2">
      <c r="A8" s="86">
        <v>1401</v>
      </c>
      <c r="B8" s="127"/>
    </row>
    <row r="9" ht="14.25" spans="1:2">
      <c r="A9" s="86">
        <v>1408</v>
      </c>
      <c r="B9" s="127"/>
    </row>
    <row r="10" ht="14.25" spans="1:2">
      <c r="A10" s="86">
        <v>1492</v>
      </c>
      <c r="B10" s="127"/>
    </row>
    <row r="11" ht="14.25" spans="1:2">
      <c r="A11" s="86">
        <v>1475</v>
      </c>
      <c r="B11" s="127"/>
    </row>
    <row r="12" ht="14.25" spans="1:2">
      <c r="A12" s="86">
        <v>1426</v>
      </c>
      <c r="B12" s="127"/>
    </row>
    <row r="13" ht="14.25" spans="1:2">
      <c r="A13" s="86">
        <v>1416</v>
      </c>
      <c r="B13" s="127"/>
    </row>
    <row r="14" ht="14.25" spans="1:2">
      <c r="A14" s="86">
        <v>1314</v>
      </c>
      <c r="B14" s="127"/>
    </row>
    <row r="15" ht="14.25" spans="1:2">
      <c r="A15" s="86" t="s">
        <v>621</v>
      </c>
      <c r="B15" s="86" t="s">
        <v>622</v>
      </c>
    </row>
    <row r="16" ht="28.5" spans="1:2">
      <c r="A16" s="86">
        <f>STDEVA(A5:A14)</f>
        <v>54.0128585513569</v>
      </c>
      <c r="B16" s="86" t="s">
        <v>827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showGridLines="0" workbookViewId="0">
      <pane ySplit="2" topLeftCell="A3" activePane="bottomLeft" state="frozen"/>
      <selection/>
      <selection pane="bottomLeft" activeCell="D16" sqref="D16"/>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828</v>
      </c>
      <c r="B1" s="2"/>
      <c r="C1" s="2"/>
      <c r="D1" s="2"/>
      <c r="E1" s="2"/>
      <c r="F1" s="2"/>
      <c r="G1" s="2"/>
    </row>
    <row r="2" ht="156" customHeight="1" spans="1:7">
      <c r="A2" s="83" t="s">
        <v>829</v>
      </c>
      <c r="B2" s="84"/>
      <c r="C2" s="84"/>
      <c r="D2" s="84"/>
      <c r="E2" s="84"/>
      <c r="F2" s="84"/>
      <c r="G2" s="84"/>
    </row>
    <row r="3" ht="21" customHeight="1" spans="1:4">
      <c r="A3" s="100" t="s">
        <v>553</v>
      </c>
      <c r="B3" s="101"/>
      <c r="C3" s="45"/>
      <c r="D3" s="45"/>
    </row>
    <row r="4" ht="20" customHeight="1" spans="1:2">
      <c r="A4" s="134" t="s">
        <v>652</v>
      </c>
      <c r="B4" s="127"/>
    </row>
    <row r="5" ht="19" customHeight="1" spans="1:2">
      <c r="A5" s="126">
        <v>1345</v>
      </c>
      <c r="B5" s="127"/>
    </row>
    <row r="6" ht="19" customHeight="1" spans="1:2">
      <c r="A6" s="126">
        <v>1301</v>
      </c>
      <c r="B6" s="127"/>
    </row>
    <row r="7" ht="19" customHeight="1" spans="1:2">
      <c r="A7" s="126">
        <v>1368</v>
      </c>
      <c r="B7" s="127"/>
    </row>
    <row r="8" ht="14.25" spans="1:2">
      <c r="A8" s="126">
        <v>1322</v>
      </c>
      <c r="B8" s="127"/>
    </row>
    <row r="9" ht="14.25" spans="1:2">
      <c r="A9" s="126">
        <v>1310</v>
      </c>
      <c r="B9" s="127"/>
    </row>
    <row r="10" ht="14.25" spans="1:2">
      <c r="A10" s="126">
        <v>1370</v>
      </c>
      <c r="B10" s="127"/>
    </row>
    <row r="11" ht="14.25" spans="1:2">
      <c r="A11" s="126">
        <v>1318</v>
      </c>
      <c r="B11" s="127"/>
    </row>
    <row r="12" ht="14.25" spans="1:2">
      <c r="A12" s="126">
        <v>1350</v>
      </c>
      <c r="B12" s="127"/>
    </row>
    <row r="13" ht="14.25" spans="1:2">
      <c r="A13" s="126">
        <v>1303</v>
      </c>
      <c r="B13" s="127"/>
    </row>
    <row r="14" ht="14.25" spans="1:2">
      <c r="A14" s="126">
        <v>1299</v>
      </c>
      <c r="B14" s="127"/>
    </row>
    <row r="15" ht="14.25" spans="1:2">
      <c r="A15" s="127"/>
      <c r="B15" s="127"/>
    </row>
    <row r="16" ht="14.25" spans="1:2">
      <c r="A16" s="134" t="s">
        <v>560</v>
      </c>
      <c r="B16" s="134" t="s">
        <v>622</v>
      </c>
    </row>
    <row r="17" ht="28.5" spans="1:2">
      <c r="A17" s="126">
        <f>STDEVP(A5:A14)</f>
        <v>26.0545581424825</v>
      </c>
      <c r="B17" s="126" t="s">
        <v>830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831</v>
      </c>
      <c r="B1" s="2"/>
      <c r="C1" s="2"/>
      <c r="D1" s="2"/>
      <c r="E1" s="2"/>
      <c r="F1" s="2"/>
      <c r="G1" s="2"/>
    </row>
    <row r="2" ht="114" customHeight="1" spans="1:7">
      <c r="A2" s="83" t="s">
        <v>832</v>
      </c>
      <c r="B2" s="84"/>
      <c r="C2" s="84"/>
      <c r="D2" s="84"/>
      <c r="E2" s="84"/>
      <c r="F2" s="84"/>
      <c r="G2" s="84"/>
    </row>
    <row r="3" ht="21" customHeight="1" spans="1:4">
      <c r="A3" s="100" t="s">
        <v>553</v>
      </c>
      <c r="B3" s="101"/>
      <c r="C3" s="45"/>
      <c r="D3" s="45"/>
    </row>
    <row r="4" ht="19" customHeight="1" spans="1:2">
      <c r="A4" s="89" t="s">
        <v>826</v>
      </c>
      <c r="B4" s="127"/>
    </row>
    <row r="5" ht="19" customHeight="1" spans="1:2">
      <c r="A5" s="296">
        <v>1452</v>
      </c>
      <c r="B5" s="127"/>
    </row>
    <row r="6" ht="19" customHeight="1" spans="1:2">
      <c r="A6" s="86">
        <v>1413</v>
      </c>
      <c r="B6" s="127"/>
    </row>
    <row r="7" ht="14.25" spans="1:2">
      <c r="A7" s="86">
        <v>1498</v>
      </c>
      <c r="B7" s="127"/>
    </row>
    <row r="8" ht="14.25" spans="1:2">
      <c r="A8" s="86">
        <v>1401</v>
      </c>
      <c r="B8" s="127"/>
    </row>
    <row r="9" ht="14.25" spans="1:2">
      <c r="A9" s="86">
        <v>1408</v>
      </c>
      <c r="B9" s="127"/>
    </row>
    <row r="10" ht="14.25" spans="1:2">
      <c r="A10" s="86">
        <v>1492</v>
      </c>
      <c r="B10" s="127"/>
    </row>
    <row r="11" ht="14.25" spans="1:2">
      <c r="A11" s="86">
        <v>1475</v>
      </c>
      <c r="B11" s="127"/>
    </row>
    <row r="12" ht="14.25" spans="1:2">
      <c r="A12" s="86">
        <v>1426</v>
      </c>
      <c r="B12" s="127"/>
    </row>
    <row r="13" ht="14.25" spans="1:2">
      <c r="A13" s="86">
        <v>1416</v>
      </c>
      <c r="B13" s="127"/>
    </row>
    <row r="14" ht="14.25" spans="1:2">
      <c r="A14" s="86">
        <v>1314</v>
      </c>
      <c r="B14" s="127"/>
    </row>
    <row r="15" ht="14.25" spans="1:2">
      <c r="A15" s="86" t="s">
        <v>621</v>
      </c>
      <c r="B15" s="86" t="s">
        <v>622</v>
      </c>
    </row>
    <row r="16" ht="28.5" spans="1:2">
      <c r="A16" s="86">
        <f>STDEVPA(A5:A14)</f>
        <v>51.2410967876372</v>
      </c>
      <c r="B16" s="86" t="s">
        <v>833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3" sqref="A$1:G$1048576"/>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834</v>
      </c>
      <c r="B1" s="2"/>
      <c r="C1" s="2"/>
      <c r="D1" s="2"/>
      <c r="E1" s="2"/>
      <c r="F1" s="2"/>
      <c r="G1" s="2"/>
    </row>
    <row r="2" ht="129" customHeight="1" spans="1:7">
      <c r="A2" s="83" t="s">
        <v>835</v>
      </c>
      <c r="B2" s="84"/>
      <c r="C2" s="84"/>
      <c r="D2" s="84"/>
      <c r="E2" s="84"/>
      <c r="F2" s="84"/>
      <c r="G2" s="84"/>
    </row>
    <row r="3" ht="21" customHeight="1" spans="1:4">
      <c r="A3" s="100" t="s">
        <v>553</v>
      </c>
      <c r="B3" s="101"/>
      <c r="C3" s="45"/>
      <c r="D3" s="45"/>
    </row>
    <row r="4" ht="20" customHeight="1" spans="1:2">
      <c r="A4" s="86" t="s">
        <v>836</v>
      </c>
      <c r="B4" s="86"/>
    </row>
    <row r="5" ht="19" customHeight="1" spans="1:2">
      <c r="A5" s="86">
        <v>1</v>
      </c>
      <c r="B5" s="86"/>
    </row>
    <row r="6" ht="19" customHeight="1" spans="1:2">
      <c r="A6" s="86">
        <v>2</v>
      </c>
      <c r="B6" s="86"/>
    </row>
    <row r="7" ht="19" customHeight="1" spans="1:2">
      <c r="A7" s="86">
        <v>3</v>
      </c>
      <c r="B7" s="86"/>
    </row>
    <row r="8" ht="14.25" spans="1:2">
      <c r="A8" s="86">
        <v>4</v>
      </c>
      <c r="B8" s="86"/>
    </row>
    <row r="9" ht="14.25" spans="1:2">
      <c r="A9" s="86" t="s">
        <v>818</v>
      </c>
      <c r="B9" s="86" t="s">
        <v>622</v>
      </c>
    </row>
    <row r="10" ht="28.5" spans="1:2">
      <c r="A10" s="86">
        <f>PERCENTILE(A5:A8,0.3)</f>
        <v>1.9</v>
      </c>
      <c r="B10" s="86" t="s">
        <v>837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D15" sqref="D15"/>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834</v>
      </c>
      <c r="B1" s="2"/>
      <c r="C1" s="2"/>
      <c r="D1" s="2"/>
      <c r="E1" s="2"/>
      <c r="F1" s="2"/>
      <c r="G1" s="2"/>
    </row>
    <row r="2" ht="211" customHeight="1" spans="1:7">
      <c r="A2" s="83" t="s">
        <v>838</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226">
        <v>39539</v>
      </c>
      <c r="B5" s="86" t="s">
        <v>743</v>
      </c>
    </row>
    <row r="6" ht="19" customHeight="1" spans="1:2">
      <c r="A6" s="226">
        <v>39614</v>
      </c>
      <c r="B6" s="86" t="s">
        <v>744</v>
      </c>
    </row>
    <row r="7" ht="19" customHeight="1" spans="1:2">
      <c r="A7" s="330">
        <v>0.1</v>
      </c>
      <c r="B7" s="86" t="s">
        <v>745</v>
      </c>
    </row>
    <row r="8" ht="14.25" spans="1:2">
      <c r="A8" s="307">
        <v>1000</v>
      </c>
      <c r="B8" s="86" t="s">
        <v>746</v>
      </c>
    </row>
    <row r="9" ht="28.5" spans="1:2">
      <c r="A9" s="86">
        <v>3</v>
      </c>
      <c r="B9" s="86" t="s">
        <v>747</v>
      </c>
    </row>
    <row r="10" ht="14.25" spans="1:2">
      <c r="A10" s="86" t="s">
        <v>560</v>
      </c>
      <c r="B10" s="86" t="s">
        <v>622</v>
      </c>
    </row>
    <row r="11" ht="14.25" spans="1:2">
      <c r="A11" s="86">
        <f>ACCRINTM(A5,A6,A7,A8,A9)</f>
        <v>20.5479452054795</v>
      </c>
      <c r="B11" s="86" t="s">
        <v>748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839</v>
      </c>
      <c r="B1" s="2"/>
      <c r="C1" s="2"/>
      <c r="D1" s="2"/>
      <c r="E1" s="2"/>
      <c r="F1" s="2"/>
      <c r="G1" s="2"/>
    </row>
    <row r="2" ht="128" customHeight="1" spans="1:7">
      <c r="A2" s="83" t="s">
        <v>840</v>
      </c>
      <c r="B2" s="84"/>
      <c r="C2" s="84"/>
      <c r="D2" s="84"/>
      <c r="E2" s="84"/>
      <c r="F2" s="84"/>
      <c r="G2" s="84"/>
    </row>
    <row r="3" ht="21" customHeight="1" spans="1:4">
      <c r="A3" s="100" t="s">
        <v>553</v>
      </c>
      <c r="B3" s="101"/>
      <c r="C3" s="45"/>
      <c r="D3" s="45"/>
    </row>
    <row r="4" ht="20" customHeight="1" spans="1:2">
      <c r="A4" s="328" t="s">
        <v>652</v>
      </c>
      <c r="B4" s="253"/>
    </row>
    <row r="5" ht="19" customHeight="1" spans="1:2">
      <c r="A5" s="329">
        <v>1345</v>
      </c>
      <c r="B5" s="253"/>
    </row>
    <row r="6" ht="19" customHeight="1" spans="1:2">
      <c r="A6" s="329">
        <v>1301</v>
      </c>
      <c r="B6" s="253"/>
    </row>
    <row r="7" ht="19" customHeight="1" spans="1:2">
      <c r="A7" s="329">
        <v>1368</v>
      </c>
      <c r="B7" s="253"/>
    </row>
    <row r="8" ht="14.25" spans="1:2">
      <c r="A8" s="329">
        <v>1322</v>
      </c>
      <c r="B8" s="253"/>
    </row>
    <row r="9" ht="14.25" spans="1:2">
      <c r="A9" s="329">
        <v>1310</v>
      </c>
      <c r="B9" s="253"/>
    </row>
    <row r="10" ht="14.25" spans="1:2">
      <c r="A10" s="329">
        <v>1370</v>
      </c>
      <c r="B10" s="253"/>
    </row>
    <row r="11" ht="14.25" spans="1:2">
      <c r="A11" s="329">
        <v>1318</v>
      </c>
      <c r="B11" s="253"/>
    </row>
    <row r="12" ht="14.25" spans="1:2">
      <c r="A12" s="329">
        <v>1350</v>
      </c>
      <c r="B12" s="253"/>
    </row>
    <row r="13" ht="14.25" spans="1:2">
      <c r="A13" s="329">
        <v>1303</v>
      </c>
      <c r="B13" s="253"/>
    </row>
    <row r="14" ht="14.25" spans="1:2">
      <c r="A14" s="329">
        <v>1299</v>
      </c>
      <c r="B14" s="253"/>
    </row>
    <row r="15" ht="14.25" spans="1:2">
      <c r="A15" s="253"/>
      <c r="B15" s="253"/>
    </row>
    <row r="16" ht="14.25" spans="1:2">
      <c r="A16" s="328" t="s">
        <v>560</v>
      </c>
      <c r="B16" s="328" t="s">
        <v>622</v>
      </c>
    </row>
    <row r="17" ht="28.5" spans="1:2">
      <c r="A17" s="329">
        <f>VARP(A5:A14)</f>
        <v>678.84</v>
      </c>
      <c r="B17" s="329" t="s">
        <v>841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842</v>
      </c>
      <c r="B1" s="2"/>
      <c r="C1" s="2"/>
      <c r="D1" s="2"/>
      <c r="E1" s="2"/>
      <c r="F1" s="2"/>
      <c r="G1" s="2"/>
    </row>
    <row r="2" ht="88" customHeight="1" spans="1:7">
      <c r="A2" s="83" t="s">
        <v>843</v>
      </c>
      <c r="B2" s="84"/>
      <c r="C2" s="84"/>
      <c r="D2" s="84"/>
      <c r="E2" s="84"/>
      <c r="F2" s="84"/>
      <c r="G2" s="84"/>
    </row>
    <row r="3" ht="21" customHeight="1" spans="1:4">
      <c r="A3" s="100" t="s">
        <v>553</v>
      </c>
      <c r="B3" s="101"/>
      <c r="C3" s="45"/>
      <c r="D3" s="45"/>
    </row>
    <row r="4" ht="20" customHeight="1" spans="1:2">
      <c r="A4" s="126" t="s">
        <v>582</v>
      </c>
      <c r="B4" s="126" t="s">
        <v>558</v>
      </c>
    </row>
    <row r="5" ht="19" customHeight="1" spans="1:2">
      <c r="A5" s="126">
        <v>1800000</v>
      </c>
      <c r="B5" s="126" t="s">
        <v>712</v>
      </c>
    </row>
    <row r="6" ht="19" customHeight="1" spans="1:2">
      <c r="A6" s="126">
        <v>200000</v>
      </c>
      <c r="B6" s="126" t="s">
        <v>844</v>
      </c>
    </row>
    <row r="7" ht="19" customHeight="1" spans="1:2">
      <c r="A7" s="126">
        <v>6</v>
      </c>
      <c r="B7" s="126" t="s">
        <v>845</v>
      </c>
    </row>
    <row r="8" ht="14.25" spans="1:2">
      <c r="A8" s="126" t="s">
        <v>560</v>
      </c>
      <c r="B8" s="126" t="s">
        <v>622</v>
      </c>
    </row>
    <row r="9" ht="14.25" spans="1:2">
      <c r="A9" s="326">
        <f>SLN(A5,A6,A7)</f>
        <v>266666.666666667</v>
      </c>
      <c r="B9" s="126" t="s">
        <v>846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8"/>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847</v>
      </c>
      <c r="B1" s="2"/>
      <c r="C1" s="2"/>
      <c r="D1" s="2"/>
      <c r="E1" s="2"/>
      <c r="F1" s="2"/>
      <c r="G1" s="2"/>
    </row>
    <row r="2" ht="131" customHeight="1" spans="1:7">
      <c r="A2" s="83" t="s">
        <v>848</v>
      </c>
      <c r="B2" s="84"/>
      <c r="C2" s="84"/>
      <c r="D2" s="84"/>
      <c r="E2" s="84"/>
      <c r="F2" s="84"/>
      <c r="G2" s="84"/>
    </row>
    <row r="3" customFormat="1" ht="98" customHeight="1" spans="1:5">
      <c r="A3" s="322" t="s">
        <v>849</v>
      </c>
      <c r="B3" s="323"/>
      <c r="C3" s="323"/>
      <c r="D3" s="323"/>
      <c r="E3" s="323"/>
    </row>
    <row r="4" ht="21" customHeight="1" spans="1:4">
      <c r="A4" s="100" t="s">
        <v>553</v>
      </c>
      <c r="B4" s="101"/>
      <c r="C4" s="45"/>
      <c r="D4" s="45"/>
    </row>
    <row r="5" ht="14.25" spans="1:2">
      <c r="A5" s="134" t="s">
        <v>582</v>
      </c>
      <c r="B5" s="134" t="s">
        <v>558</v>
      </c>
    </row>
    <row r="6" ht="14.25" spans="1:2">
      <c r="A6" s="324">
        <v>0.08</v>
      </c>
      <c r="B6" s="126" t="s">
        <v>850</v>
      </c>
    </row>
    <row r="7" ht="14.25" spans="1:2">
      <c r="A7" s="325">
        <v>-8000</v>
      </c>
      <c r="B7" s="126" t="s">
        <v>851</v>
      </c>
    </row>
    <row r="8" ht="14.25" spans="1:2">
      <c r="A8" s="325">
        <v>3500</v>
      </c>
      <c r="B8" s="126" t="s">
        <v>713</v>
      </c>
    </row>
    <row r="9" ht="14.25" spans="1:2">
      <c r="A9" s="325">
        <v>4600</v>
      </c>
      <c r="B9" s="126" t="s">
        <v>714</v>
      </c>
    </row>
    <row r="10" ht="14.25" spans="1:2">
      <c r="A10" s="325">
        <v>6800</v>
      </c>
      <c r="B10" s="126" t="s">
        <v>715</v>
      </c>
    </row>
    <row r="11" ht="14.25" spans="1:2">
      <c r="A11" s="134" t="s">
        <v>560</v>
      </c>
      <c r="B11" s="134" t="s">
        <v>622</v>
      </c>
    </row>
    <row r="12" ht="14.25" spans="1:2">
      <c r="A12" s="326">
        <f>NPV(A6,A7,A8,A9,A10)</f>
        <v>4243.1097713575</v>
      </c>
      <c r="B12" s="126" t="s">
        <v>852</v>
      </c>
    </row>
    <row r="13" ht="14.25" spans="1:2">
      <c r="A13" s="127"/>
      <c r="B13" s="127"/>
    </row>
    <row r="14" ht="14.25" spans="1:2">
      <c r="A14" s="127" t="s">
        <v>853</v>
      </c>
      <c r="B14" s="127"/>
    </row>
    <row r="15" ht="14.25" spans="1:2">
      <c r="A15" s="327"/>
      <c r="B15" s="127"/>
    </row>
    <row r="16" ht="14.25" spans="1:2">
      <c r="A16" s="134" t="s">
        <v>582</v>
      </c>
      <c r="B16" s="134" t="s">
        <v>558</v>
      </c>
    </row>
    <row r="17" ht="28.5" spans="1:2">
      <c r="A17" s="324">
        <v>0.08</v>
      </c>
      <c r="B17" s="126" t="s">
        <v>854</v>
      </c>
    </row>
    <row r="18" ht="14.25" spans="1:2">
      <c r="A18" s="325">
        <v>-48000</v>
      </c>
      <c r="B18" s="126" t="s">
        <v>855</v>
      </c>
    </row>
    <row r="19" ht="14.25" spans="1:2">
      <c r="A19" s="325">
        <v>9300</v>
      </c>
      <c r="B19" s="126" t="s">
        <v>713</v>
      </c>
    </row>
    <row r="20" ht="14.25" spans="1:2">
      <c r="A20" s="325">
        <v>10600</v>
      </c>
      <c r="B20" s="126" t="s">
        <v>714</v>
      </c>
    </row>
    <row r="21" ht="14.25" spans="1:2">
      <c r="A21" s="325">
        <v>12800</v>
      </c>
      <c r="B21" s="126" t="s">
        <v>715</v>
      </c>
    </row>
    <row r="22" ht="14.25" spans="1:2">
      <c r="A22" s="325">
        <v>15000</v>
      </c>
      <c r="B22" s="126" t="s">
        <v>716</v>
      </c>
    </row>
    <row r="23" ht="14.25" spans="1:2">
      <c r="A23" s="325">
        <v>18200</v>
      </c>
      <c r="B23" s="126" t="s">
        <v>717</v>
      </c>
    </row>
    <row r="24" ht="14.25" spans="1:2">
      <c r="A24" s="134" t="s">
        <v>560</v>
      </c>
      <c r="B24" s="134" t="s">
        <v>622</v>
      </c>
    </row>
    <row r="25" ht="14.25" spans="1:2">
      <c r="A25" s="326">
        <f>NPV(A17,A19:A23)+A18</f>
        <v>3272.01726932928</v>
      </c>
      <c r="B25" s="126" t="s">
        <v>856</v>
      </c>
    </row>
    <row r="26" ht="28.5" spans="1:2">
      <c r="A26" s="326">
        <f>NPV(A17,A19:A23,-8000)+A18</f>
        <v>-1769.33974573555</v>
      </c>
      <c r="B26" s="126" t="s">
        <v>857</v>
      </c>
    </row>
    <row r="27" ht="14.25" spans="1:2">
      <c r="A27" s="327"/>
      <c r="B27" s="127"/>
    </row>
    <row r="28" ht="14.25" spans="1:2">
      <c r="A28" s="127" t="s">
        <v>858</v>
      </c>
      <c r="B28" s="127"/>
    </row>
  </sheetData>
  <mergeCells count="4">
    <mergeCell ref="A1:G1"/>
    <mergeCell ref="A2:G2"/>
    <mergeCell ref="A3:E3"/>
    <mergeCell ref="B4:D4"/>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859</v>
      </c>
      <c r="B1" s="2"/>
      <c r="C1" s="2"/>
      <c r="D1" s="2"/>
      <c r="E1" s="2"/>
      <c r="F1" s="2"/>
      <c r="G1" s="2"/>
    </row>
    <row r="2" ht="141" customHeight="1" spans="1:7">
      <c r="A2" s="83" t="s">
        <v>860</v>
      </c>
      <c r="B2" s="84"/>
      <c r="C2" s="84"/>
      <c r="D2" s="84"/>
      <c r="E2" s="84"/>
      <c r="F2" s="84"/>
      <c r="G2" s="84"/>
    </row>
    <row r="3" ht="21" customHeight="1" spans="1:4">
      <c r="A3" s="100" t="s">
        <v>553</v>
      </c>
      <c r="B3" s="101"/>
      <c r="C3" s="45"/>
      <c r="D3" s="45"/>
    </row>
    <row r="4" ht="20" customHeight="1" spans="1:2">
      <c r="A4" s="186" t="s">
        <v>652</v>
      </c>
      <c r="B4" s="127"/>
    </row>
    <row r="5" ht="19" customHeight="1" spans="1:2">
      <c r="A5" s="164">
        <v>1452</v>
      </c>
      <c r="B5" s="127"/>
    </row>
    <row r="6" ht="19" customHeight="1" spans="1:2">
      <c r="A6" s="164">
        <v>1413</v>
      </c>
      <c r="B6" s="127"/>
    </row>
    <row r="7" ht="19" customHeight="1" spans="1:2">
      <c r="A7" s="164">
        <v>1498</v>
      </c>
      <c r="B7" s="127"/>
    </row>
    <row r="8" ht="14.25" spans="1:2">
      <c r="A8" s="164">
        <v>1401</v>
      </c>
      <c r="B8" s="127"/>
    </row>
    <row r="9" ht="14.25" spans="1:2">
      <c r="A9" s="164">
        <v>1408</v>
      </c>
      <c r="B9" s="127"/>
    </row>
    <row r="10" ht="14.25" spans="1:2">
      <c r="A10" s="164">
        <v>1492</v>
      </c>
      <c r="B10" s="127"/>
    </row>
    <row r="11" ht="14.25" spans="1:2">
      <c r="A11" s="164">
        <v>1475</v>
      </c>
      <c r="B11" s="127"/>
    </row>
    <row r="12" ht="14.25" spans="1:2">
      <c r="A12" s="164">
        <v>1426</v>
      </c>
      <c r="B12" s="127"/>
    </row>
    <row r="13" ht="14.25" spans="1:2">
      <c r="A13" s="164">
        <v>1416</v>
      </c>
      <c r="B13" s="127"/>
    </row>
    <row r="14" ht="14.25" spans="1:2">
      <c r="A14" s="164">
        <v>1314</v>
      </c>
      <c r="B14" s="127"/>
    </row>
    <row r="15" ht="14.25" spans="1:2">
      <c r="A15" s="186" t="s">
        <v>560</v>
      </c>
      <c r="B15" s="186" t="s">
        <v>622</v>
      </c>
    </row>
    <row r="16" ht="28.5" spans="1:2">
      <c r="A16" s="164">
        <f>VARPA(A5:A14)</f>
        <v>2625.65</v>
      </c>
      <c r="B16" s="164" t="s">
        <v>861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9" sqref="$A9:$XFD11"/>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862</v>
      </c>
      <c r="B1" s="2"/>
      <c r="C1" s="2"/>
      <c r="D1" s="2"/>
      <c r="E1" s="2"/>
      <c r="F1" s="2"/>
      <c r="G1" s="2"/>
    </row>
    <row r="2" ht="143" customHeight="1" spans="1:7">
      <c r="A2" s="83" t="s">
        <v>863</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23.12</v>
      </c>
      <c r="B5" s="86" t="s">
        <v>864</v>
      </c>
    </row>
    <row r="6" ht="19" customHeight="1" spans="1:2">
      <c r="A6" s="86">
        <v>5</v>
      </c>
      <c r="B6" s="86" t="s">
        <v>755</v>
      </c>
    </row>
    <row r="7" ht="19" customHeight="1" spans="1:2">
      <c r="A7" s="86" t="s">
        <v>560</v>
      </c>
      <c r="B7" s="86" t="s">
        <v>622</v>
      </c>
    </row>
    <row r="8" ht="28.5" spans="1:2">
      <c r="A8" s="86">
        <f>CHIDIST(A5,A6)</f>
        <v>0.000320192362504708</v>
      </c>
      <c r="B8" s="86" t="s">
        <v>865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866</v>
      </c>
      <c r="B1" s="2"/>
      <c r="C1" s="2"/>
      <c r="D1" s="2"/>
      <c r="E1" s="2"/>
      <c r="F1" s="2"/>
      <c r="G1" s="2"/>
    </row>
    <row r="2" ht="143" customHeight="1" spans="1:7">
      <c r="A2" s="83" t="s">
        <v>867</v>
      </c>
      <c r="B2" s="84"/>
      <c r="C2" s="84"/>
      <c r="D2" s="84"/>
      <c r="E2" s="84"/>
      <c r="F2" s="84"/>
      <c r="G2" s="84"/>
    </row>
    <row r="3" ht="21" customHeight="1" spans="1:4">
      <c r="A3" s="100" t="s">
        <v>553</v>
      </c>
      <c r="B3" s="101"/>
      <c r="C3" s="45"/>
      <c r="D3" s="45"/>
    </row>
    <row r="4" ht="20" customHeight="1" spans="1:2">
      <c r="A4" s="134" t="s">
        <v>582</v>
      </c>
      <c r="B4" s="134" t="s">
        <v>558</v>
      </c>
    </row>
    <row r="5" ht="19" customHeight="1" spans="1:2">
      <c r="A5" s="126">
        <v>0.000320192</v>
      </c>
      <c r="B5" s="126" t="s">
        <v>868</v>
      </c>
    </row>
    <row r="6" ht="19" customHeight="1" spans="1:2">
      <c r="A6" s="126">
        <v>5</v>
      </c>
      <c r="B6" s="126" t="s">
        <v>755</v>
      </c>
    </row>
    <row r="7" ht="19" customHeight="1" spans="1:2">
      <c r="A7" s="134" t="s">
        <v>560</v>
      </c>
      <c r="B7" s="134" t="s">
        <v>622</v>
      </c>
    </row>
    <row r="8" ht="28.5" spans="1:2">
      <c r="A8" s="126">
        <f>CHIINV(A5,A6)</f>
        <v>23.1200025703221</v>
      </c>
      <c r="B8" s="126" t="s">
        <v>869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1"/>
  <sheetViews>
    <sheetView showGridLines="0" workbookViewId="0">
      <pane ySplit="2" topLeftCell="A6"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870</v>
      </c>
      <c r="B1" s="2"/>
      <c r="C1" s="2"/>
      <c r="D1" s="2"/>
      <c r="E1" s="2"/>
      <c r="F1" s="2"/>
      <c r="G1" s="2"/>
    </row>
    <row r="2" ht="90" customHeight="1" spans="1:7">
      <c r="A2" s="83" t="s">
        <v>871</v>
      </c>
      <c r="B2" s="84"/>
      <c r="C2" s="84"/>
      <c r="D2" s="84"/>
      <c r="E2" s="84"/>
      <c r="F2" s="84"/>
      <c r="G2" s="84"/>
    </row>
    <row r="3" customFormat="1" ht="14.25" spans="1:2">
      <c r="A3" s="184" t="s">
        <v>872</v>
      </c>
      <c r="B3" s="185"/>
    </row>
    <row r="4" customFormat="1" ht="14.25" spans="1:2">
      <c r="A4" s="186" t="s">
        <v>873</v>
      </c>
      <c r="B4" s="186" t="s">
        <v>874</v>
      </c>
    </row>
    <row r="5" customFormat="1" ht="14.25" spans="1:2">
      <c r="A5" s="164">
        <v>1</v>
      </c>
      <c r="B5" s="164" t="s">
        <v>875</v>
      </c>
    </row>
    <row r="6" customFormat="1" ht="14.25" spans="1:2">
      <c r="A6" s="164">
        <v>2</v>
      </c>
      <c r="B6" s="164" t="s">
        <v>876</v>
      </c>
    </row>
    <row r="7" customFormat="1" ht="14.25" spans="1:2">
      <c r="A7" s="164">
        <v>3</v>
      </c>
      <c r="B7" s="164" t="s">
        <v>877</v>
      </c>
    </row>
    <row r="8" customFormat="1" ht="87" customHeight="1" spans="1:4">
      <c r="A8" s="320" t="s">
        <v>878</v>
      </c>
      <c r="B8" s="321"/>
      <c r="C8" s="321"/>
      <c r="D8" s="321"/>
    </row>
    <row r="9" ht="21" customHeight="1" spans="1:4">
      <c r="A9" s="100" t="s">
        <v>553</v>
      </c>
      <c r="B9" s="101"/>
      <c r="C9" s="45"/>
      <c r="D9" s="45"/>
    </row>
    <row r="10" ht="14.25" spans="1:2">
      <c r="A10" s="186" t="s">
        <v>879</v>
      </c>
      <c r="B10" s="186" t="s">
        <v>880</v>
      </c>
    </row>
    <row r="11" ht="14.25" spans="1:2">
      <c r="A11" s="164">
        <v>11</v>
      </c>
      <c r="B11" s="164">
        <v>89</v>
      </c>
    </row>
    <row r="12" ht="14.25" spans="1:2">
      <c r="A12" s="164">
        <v>2</v>
      </c>
      <c r="B12" s="164">
        <v>10</v>
      </c>
    </row>
    <row r="13" ht="14.25" spans="1:2">
      <c r="A13" s="164">
        <v>36</v>
      </c>
      <c r="B13" s="164">
        <v>2</v>
      </c>
    </row>
    <row r="14" ht="14.25" spans="1:2">
      <c r="A14" s="164">
        <v>4</v>
      </c>
      <c r="B14" s="164">
        <v>13</v>
      </c>
    </row>
    <row r="15" ht="14.25" spans="1:2">
      <c r="A15" s="164">
        <v>10</v>
      </c>
      <c r="B15" s="164">
        <v>9</v>
      </c>
    </row>
    <row r="16" ht="14.25" spans="1:2">
      <c r="A16" s="164">
        <v>6</v>
      </c>
      <c r="B16" s="164">
        <v>45</v>
      </c>
    </row>
    <row r="17" ht="14.25" spans="1:2">
      <c r="A17" s="164">
        <v>7</v>
      </c>
      <c r="B17" s="164">
        <v>15</v>
      </c>
    </row>
    <row r="18" ht="14.25" spans="1:2">
      <c r="A18" s="164">
        <v>8</v>
      </c>
      <c r="B18" s="164">
        <v>6</v>
      </c>
    </row>
    <row r="19" ht="14.25" spans="1:2">
      <c r="A19" s="164">
        <v>9</v>
      </c>
      <c r="B19" s="164">
        <v>3</v>
      </c>
    </row>
    <row r="20" ht="14.25" spans="1:2">
      <c r="A20" s="186" t="s">
        <v>560</v>
      </c>
      <c r="B20" s="186" t="s">
        <v>622</v>
      </c>
    </row>
    <row r="21" ht="28.5" spans="1:2">
      <c r="A21" s="164">
        <f>TTEST(A11:A19,B11:B19,2,1)</f>
        <v>0.324972399875</v>
      </c>
      <c r="B21" s="164" t="s">
        <v>881</v>
      </c>
    </row>
  </sheetData>
  <mergeCells count="5">
    <mergeCell ref="A1:G1"/>
    <mergeCell ref="A2:G2"/>
    <mergeCell ref="A3:B3"/>
    <mergeCell ref="A8:D8"/>
    <mergeCell ref="B9:D9"/>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3"/>
  <sheetViews>
    <sheetView showGridLines="0" workbookViewId="0">
      <pane ySplit="2" topLeftCell="A78" activePane="bottomLeft" state="frozen"/>
      <selection/>
      <selection pane="bottomLeft" activeCell="A109" sqref="A109"/>
    </sheetView>
  </sheetViews>
  <sheetFormatPr defaultColWidth="9" defaultRowHeight="13.5" outlineLevelCol="6"/>
  <cols>
    <col min="1" max="1" width="34" customWidth="1"/>
    <col min="2" max="2" width="41.25" customWidth="1"/>
    <col min="3" max="3" width="17.25" customWidth="1"/>
    <col min="4" max="4" width="34.75" customWidth="1"/>
    <col min="5" max="5" width="32.375" customWidth="1"/>
    <col min="6" max="6" width="36.25" customWidth="1"/>
    <col min="7" max="7" width="24.5" customWidth="1"/>
  </cols>
  <sheetData>
    <row r="1" ht="26" customHeight="1" spans="1:7">
      <c r="A1" s="2" t="s">
        <v>882</v>
      </c>
      <c r="B1" s="2"/>
      <c r="C1" s="2"/>
      <c r="D1" s="2"/>
      <c r="E1" s="2"/>
      <c r="F1" s="2"/>
      <c r="G1" s="2"/>
    </row>
    <row r="2" ht="87" customHeight="1" spans="1:7">
      <c r="A2" s="83" t="s">
        <v>883</v>
      </c>
      <c r="B2" s="84"/>
      <c r="C2" s="84"/>
      <c r="D2" s="84"/>
      <c r="E2" s="84"/>
      <c r="F2" s="84"/>
      <c r="G2" s="84"/>
    </row>
    <row r="3" ht="200" customHeight="1" spans="1:4">
      <c r="A3" s="313" t="s">
        <v>884</v>
      </c>
      <c r="B3" s="314"/>
      <c r="C3" s="314"/>
      <c r="D3" s="314"/>
    </row>
    <row r="4" ht="19" customHeight="1" spans="1:3">
      <c r="A4" s="127" t="s">
        <v>885</v>
      </c>
      <c r="B4" s="127"/>
      <c r="C4" s="127"/>
    </row>
    <row r="5" ht="19" customHeight="1" spans="1:3">
      <c r="A5" s="134" t="s">
        <v>886</v>
      </c>
      <c r="B5" s="127" t="s">
        <v>558</v>
      </c>
      <c r="C5" s="127"/>
    </row>
    <row r="6" ht="14.25" spans="1:3">
      <c r="A6" s="126" t="s">
        <v>887</v>
      </c>
      <c r="B6" s="135" t="s">
        <v>888</v>
      </c>
      <c r="C6" s="135"/>
    </row>
    <row r="7" ht="14.25" spans="1:3">
      <c r="A7" s="126" t="s">
        <v>889</v>
      </c>
      <c r="B7" s="135" t="s">
        <v>890</v>
      </c>
      <c r="C7" s="135"/>
    </row>
    <row r="8" ht="49" customHeight="1" spans="1:3">
      <c r="A8" s="126" t="s">
        <v>891</v>
      </c>
      <c r="B8" s="135" t="s">
        <v>892</v>
      </c>
      <c r="C8" s="135"/>
    </row>
    <row r="9" ht="14.25" spans="1:3">
      <c r="A9" s="126" t="s">
        <v>893</v>
      </c>
      <c r="B9" s="135" t="s">
        <v>894</v>
      </c>
      <c r="C9" s="135"/>
    </row>
    <row r="10" ht="33" customHeight="1" spans="1:3">
      <c r="A10" s="126" t="s">
        <v>895</v>
      </c>
      <c r="B10" s="135" t="s">
        <v>896</v>
      </c>
      <c r="C10" s="135"/>
    </row>
    <row r="11" ht="27" customHeight="1" spans="1:3">
      <c r="A11" s="126" t="s">
        <v>897</v>
      </c>
      <c r="B11" s="135" t="s">
        <v>898</v>
      </c>
      <c r="C11" s="135"/>
    </row>
    <row r="12" ht="14.25" spans="1:3">
      <c r="A12" s="126" t="s">
        <v>899</v>
      </c>
      <c r="B12" s="135" t="s">
        <v>900</v>
      </c>
      <c r="C12" s="135"/>
    </row>
    <row r="13" ht="14.25" spans="1:3">
      <c r="A13" s="126" t="s">
        <v>901</v>
      </c>
      <c r="B13" s="127" t="s">
        <v>902</v>
      </c>
      <c r="C13" s="127"/>
    </row>
    <row r="14" spans="1:1">
      <c r="A14" s="26" t="s">
        <v>903</v>
      </c>
    </row>
    <row r="21" spans="1:1">
      <c r="A21" s="315" t="s">
        <v>558</v>
      </c>
    </row>
    <row r="23" spans="1:1">
      <c r="A23" s="316" t="s">
        <v>904</v>
      </c>
    </row>
    <row r="24" spans="1:1">
      <c r="A24" s="316" t="s">
        <v>905</v>
      </c>
    </row>
    <row r="25" spans="1:1">
      <c r="A25" s="316" t="s">
        <v>906</v>
      </c>
    </row>
    <row r="26" spans="1:1">
      <c r="A26" s="316" t="s">
        <v>907</v>
      </c>
    </row>
    <row r="27" spans="1:1">
      <c r="A27" s="316" t="s">
        <v>908</v>
      </c>
    </row>
    <row r="28" spans="1:1">
      <c r="A28" s="316" t="s">
        <v>909</v>
      </c>
    </row>
    <row r="29" spans="1:1">
      <c r="A29" s="316" t="s">
        <v>910</v>
      </c>
    </row>
    <row r="30" spans="1:1">
      <c r="A30" s="316" t="s">
        <v>911</v>
      </c>
    </row>
    <row r="31" spans="1:1">
      <c r="A31" s="316" t="s">
        <v>912</v>
      </c>
    </row>
    <row r="32" spans="1:1">
      <c r="A32" s="316" t="s">
        <v>913</v>
      </c>
    </row>
    <row r="33" spans="1:1">
      <c r="A33" s="316" t="s">
        <v>914</v>
      </c>
    </row>
    <row r="34" spans="1:1">
      <c r="A34" s="316" t="s">
        <v>915</v>
      </c>
    </row>
    <row r="43" spans="1:1">
      <c r="A43" s="316" t="s">
        <v>916</v>
      </c>
    </row>
    <row r="44" spans="1:1">
      <c r="A44" s="316" t="s">
        <v>917</v>
      </c>
    </row>
    <row r="45" spans="1:1">
      <c r="A45" s="316" t="s">
        <v>918</v>
      </c>
    </row>
    <row r="46" spans="1:1">
      <c r="A46" s="316" t="s">
        <v>919</v>
      </c>
    </row>
    <row r="47" spans="1:1">
      <c r="A47" s="316" t="s">
        <v>920</v>
      </c>
    </row>
    <row r="48" spans="1:1">
      <c r="A48" s="315" t="s">
        <v>921</v>
      </c>
    </row>
    <row r="50" spans="1:2">
      <c r="A50" s="125" t="s">
        <v>676</v>
      </c>
      <c r="B50" s="125" t="s">
        <v>677</v>
      </c>
    </row>
    <row r="51" ht="14.25" spans="1:2">
      <c r="A51" s="317">
        <v>1</v>
      </c>
      <c r="B51" s="317">
        <v>0</v>
      </c>
    </row>
    <row r="52" ht="14.25" spans="1:2">
      <c r="A52" s="317">
        <v>9</v>
      </c>
      <c r="B52" s="317">
        <v>4</v>
      </c>
    </row>
    <row r="53" ht="14.25" spans="1:2">
      <c r="A53" s="317">
        <v>5</v>
      </c>
      <c r="B53" s="317">
        <v>2</v>
      </c>
    </row>
    <row r="54" ht="14.25" spans="1:2">
      <c r="A54" s="317">
        <v>6</v>
      </c>
      <c r="B54" s="317">
        <v>3</v>
      </c>
    </row>
    <row r="55" spans="1:2">
      <c r="A55" s="18"/>
      <c r="B55" s="18"/>
    </row>
    <row r="56" spans="1:2">
      <c r="A56" s="125" t="s">
        <v>560</v>
      </c>
      <c r="B56" s="125" t="s">
        <v>622</v>
      </c>
    </row>
    <row r="57" ht="14.25" spans="1:2">
      <c r="A57" s="318">
        <f t="array" ref="A57">LINEST(A51:A54,B51:B54,,FALSE)</f>
        <v>1.91428571428571</v>
      </c>
      <c r="B57" s="317" t="s">
        <v>922</v>
      </c>
    </row>
    <row r="58" ht="14.25" spans="1:2">
      <c r="A58" s="318">
        <f>INDEX(LINEST(A51:A54,B51:B54,,FALSE),2)</f>
        <v>0.942857142857143</v>
      </c>
      <c r="B58" s="317" t="s">
        <v>923</v>
      </c>
    </row>
    <row r="60" spans="1:1">
      <c r="A60" s="315" t="s">
        <v>924</v>
      </c>
    </row>
    <row r="62" spans="1:1">
      <c r="A62" s="315" t="s">
        <v>925</v>
      </c>
    </row>
    <row r="64" ht="14.25" spans="1:2">
      <c r="A64" s="134" t="s">
        <v>637</v>
      </c>
      <c r="B64" s="134" t="s">
        <v>638</v>
      </c>
    </row>
    <row r="65" ht="14.25" spans="1:2">
      <c r="A65" s="134" t="s">
        <v>564</v>
      </c>
      <c r="B65" s="134" t="s">
        <v>926</v>
      </c>
    </row>
    <row r="66" ht="14.25" spans="1:2">
      <c r="A66" s="126">
        <v>1</v>
      </c>
      <c r="B66" s="126">
        <v>3100</v>
      </c>
    </row>
    <row r="67" ht="14.25" spans="1:2">
      <c r="A67" s="126">
        <v>2</v>
      </c>
      <c r="B67" s="126">
        <v>4500</v>
      </c>
    </row>
    <row r="68" ht="14.25" spans="1:2">
      <c r="A68" s="126">
        <v>3</v>
      </c>
      <c r="B68" s="126">
        <v>4400</v>
      </c>
    </row>
    <row r="69" ht="14.25" spans="1:2">
      <c r="A69" s="126">
        <v>4</v>
      </c>
      <c r="B69" s="126">
        <v>5400</v>
      </c>
    </row>
    <row r="70" ht="14.25" spans="1:2">
      <c r="A70" s="126">
        <v>5</v>
      </c>
      <c r="B70" s="126">
        <v>7500</v>
      </c>
    </row>
    <row r="71" ht="14.25" spans="1:2">
      <c r="A71" s="126">
        <v>6</v>
      </c>
      <c r="B71" s="126">
        <v>8100</v>
      </c>
    </row>
    <row r="72" ht="14.25" spans="1:2">
      <c r="A72" s="127"/>
      <c r="B72" s="127"/>
    </row>
    <row r="73" ht="14.25" spans="1:2">
      <c r="A73" s="134" t="s">
        <v>560</v>
      </c>
      <c r="B73" s="134" t="s">
        <v>622</v>
      </c>
    </row>
    <row r="74" ht="14.25" spans="1:2">
      <c r="A74" s="126">
        <f t="array" ref="A74">SUM(LINEST(B66:B71,A66:A71)*{9,1})</f>
        <v>11000</v>
      </c>
      <c r="B74" s="126" t="s">
        <v>927</v>
      </c>
    </row>
    <row r="76" spans="1:1">
      <c r="A76" s="26" t="s">
        <v>928</v>
      </c>
    </row>
    <row r="78" spans="1:1">
      <c r="A78" s="315" t="s">
        <v>929</v>
      </c>
    </row>
    <row r="80" spans="1:1">
      <c r="A80" s="26" t="s">
        <v>930</v>
      </c>
    </row>
    <row r="82" spans="1:1">
      <c r="A82" s="26" t="s">
        <v>931</v>
      </c>
    </row>
    <row r="84" spans="1:2">
      <c r="A84" s="29" t="s">
        <v>932</v>
      </c>
      <c r="B84" s="29" t="s">
        <v>933</v>
      </c>
    </row>
    <row r="85" ht="14.25" spans="1:2">
      <c r="A85" s="31" t="s">
        <v>565</v>
      </c>
      <c r="B85" s="31" t="s">
        <v>934</v>
      </c>
    </row>
    <row r="86" ht="14.25" spans="1:2">
      <c r="A86" s="31" t="s">
        <v>935</v>
      </c>
      <c r="B86" s="31" t="s">
        <v>936</v>
      </c>
    </row>
    <row r="87" ht="14.25" spans="1:2">
      <c r="A87" s="31" t="s">
        <v>937</v>
      </c>
      <c r="B87" s="31" t="s">
        <v>938</v>
      </c>
    </row>
    <row r="88" ht="14.25" spans="1:2">
      <c r="A88" s="31" t="s">
        <v>939</v>
      </c>
      <c r="B88" s="31" t="s">
        <v>940</v>
      </c>
    </row>
    <row r="89" ht="14.25" spans="1:2">
      <c r="A89" s="31" t="s">
        <v>941</v>
      </c>
      <c r="B89" s="31" t="s">
        <v>942</v>
      </c>
    </row>
    <row r="91" spans="1:1">
      <c r="A91" s="26" t="s">
        <v>943</v>
      </c>
    </row>
    <row r="93" spans="1:1">
      <c r="A93" s="26" t="s">
        <v>944</v>
      </c>
    </row>
    <row r="94" spans="1:5">
      <c r="A94" s="29" t="s">
        <v>637</v>
      </c>
      <c r="B94" s="29" t="s">
        <v>638</v>
      </c>
      <c r="C94" s="29" t="s">
        <v>945</v>
      </c>
      <c r="D94" s="29" t="s">
        <v>946</v>
      </c>
      <c r="E94" s="29" t="s">
        <v>947</v>
      </c>
    </row>
    <row r="95" spans="1:5">
      <c r="A95" s="29" t="s">
        <v>948</v>
      </c>
      <c r="B95" s="29" t="s">
        <v>949</v>
      </c>
      <c r="C95" s="29" t="s">
        <v>950</v>
      </c>
      <c r="D95" s="29" t="s">
        <v>951</v>
      </c>
      <c r="E95" s="29" t="s">
        <v>952</v>
      </c>
    </row>
    <row r="96" ht="14.25" spans="1:5">
      <c r="A96" s="31">
        <v>2310</v>
      </c>
      <c r="B96" s="31">
        <v>2</v>
      </c>
      <c r="C96" s="31">
        <v>2</v>
      </c>
      <c r="D96" s="31">
        <v>20</v>
      </c>
      <c r="E96" s="319">
        <v>142000</v>
      </c>
    </row>
    <row r="97" ht="14.25" spans="1:5">
      <c r="A97" s="31">
        <v>2333</v>
      </c>
      <c r="B97" s="31">
        <v>3</v>
      </c>
      <c r="C97" s="31">
        <v>2</v>
      </c>
      <c r="D97" s="31">
        <v>12</v>
      </c>
      <c r="E97" s="319">
        <v>144000</v>
      </c>
    </row>
    <row r="98" ht="14.25" spans="1:5">
      <c r="A98" s="31">
        <v>2356</v>
      </c>
      <c r="B98" s="31">
        <v>4</v>
      </c>
      <c r="C98" s="31">
        <v>1.5</v>
      </c>
      <c r="D98" s="31">
        <v>33</v>
      </c>
      <c r="E98" s="319">
        <v>151000</v>
      </c>
    </row>
    <row r="99" ht="14.25" spans="1:5">
      <c r="A99" s="31">
        <v>2379</v>
      </c>
      <c r="B99" s="31">
        <v>4</v>
      </c>
      <c r="C99" s="31">
        <v>2</v>
      </c>
      <c r="D99" s="31">
        <v>43</v>
      </c>
      <c r="E99" s="319">
        <v>150000</v>
      </c>
    </row>
    <row r="100" ht="14.25" spans="1:5">
      <c r="A100" s="31">
        <v>2402</v>
      </c>
      <c r="B100" s="31">
        <v>2</v>
      </c>
      <c r="C100" s="31">
        <v>3</v>
      </c>
      <c r="D100" s="31">
        <v>53</v>
      </c>
      <c r="E100" s="319">
        <v>139000</v>
      </c>
    </row>
    <row r="101" ht="14.25" spans="1:5">
      <c r="A101" s="31">
        <v>2425</v>
      </c>
      <c r="B101" s="31">
        <v>4</v>
      </c>
      <c r="C101" s="31">
        <v>2</v>
      </c>
      <c r="D101" s="31">
        <v>23</v>
      </c>
      <c r="E101" s="319">
        <v>169000</v>
      </c>
    </row>
    <row r="102" ht="14.25" spans="1:5">
      <c r="A102" s="31">
        <v>2448</v>
      </c>
      <c r="B102" s="31">
        <v>2</v>
      </c>
      <c r="C102" s="31">
        <v>1.5</v>
      </c>
      <c r="D102" s="31">
        <v>99</v>
      </c>
      <c r="E102" s="319">
        <v>126000</v>
      </c>
    </row>
    <row r="103" ht="14.25" spans="1:5">
      <c r="A103" s="31">
        <v>2471</v>
      </c>
      <c r="B103" s="31">
        <v>2</v>
      </c>
      <c r="C103" s="31">
        <v>2</v>
      </c>
      <c r="D103" s="31">
        <v>34</v>
      </c>
      <c r="E103" s="319">
        <v>142900</v>
      </c>
    </row>
    <row r="104" ht="14.25" spans="1:5">
      <c r="A104" s="31">
        <v>2494</v>
      </c>
      <c r="B104" s="31">
        <v>3</v>
      </c>
      <c r="C104" s="31">
        <v>3</v>
      </c>
      <c r="D104" s="31">
        <v>23</v>
      </c>
      <c r="E104" s="319">
        <v>163000</v>
      </c>
    </row>
    <row r="105" ht="14.25" spans="1:5">
      <c r="A105" s="31">
        <v>2517</v>
      </c>
      <c r="B105" s="31">
        <v>4</v>
      </c>
      <c r="C105" s="31">
        <v>4</v>
      </c>
      <c r="D105" s="31">
        <v>55</v>
      </c>
      <c r="E105" s="319">
        <v>169000</v>
      </c>
    </row>
    <row r="106" ht="14.25" spans="1:5">
      <c r="A106" s="31">
        <v>2540</v>
      </c>
      <c r="B106" s="31">
        <v>2</v>
      </c>
      <c r="C106" s="31">
        <v>3</v>
      </c>
      <c r="D106" s="31">
        <v>22</v>
      </c>
      <c r="E106" s="319">
        <v>149000</v>
      </c>
    </row>
    <row r="108" spans="1:1">
      <c r="A108" s="29" t="s">
        <v>560</v>
      </c>
    </row>
    <row r="109" ht="14.25" spans="1:1">
      <c r="A109" s="31">
        <f t="array" ref="A109">LINEST(D96:D106,A96:C106,TRUE,TRUE)</f>
        <v>-9.04967963122266</v>
      </c>
    </row>
    <row r="111" spans="1:1">
      <c r="A111" s="315" t="s">
        <v>953</v>
      </c>
    </row>
    <row r="113" spans="1:1">
      <c r="A113" s="26" t="s">
        <v>954</v>
      </c>
    </row>
  </sheetData>
  <mergeCells count="13">
    <mergeCell ref="A1:G1"/>
    <mergeCell ref="A2:G2"/>
    <mergeCell ref="A3:D3"/>
    <mergeCell ref="B4:C4"/>
    <mergeCell ref="B5:C5"/>
    <mergeCell ref="B6:C6"/>
    <mergeCell ref="B7:C7"/>
    <mergeCell ref="B8:C8"/>
    <mergeCell ref="B9:C9"/>
    <mergeCell ref="B10:C10"/>
    <mergeCell ref="B11:C11"/>
    <mergeCell ref="B12:C12"/>
    <mergeCell ref="B13:C1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955</v>
      </c>
      <c r="B1" s="2"/>
      <c r="C1" s="2"/>
      <c r="D1" s="2"/>
      <c r="E1" s="2"/>
      <c r="F1" s="2"/>
      <c r="G1" s="2"/>
    </row>
    <row r="2" ht="227" customHeight="1" spans="1:7">
      <c r="A2" s="83" t="s">
        <v>956</v>
      </c>
      <c r="B2" s="84"/>
      <c r="C2" s="84"/>
      <c r="D2" s="84"/>
      <c r="E2" s="84"/>
      <c r="F2" s="84"/>
      <c r="G2" s="84"/>
    </row>
    <row r="3" ht="21" customHeight="1" spans="1:4">
      <c r="A3" s="100" t="s">
        <v>553</v>
      </c>
      <c r="B3" s="101"/>
      <c r="C3" s="45"/>
      <c r="D3" s="45"/>
    </row>
    <row r="4" ht="20" customHeight="1" spans="1:2">
      <c r="A4" s="312" t="s">
        <v>957</v>
      </c>
      <c r="B4" s="312" t="s">
        <v>958</v>
      </c>
    </row>
    <row r="5" ht="19" customHeight="1" spans="1:2">
      <c r="A5" s="164">
        <v>1</v>
      </c>
      <c r="B5" s="164">
        <v>5</v>
      </c>
    </row>
    <row r="6" ht="19" customHeight="1" spans="1:2">
      <c r="A6" s="164">
        <v>4</v>
      </c>
      <c r="B6" s="164">
        <v>2</v>
      </c>
    </row>
    <row r="7" ht="19" customHeight="1" spans="1:2">
      <c r="A7" s="164">
        <v>8</v>
      </c>
      <c r="B7" s="164">
        <v>8</v>
      </c>
    </row>
    <row r="8" ht="14.25" spans="1:2">
      <c r="A8" s="164">
        <v>2</v>
      </c>
      <c r="B8" s="164">
        <v>12</v>
      </c>
    </row>
    <row r="9" ht="14.25" spans="1:2">
      <c r="A9" s="186" t="s">
        <v>560</v>
      </c>
      <c r="B9" s="186" t="s">
        <v>622</v>
      </c>
    </row>
    <row r="10" ht="28.5" spans="1:2">
      <c r="A10" s="164">
        <f>INTERCEPT(A5:A8,B5:B8)</f>
        <v>3.78082191780822</v>
      </c>
      <c r="B10" s="164" t="s">
        <v>959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960</v>
      </c>
      <c r="B1" s="2"/>
      <c r="C1" s="2"/>
      <c r="D1" s="2"/>
      <c r="E1" s="2"/>
      <c r="F1" s="2"/>
      <c r="G1" s="2"/>
    </row>
    <row r="2" ht="114" customHeight="1" spans="1:7">
      <c r="A2" s="83" t="s">
        <v>961</v>
      </c>
      <c r="B2" s="84"/>
      <c r="C2" s="84"/>
      <c r="D2" s="84"/>
      <c r="E2" s="84"/>
      <c r="F2" s="84"/>
      <c r="G2" s="84"/>
    </row>
    <row r="3" ht="21" customHeight="1" spans="1:4">
      <c r="A3" s="100" t="s">
        <v>553</v>
      </c>
      <c r="B3" s="101"/>
      <c r="C3" s="45"/>
      <c r="D3" s="45"/>
    </row>
    <row r="4" ht="20" customHeight="1" spans="1:2">
      <c r="A4" s="186" t="s">
        <v>962</v>
      </c>
      <c r="B4" s="186" t="s">
        <v>963</v>
      </c>
    </row>
    <row r="5" ht="19" customHeight="1" spans="1:2">
      <c r="A5" s="164">
        <v>4</v>
      </c>
      <c r="B5" s="164">
        <v>34</v>
      </c>
    </row>
    <row r="6" ht="19" customHeight="1" spans="1:2">
      <c r="A6" s="164">
        <v>6</v>
      </c>
      <c r="B6" s="164">
        <v>25</v>
      </c>
    </row>
    <row r="7" ht="19" customHeight="1" spans="1:2">
      <c r="A7" s="164">
        <v>8</v>
      </c>
      <c r="B7" s="164">
        <v>67</v>
      </c>
    </row>
    <row r="8" ht="14.25" spans="1:2">
      <c r="A8" s="164">
        <v>14</v>
      </c>
      <c r="B8" s="164">
        <v>13</v>
      </c>
    </row>
    <row r="9" ht="14.25" spans="1:2">
      <c r="A9" s="164">
        <v>2</v>
      </c>
      <c r="B9" s="164">
        <v>79</v>
      </c>
    </row>
    <row r="10" ht="14.25" spans="1:2">
      <c r="A10" s="186" t="s">
        <v>560</v>
      </c>
      <c r="B10" s="186" t="s">
        <v>622</v>
      </c>
    </row>
    <row r="11" ht="28.5" spans="1:2">
      <c r="A11" s="164">
        <f>FTEST(A5:A9,B5:B9)</f>
        <v>0.00398942554344551</v>
      </c>
      <c r="B11" s="164" t="s">
        <v>964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965</v>
      </c>
      <c r="B1" s="2"/>
      <c r="C1" s="2"/>
      <c r="D1" s="2"/>
      <c r="E1" s="2"/>
      <c r="F1" s="2"/>
      <c r="G1" s="2"/>
    </row>
    <row r="2" ht="145" customHeight="1" spans="1:7">
      <c r="A2" s="83" t="s">
        <v>966</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3</v>
      </c>
      <c r="B5" s="86" t="s">
        <v>967</v>
      </c>
    </row>
    <row r="6" ht="19" customHeight="1" spans="1:2">
      <c r="A6" s="86">
        <v>4.3</v>
      </c>
      <c r="B6" s="86" t="s">
        <v>968</v>
      </c>
    </row>
    <row r="7" ht="19" customHeight="1" spans="1:2">
      <c r="A7" s="86">
        <v>1.6</v>
      </c>
      <c r="B7" s="86" t="s">
        <v>969</v>
      </c>
    </row>
    <row r="8" ht="14.25" spans="1:2">
      <c r="A8" s="86" t="s">
        <v>560</v>
      </c>
      <c r="B8" s="86" t="s">
        <v>622</v>
      </c>
    </row>
    <row r="9" ht="28.5" spans="1:2">
      <c r="A9" s="86">
        <f>LOGNORMDIST(A5,A6,A7)</f>
        <v>0.0227033451223782</v>
      </c>
      <c r="B9" s="86" t="s">
        <v>970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34" customWidth="1"/>
    <col min="2" max="2" width="28.75" customWidth="1"/>
    <col min="3" max="3" width="17.25" customWidth="1"/>
    <col min="4" max="4" width="34.75" customWidth="1"/>
    <col min="5" max="5" width="32.375" customWidth="1"/>
    <col min="6" max="6" width="36.25" customWidth="1"/>
    <col min="7" max="7" width="24.5" customWidth="1"/>
  </cols>
  <sheetData>
    <row r="1" ht="26" customHeight="1" spans="1:7">
      <c r="A1" s="2" t="s">
        <v>971</v>
      </c>
      <c r="B1" s="2"/>
      <c r="C1" s="2"/>
      <c r="D1" s="2"/>
      <c r="E1" s="2"/>
      <c r="F1" s="2"/>
      <c r="G1" s="2"/>
    </row>
    <row r="2" ht="174" customHeight="1" spans="1:7">
      <c r="A2" s="83" t="s">
        <v>972</v>
      </c>
      <c r="B2" s="84"/>
      <c r="C2" s="84"/>
      <c r="D2" s="84"/>
      <c r="E2" s="84"/>
      <c r="F2" s="84"/>
      <c r="G2" s="84"/>
    </row>
    <row r="3" ht="21" customHeight="1" spans="1:4">
      <c r="A3" s="100" t="s">
        <v>553</v>
      </c>
      <c r="B3" s="101"/>
      <c r="C3" s="45"/>
      <c r="D3" s="45"/>
    </row>
    <row r="4" ht="20" customHeight="1" spans="1:2">
      <c r="A4" s="86" t="s">
        <v>582</v>
      </c>
      <c r="B4" s="86" t="s">
        <v>558</v>
      </c>
    </row>
    <row r="5" ht="19" customHeight="1" spans="1:2">
      <c r="A5" s="86">
        <v>0.032</v>
      </c>
      <c r="B5" s="86" t="s">
        <v>973</v>
      </c>
    </row>
    <row r="6" ht="19" customHeight="1" spans="1:2">
      <c r="A6" s="86">
        <v>4.3</v>
      </c>
      <c r="B6" s="86" t="s">
        <v>968</v>
      </c>
    </row>
    <row r="7" ht="19" customHeight="1" spans="1:2">
      <c r="A7" s="86">
        <v>1.6</v>
      </c>
      <c r="B7" s="86" t="s">
        <v>969</v>
      </c>
    </row>
    <row r="8" ht="14.25" spans="1:2">
      <c r="A8" s="86" t="s">
        <v>560</v>
      </c>
      <c r="B8" s="86" t="s">
        <v>622</v>
      </c>
    </row>
    <row r="9" ht="28.5" spans="1:2">
      <c r="A9" s="86">
        <f>LOGINV(A5,A6,A7)</f>
        <v>3.80574674613195</v>
      </c>
      <c r="B9" s="86" t="s">
        <v>974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975</v>
      </c>
      <c r="B1" s="2"/>
      <c r="C1" s="2"/>
      <c r="D1" s="2"/>
      <c r="E1" s="2"/>
      <c r="F1" s="2"/>
      <c r="G1" s="2"/>
    </row>
    <row r="2" ht="231" customHeight="1" spans="1:7">
      <c r="A2" s="83" t="s">
        <v>976</v>
      </c>
      <c r="B2" s="84"/>
      <c r="C2" s="84"/>
      <c r="D2" s="84"/>
      <c r="E2" s="84"/>
      <c r="F2" s="84"/>
      <c r="G2" s="84"/>
    </row>
    <row r="3" ht="21" customHeight="1" spans="1:4">
      <c r="A3" s="100" t="s">
        <v>553</v>
      </c>
      <c r="B3" s="101"/>
      <c r="C3" s="45"/>
      <c r="D3" s="45"/>
    </row>
    <row r="4" ht="20" customHeight="1" spans="1:2">
      <c r="A4" s="106" t="s">
        <v>586</v>
      </c>
      <c r="B4" s="106" t="s">
        <v>604</v>
      </c>
    </row>
    <row r="5" ht="19" customHeight="1" spans="1:2">
      <c r="A5" s="86">
        <v>10</v>
      </c>
      <c r="B5" s="86" t="s">
        <v>697</v>
      </c>
    </row>
    <row r="6" ht="19" customHeight="1" spans="1:2">
      <c r="A6" s="86">
        <v>-950</v>
      </c>
      <c r="B6" s="86" t="s">
        <v>977</v>
      </c>
    </row>
    <row r="7" ht="19" customHeight="1" spans="1:2">
      <c r="A7" s="86">
        <v>80000</v>
      </c>
      <c r="B7" s="86" t="s">
        <v>633</v>
      </c>
    </row>
    <row r="8" ht="14.25" spans="1:2">
      <c r="A8" s="267" t="s">
        <v>560</v>
      </c>
      <c r="B8" s="267" t="s">
        <v>622</v>
      </c>
    </row>
    <row r="9" ht="14.25" spans="1:2">
      <c r="A9" s="302">
        <f>RATE(A5*12,A6,A7)</f>
        <v>0.0062576999817781</v>
      </c>
      <c r="B9" s="86" t="s">
        <v>978</v>
      </c>
    </row>
    <row r="10" ht="14.25" spans="1:2">
      <c r="A10" s="302">
        <f>RATE(A5*12,A6,A7)*12</f>
        <v>0.0750923997813372</v>
      </c>
      <c r="B10" s="86" t="s">
        <v>979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980</v>
      </c>
      <c r="B1" s="2"/>
      <c r="C1" s="2"/>
      <c r="D1" s="2"/>
      <c r="E1" s="2"/>
      <c r="F1" s="2"/>
      <c r="G1" s="2"/>
    </row>
    <row r="2" ht="132" customHeight="1" spans="1:7">
      <c r="A2" s="83" t="s">
        <v>981</v>
      </c>
      <c r="B2" s="84"/>
      <c r="C2" s="84"/>
      <c r="D2" s="84"/>
      <c r="E2" s="84"/>
      <c r="F2" s="84"/>
      <c r="G2" s="84"/>
    </row>
    <row r="3" ht="21" customHeight="1" spans="1:4">
      <c r="A3" s="100" t="s">
        <v>553</v>
      </c>
      <c r="B3" s="101"/>
      <c r="C3" s="45"/>
      <c r="D3" s="45"/>
    </row>
    <row r="4" ht="20" customHeight="1" spans="1:2">
      <c r="A4" s="89" t="s">
        <v>652</v>
      </c>
      <c r="B4" s="127"/>
    </row>
    <row r="5" ht="19" customHeight="1" spans="1:2">
      <c r="A5" s="86">
        <v>11</v>
      </c>
      <c r="B5" s="127"/>
    </row>
    <row r="6" ht="19" customHeight="1" spans="1:2">
      <c r="A6" s="86">
        <v>12</v>
      </c>
      <c r="B6" s="127"/>
    </row>
    <row r="7" ht="19" customHeight="1" spans="1:2">
      <c r="A7" s="86">
        <v>13</v>
      </c>
      <c r="B7" s="127"/>
    </row>
    <row r="8" ht="14.25" spans="1:2">
      <c r="A8" s="86">
        <v>14</v>
      </c>
      <c r="B8" s="127"/>
    </row>
    <row r="9" ht="14.25" spans="1:2">
      <c r="A9" s="86">
        <v>15</v>
      </c>
      <c r="B9" s="127"/>
    </row>
    <row r="10" ht="14.25" spans="1:2">
      <c r="A10" s="86">
        <v>16</v>
      </c>
      <c r="B10" s="127"/>
    </row>
    <row r="11" ht="14.25" spans="1:2">
      <c r="A11" s="86">
        <v>17</v>
      </c>
      <c r="B11" s="127"/>
    </row>
    <row r="12" ht="14.25" spans="1:2">
      <c r="A12" s="89" t="s">
        <v>560</v>
      </c>
      <c r="B12" s="89" t="s">
        <v>622</v>
      </c>
    </row>
    <row r="13" ht="28.5" spans="1:2">
      <c r="A13" s="86">
        <f>HARMEAN(A5:A11)</f>
        <v>13.7097839269504</v>
      </c>
      <c r="B13" s="86" t="s">
        <v>982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C12" sqref="C12"/>
    </sheetView>
  </sheetViews>
  <sheetFormatPr defaultColWidth="9" defaultRowHeight="13.5" outlineLevelRow="4"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983</v>
      </c>
      <c r="B1" s="2"/>
      <c r="C1" s="2"/>
      <c r="D1" s="2"/>
      <c r="E1" s="2"/>
      <c r="F1" s="2"/>
      <c r="G1" s="2"/>
    </row>
    <row r="2" ht="103" customHeight="1" spans="1:7">
      <c r="A2" s="83" t="s">
        <v>984</v>
      </c>
      <c r="B2" s="84"/>
      <c r="C2" s="84"/>
      <c r="D2" s="84"/>
      <c r="E2" s="84"/>
      <c r="F2" s="84"/>
      <c r="G2" s="84"/>
    </row>
    <row r="3" ht="21" customHeight="1" spans="1:4">
      <c r="A3" s="100" t="s">
        <v>553</v>
      </c>
      <c r="B3" s="101"/>
      <c r="C3" s="45"/>
      <c r="D3" s="45"/>
    </row>
    <row r="4" ht="20" customHeight="1" spans="1:2">
      <c r="A4" s="89" t="s">
        <v>560</v>
      </c>
      <c r="B4" s="89" t="s">
        <v>622</v>
      </c>
    </row>
    <row r="5" ht="28.5" spans="1:2">
      <c r="A5" s="89">
        <f>MULTINOMIAL(5,6,7)</f>
        <v>14702688</v>
      </c>
      <c r="B5" s="89" t="s">
        <v>985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986</v>
      </c>
      <c r="B1" s="2"/>
      <c r="C1" s="2"/>
      <c r="D1" s="2"/>
      <c r="E1" s="2"/>
      <c r="F1" s="2"/>
      <c r="G1" s="2"/>
    </row>
    <row r="2" ht="84" customHeight="1" spans="1:7">
      <c r="A2" s="83" t="s">
        <v>987</v>
      </c>
      <c r="B2" s="84"/>
      <c r="C2" s="84"/>
      <c r="D2" s="84"/>
      <c r="E2" s="84"/>
      <c r="F2" s="84"/>
      <c r="G2" s="84"/>
    </row>
    <row r="3" ht="21" customHeight="1" spans="1:4">
      <c r="A3" s="100" t="s">
        <v>553</v>
      </c>
      <c r="B3" s="101"/>
      <c r="C3" s="45"/>
      <c r="D3" s="45"/>
    </row>
    <row r="4" ht="20" customHeight="1" spans="1:3">
      <c r="A4" s="89" t="s">
        <v>590</v>
      </c>
      <c r="B4" s="89" t="s">
        <v>622</v>
      </c>
      <c r="C4" s="127" t="s">
        <v>560</v>
      </c>
    </row>
    <row r="5" ht="19" customHeight="1" spans="1:3">
      <c r="A5" s="89">
        <f>LN(86)</f>
        <v>4.45434729625351</v>
      </c>
      <c r="B5" s="89" t="s">
        <v>988</v>
      </c>
      <c r="C5" s="127" t="str">
        <f>_xlfn.FORMULATEXT(A5:A7)</f>
        <v>=LN(86)</v>
      </c>
    </row>
    <row r="6" ht="19" customHeight="1" spans="1:3">
      <c r="A6" s="89">
        <f>LN(2.7182818)</f>
        <v>0.999999989530502</v>
      </c>
      <c r="B6" s="89" t="s">
        <v>989</v>
      </c>
      <c r="C6" s="127" t="str">
        <f>_xlfn.FORMULATEXT(A6:A7)</f>
        <v>=LN(2.7182818)</v>
      </c>
    </row>
    <row r="7" ht="19" customHeight="1" spans="1:3">
      <c r="A7" s="89">
        <f>LN(EXP(3))</f>
        <v>3</v>
      </c>
      <c r="B7" s="89" t="s">
        <v>990</v>
      </c>
      <c r="C7" s="127" t="str">
        <f>_xlfn.FORMULATEXT(A7:A7)</f>
        <v>=LN(EXP(3))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991</v>
      </c>
      <c r="B1" s="2"/>
      <c r="C1" s="2"/>
      <c r="D1" s="2"/>
      <c r="E1" s="2"/>
      <c r="F1" s="2"/>
      <c r="G1" s="2"/>
    </row>
    <row r="2" ht="73" customHeight="1" spans="1:7">
      <c r="A2" s="83" t="s">
        <v>992</v>
      </c>
      <c r="B2" s="84"/>
      <c r="C2" s="84"/>
      <c r="D2" s="84"/>
      <c r="E2" s="84"/>
      <c r="F2" s="84"/>
      <c r="G2" s="84"/>
    </row>
    <row r="3" ht="21" customHeight="1" spans="1:4">
      <c r="A3" s="100" t="s">
        <v>553</v>
      </c>
      <c r="B3" s="101"/>
      <c r="C3" s="45"/>
      <c r="D3" s="45"/>
    </row>
    <row r="4" ht="20" customHeight="1" spans="1:3">
      <c r="A4" s="89" t="s">
        <v>590</v>
      </c>
      <c r="B4" s="89" t="s">
        <v>622</v>
      </c>
      <c r="C4" s="127" t="s">
        <v>560</v>
      </c>
    </row>
    <row r="5" ht="19" customHeight="1" spans="1:3">
      <c r="A5" s="89">
        <f>LOG(10)</f>
        <v>1</v>
      </c>
      <c r="B5" s="89" t="s">
        <v>993</v>
      </c>
      <c r="C5" s="127" t="str">
        <f>_xlfn.FORMULATEXT(A5:A7)</f>
        <v>=LOG(10)</v>
      </c>
    </row>
    <row r="6" ht="19" customHeight="1" spans="1:3">
      <c r="A6" s="89">
        <f>LOG(8,2)</f>
        <v>3</v>
      </c>
      <c r="B6" s="89" t="s">
        <v>994</v>
      </c>
      <c r="C6" s="127" t="str">
        <f>_xlfn.FORMULATEXT(A6:A7)</f>
        <v>=LOG(8,2)</v>
      </c>
    </row>
    <row r="7" ht="19" customHeight="1" spans="1:3">
      <c r="A7" s="89">
        <f>LOG(86,2.7182818)</f>
        <v>4.45434734288829</v>
      </c>
      <c r="B7" s="89" t="s">
        <v>995</v>
      </c>
      <c r="C7" s="127" t="str">
        <f>_xlfn.FORMULATEXT(A7:A7)</f>
        <v>=LOG(86,2.7182818)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996</v>
      </c>
      <c r="B1" s="2"/>
      <c r="C1" s="2"/>
      <c r="D1" s="2"/>
      <c r="E1" s="2"/>
      <c r="F1" s="2"/>
      <c r="G1" s="2"/>
    </row>
    <row r="2" ht="57" customHeight="1" spans="1:7">
      <c r="A2" s="83" t="s">
        <v>997</v>
      </c>
      <c r="B2" s="84"/>
      <c r="C2" s="84"/>
      <c r="D2" s="84"/>
      <c r="E2" s="84"/>
      <c r="F2" s="84"/>
      <c r="G2" s="84"/>
    </row>
    <row r="3" ht="21" customHeight="1" spans="1:4">
      <c r="A3" s="100" t="s">
        <v>553</v>
      </c>
      <c r="B3" s="101"/>
      <c r="C3" s="45"/>
      <c r="D3" s="45"/>
    </row>
    <row r="4" ht="20" customHeight="1" spans="1:2">
      <c r="A4" s="89" t="s">
        <v>560</v>
      </c>
      <c r="B4" s="89" t="s">
        <v>622</v>
      </c>
    </row>
    <row r="5" ht="19" customHeight="1" spans="1:2">
      <c r="A5" s="86">
        <f>LOG10(86)</f>
        <v>1.93449845124357</v>
      </c>
      <c r="B5" s="86" t="s">
        <v>998</v>
      </c>
    </row>
    <row r="6" ht="19" customHeight="1" spans="1:2">
      <c r="A6" s="86">
        <f>LOG10(10)</f>
        <v>1</v>
      </c>
      <c r="B6" s="86" t="s">
        <v>999</v>
      </c>
    </row>
    <row r="7" ht="19" customHeight="1" spans="1:2">
      <c r="A7" s="86">
        <f>LOG10(100000)</f>
        <v>5</v>
      </c>
      <c r="B7" s="86" t="s">
        <v>1000</v>
      </c>
    </row>
    <row r="8" ht="14.25" spans="1:2">
      <c r="A8" s="86">
        <f>LOG10(10^5)</f>
        <v>5</v>
      </c>
      <c r="B8" s="86" t="s">
        <v>1001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C15" sqref="C15"/>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1002</v>
      </c>
      <c r="B1" s="2"/>
      <c r="C1" s="2"/>
      <c r="D1" s="2"/>
      <c r="E1" s="2"/>
      <c r="F1" s="2"/>
      <c r="G1" s="2"/>
    </row>
    <row r="2" ht="103" customHeight="1" spans="1:7">
      <c r="A2" s="83" t="s">
        <v>1003</v>
      </c>
      <c r="B2" s="84"/>
      <c r="C2" s="84"/>
      <c r="D2" s="84"/>
      <c r="E2" s="84"/>
      <c r="F2" s="84"/>
      <c r="G2" s="84"/>
    </row>
    <row r="3" ht="21" customHeight="1" spans="1:4">
      <c r="A3" s="100" t="s">
        <v>553</v>
      </c>
      <c r="B3" s="101"/>
      <c r="C3" s="45"/>
      <c r="D3" s="45"/>
    </row>
    <row r="4" ht="20" customHeight="1" spans="1:2">
      <c r="A4" s="89" t="s">
        <v>582</v>
      </c>
      <c r="B4" s="89"/>
    </row>
    <row r="5" ht="19" customHeight="1" spans="1:2">
      <c r="A5" s="89">
        <v>5</v>
      </c>
      <c r="B5" s="89"/>
    </row>
    <row r="6" ht="19" customHeight="1" spans="1:2">
      <c r="A6" s="89">
        <v>15</v>
      </c>
      <c r="B6" s="89"/>
    </row>
    <row r="7" ht="19" customHeight="1" spans="1:2">
      <c r="A7" s="89">
        <v>30</v>
      </c>
      <c r="B7" s="89"/>
    </row>
    <row r="8" ht="14.25" spans="1:2">
      <c r="A8" s="89" t="s">
        <v>560</v>
      </c>
      <c r="B8" s="89" t="s">
        <v>622</v>
      </c>
    </row>
    <row r="9" ht="14.25" spans="1:2">
      <c r="A9" s="89">
        <f>PRODUCT(A5:A7)</f>
        <v>2250</v>
      </c>
      <c r="B9" s="89" t="s">
        <v>1004</v>
      </c>
    </row>
    <row r="10" ht="14.25" spans="1:2">
      <c r="A10" s="89">
        <f>PRODUCT(A5:A7,2)</f>
        <v>4500</v>
      </c>
      <c r="B10" s="89" t="s">
        <v>1005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1006</v>
      </c>
      <c r="B1" s="2"/>
      <c r="C1" s="2"/>
      <c r="D1" s="2"/>
      <c r="E1" s="2"/>
      <c r="F1" s="2"/>
      <c r="G1" s="2"/>
    </row>
    <row r="2" ht="57" customHeight="1" spans="1:7">
      <c r="A2" s="83" t="s">
        <v>1007</v>
      </c>
      <c r="B2" s="84"/>
      <c r="C2" s="84"/>
      <c r="D2" s="84"/>
      <c r="E2" s="84"/>
      <c r="F2" s="84"/>
      <c r="G2" s="84"/>
    </row>
    <row r="3" ht="21" customHeight="1" spans="1:4">
      <c r="A3" s="100" t="s">
        <v>553</v>
      </c>
      <c r="B3" s="101"/>
      <c r="C3" s="45"/>
      <c r="D3" s="45"/>
    </row>
    <row r="4" ht="19" customHeight="1" spans="1:3">
      <c r="A4" s="311" t="s">
        <v>560</v>
      </c>
      <c r="B4" s="311" t="s">
        <v>622</v>
      </c>
      <c r="C4" s="311" t="s">
        <v>560</v>
      </c>
    </row>
    <row r="5" ht="19" customHeight="1" spans="1:3">
      <c r="A5" s="127" t="str">
        <f>_xlfn.FORMULATEXT(C5)</f>
        <v>=SIGN(10)</v>
      </c>
      <c r="B5" s="127" t="s">
        <v>1008</v>
      </c>
      <c r="C5" s="127">
        <f>SIGN(10)</f>
        <v>1</v>
      </c>
    </row>
    <row r="6" ht="19" customHeight="1" spans="1:3">
      <c r="A6" s="127" t="str">
        <f>_xlfn.FORMULATEXT(C6)</f>
        <v>=SIGN(4-4)</v>
      </c>
      <c r="B6" s="127" t="s">
        <v>1009</v>
      </c>
      <c r="C6" s="127">
        <f>SIGN(4-4)</f>
        <v>0</v>
      </c>
    </row>
    <row r="7" ht="14.25" spans="1:3">
      <c r="A7" s="127" t="str">
        <f>_xlfn.FORMULATEXT(C7)</f>
        <v>=SIGN(-0.00001)</v>
      </c>
      <c r="B7" s="127" t="s">
        <v>1010</v>
      </c>
      <c r="C7" s="127">
        <f>SIGN(-0.00001)</f>
        <v>-1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1011</v>
      </c>
      <c r="B1" s="2"/>
      <c r="C1" s="2"/>
      <c r="D1" s="2"/>
      <c r="E1" s="2"/>
      <c r="F1" s="2"/>
      <c r="G1" s="2"/>
    </row>
    <row r="2" ht="57" customHeight="1" spans="1:7">
      <c r="A2" s="83" t="s">
        <v>1012</v>
      </c>
      <c r="B2" s="84"/>
      <c r="C2" s="84"/>
      <c r="D2" s="84"/>
      <c r="E2" s="84"/>
      <c r="F2" s="84"/>
      <c r="G2" s="84"/>
    </row>
    <row r="3" ht="21" customHeight="1" spans="1:4">
      <c r="A3" s="100" t="s">
        <v>553</v>
      </c>
      <c r="B3" s="101"/>
      <c r="C3" s="45"/>
      <c r="D3" s="45"/>
    </row>
    <row r="4" ht="19" customHeight="1" spans="1:2">
      <c r="A4" s="311" t="s">
        <v>560</v>
      </c>
      <c r="B4" s="311" t="s">
        <v>622</v>
      </c>
    </row>
    <row r="5" ht="19" customHeight="1" spans="1:2">
      <c r="A5" s="126">
        <f>SIN(PI())</f>
        <v>1.22464679914735e-16</v>
      </c>
      <c r="B5" s="126" t="s">
        <v>1013</v>
      </c>
    </row>
    <row r="6" ht="14.25" spans="1:2">
      <c r="A6" s="126">
        <f>SIN(PI()/2)</f>
        <v>1</v>
      </c>
      <c r="B6" s="126" t="s">
        <v>1014</v>
      </c>
    </row>
    <row r="7" ht="14.25" spans="1:2">
      <c r="A7" s="126">
        <f>SIN(30*PI()/180)</f>
        <v>0.5</v>
      </c>
      <c r="B7" s="126" t="s">
        <v>1015</v>
      </c>
    </row>
    <row r="8" ht="14.25" spans="1:2">
      <c r="A8" s="126">
        <f>SIN(RADIANS(30))</f>
        <v>0.5</v>
      </c>
      <c r="B8" s="126" t="s">
        <v>1015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1016</v>
      </c>
      <c r="B1" s="2"/>
      <c r="C1" s="2"/>
      <c r="D1" s="2"/>
      <c r="E1" s="2"/>
      <c r="F1" s="2"/>
      <c r="G1" s="2"/>
    </row>
    <row r="2" ht="115" customHeight="1" spans="1:7">
      <c r="A2" s="83" t="s">
        <v>1017</v>
      </c>
      <c r="B2" s="84"/>
      <c r="C2" s="84"/>
      <c r="D2" s="84"/>
      <c r="E2" s="84"/>
      <c r="F2" s="84"/>
      <c r="G2" s="84"/>
    </row>
    <row r="3" ht="21" customHeight="1" spans="1:4">
      <c r="A3" s="100" t="s">
        <v>553</v>
      </c>
      <c r="B3" s="101"/>
      <c r="C3" s="45"/>
      <c r="D3" s="45"/>
    </row>
    <row r="4" ht="19" customHeight="1" spans="1:2">
      <c r="A4" s="126">
        <f>PI()/4</f>
        <v>0.785398163397448</v>
      </c>
      <c r="B4" s="127"/>
    </row>
    <row r="5" ht="14.25" spans="1:2">
      <c r="A5" s="126">
        <v>1</v>
      </c>
      <c r="B5" s="127"/>
    </row>
    <row r="6" ht="14.25" spans="1:2">
      <c r="A6" s="126">
        <f>-1/FACT(2)</f>
        <v>-0.5</v>
      </c>
      <c r="B6" s="127"/>
    </row>
    <row r="7" ht="14.25" spans="1:2">
      <c r="A7" s="126">
        <f>1/FACT(4)</f>
        <v>0.0416666666666667</v>
      </c>
      <c r="B7" s="127"/>
    </row>
    <row r="8" ht="14.25" spans="1:2">
      <c r="A8" s="126">
        <f>-1/FACT(6)</f>
        <v>-0.00138888888888889</v>
      </c>
      <c r="B8" s="127"/>
    </row>
    <row r="9" ht="14.25" spans="1:2">
      <c r="A9" s="134" t="s">
        <v>560</v>
      </c>
      <c r="B9" s="134" t="s">
        <v>622</v>
      </c>
    </row>
    <row r="10" ht="28.5" spans="1:2">
      <c r="A10" s="126">
        <f>SERIESSUM(A4,0,2,A5:A8)</f>
        <v>0.707103214822846</v>
      </c>
      <c r="B10" s="126" t="s">
        <v>1018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1019</v>
      </c>
      <c r="B1" s="2"/>
      <c r="C1" s="2"/>
      <c r="D1" s="2"/>
      <c r="E1" s="2"/>
      <c r="F1" s="2"/>
      <c r="G1" s="2"/>
    </row>
    <row r="2" ht="132" customHeight="1" spans="1:7">
      <c r="A2" s="83" t="s">
        <v>1020</v>
      </c>
      <c r="B2" s="84"/>
      <c r="C2" s="84"/>
      <c r="D2" s="84"/>
      <c r="E2" s="84"/>
      <c r="F2" s="84"/>
      <c r="G2" s="84"/>
    </row>
    <row r="3" ht="21" customHeight="1" spans="1:4">
      <c r="A3" s="100" t="s">
        <v>553</v>
      </c>
      <c r="B3" s="101"/>
      <c r="C3" s="45"/>
      <c r="D3" s="45"/>
    </row>
    <row r="4" ht="20" customHeight="1" spans="1:2">
      <c r="A4" s="89" t="s">
        <v>652</v>
      </c>
      <c r="B4" s="127"/>
    </row>
    <row r="5" ht="19" customHeight="1" spans="1:2">
      <c r="A5" s="86">
        <v>1345</v>
      </c>
      <c r="B5" s="127"/>
    </row>
    <row r="6" ht="19" customHeight="1" spans="1:2">
      <c r="A6" s="86">
        <v>1301</v>
      </c>
      <c r="B6" s="127"/>
    </row>
    <row r="7" ht="19" customHeight="1" spans="1:2">
      <c r="A7" s="86">
        <v>1368</v>
      </c>
      <c r="B7" s="127"/>
    </row>
    <row r="8" ht="14.25" spans="1:2">
      <c r="A8" s="86">
        <v>1322</v>
      </c>
      <c r="B8" s="127"/>
    </row>
    <row r="9" ht="14.25" spans="1:2">
      <c r="A9" s="86">
        <v>1310</v>
      </c>
      <c r="B9" s="127"/>
    </row>
    <row r="10" ht="14.25" spans="1:2">
      <c r="A10" s="86">
        <v>1370</v>
      </c>
      <c r="B10" s="127"/>
    </row>
    <row r="11" ht="14.25" spans="1:2">
      <c r="A11" s="86">
        <v>1318</v>
      </c>
      <c r="B11" s="127"/>
    </row>
    <row r="12" ht="14.25" spans="1:2">
      <c r="A12" s="86">
        <v>1350</v>
      </c>
      <c r="B12" s="127"/>
    </row>
    <row r="13" ht="14.25" spans="1:2">
      <c r="A13" s="86">
        <v>1303</v>
      </c>
      <c r="B13" s="127"/>
    </row>
    <row r="14" ht="14.25" spans="1:2">
      <c r="A14" s="86">
        <v>1299</v>
      </c>
      <c r="B14" s="127"/>
    </row>
    <row r="15" ht="14.25" spans="1:2">
      <c r="A15" s="89" t="s">
        <v>560</v>
      </c>
      <c r="B15" s="89" t="s">
        <v>622</v>
      </c>
    </row>
    <row r="16" ht="14.25" spans="1:2">
      <c r="A16" s="86">
        <f>STDEV(A5:A14)</f>
        <v>27.4639157198435</v>
      </c>
      <c r="B16" s="86" t="s">
        <v>1021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1022</v>
      </c>
      <c r="B1" s="2"/>
      <c r="C1" s="2"/>
      <c r="D1" s="2"/>
      <c r="E1" s="2"/>
      <c r="F1" s="2"/>
      <c r="G1" s="2"/>
    </row>
    <row r="2" ht="172" customHeight="1" spans="1:7">
      <c r="A2" s="83" t="s">
        <v>1023</v>
      </c>
      <c r="B2" s="84"/>
      <c r="C2" s="84"/>
      <c r="D2" s="84"/>
      <c r="E2" s="84"/>
      <c r="F2" s="84"/>
      <c r="G2" s="84"/>
    </row>
    <row r="3" ht="21" customHeight="1" spans="1:4">
      <c r="A3" s="100" t="s">
        <v>553</v>
      </c>
      <c r="B3" s="101"/>
      <c r="C3" s="45"/>
      <c r="D3" s="45"/>
    </row>
    <row r="4" ht="19" customHeight="1" spans="1:2">
      <c r="A4" s="86" t="s">
        <v>582</v>
      </c>
      <c r="B4" s="86" t="s">
        <v>558</v>
      </c>
    </row>
    <row r="5" ht="19" customHeight="1" spans="1:2">
      <c r="A5" s="86">
        <v>3</v>
      </c>
      <c r="B5" s="86" t="s">
        <v>1024</v>
      </c>
    </row>
    <row r="6" ht="19" customHeight="1" spans="1:2">
      <c r="A6" s="86">
        <v>7</v>
      </c>
      <c r="B6" s="86" t="s">
        <v>1025</v>
      </c>
    </row>
    <row r="7" ht="14.25" spans="1:2">
      <c r="A7" s="86">
        <v>10</v>
      </c>
      <c r="B7" s="86" t="s">
        <v>1025</v>
      </c>
    </row>
    <row r="8" ht="14.25" spans="1:2">
      <c r="A8" s="86">
        <v>1</v>
      </c>
      <c r="B8" s="86" t="s">
        <v>1026</v>
      </c>
    </row>
    <row r="9" ht="14.25" spans="1:2">
      <c r="A9" s="86">
        <v>4</v>
      </c>
      <c r="B9" s="86" t="s">
        <v>1027</v>
      </c>
    </row>
    <row r="10" ht="14.25" spans="1:2">
      <c r="A10" s="89" t="s">
        <v>560</v>
      </c>
      <c r="B10" s="89" t="s">
        <v>622</v>
      </c>
    </row>
    <row r="11" ht="28.5" spans="1:2">
      <c r="A11" s="86">
        <f>BETADIST(A5,A6,A7,A8,A9)</f>
        <v>0.984054511376139</v>
      </c>
      <c r="B11" s="86" t="s">
        <v>1028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1029</v>
      </c>
      <c r="B1" s="2"/>
      <c r="C1" s="2"/>
      <c r="D1" s="2"/>
      <c r="E1" s="2"/>
      <c r="F1" s="2"/>
      <c r="G1" s="2"/>
    </row>
    <row r="2" ht="101" customHeight="1" spans="1:7">
      <c r="A2" s="83" t="s">
        <v>1030</v>
      </c>
      <c r="B2" s="84"/>
      <c r="C2" s="84"/>
      <c r="D2" s="84"/>
      <c r="E2" s="84"/>
      <c r="F2" s="84"/>
      <c r="G2" s="84"/>
    </row>
    <row r="3" ht="21" customHeight="1" spans="1:4">
      <c r="A3" s="100" t="s">
        <v>553</v>
      </c>
      <c r="B3" s="101"/>
      <c r="C3" s="45"/>
      <c r="D3" s="45"/>
    </row>
    <row r="4" ht="19" customHeight="1" spans="1:2">
      <c r="A4" s="294" t="s">
        <v>582</v>
      </c>
      <c r="B4" s="86"/>
    </row>
    <row r="5" ht="19" customHeight="1" spans="1:2">
      <c r="A5" s="86">
        <v>-16</v>
      </c>
      <c r="B5" s="86"/>
    </row>
    <row r="6" ht="19" customHeight="1" spans="1:2">
      <c r="A6" s="294" t="s">
        <v>560</v>
      </c>
      <c r="B6" s="294" t="s">
        <v>622</v>
      </c>
    </row>
    <row r="7" ht="14.25" spans="1:2">
      <c r="A7" s="86">
        <f>SQRT(16)</f>
        <v>4</v>
      </c>
      <c r="B7" s="86" t="s">
        <v>1031</v>
      </c>
    </row>
    <row r="8" ht="28.5" spans="1:2">
      <c r="A8" s="86" t="e">
        <f>SQRT(A5)</f>
        <v>#NUM!</v>
      </c>
      <c r="B8" s="86" t="s">
        <v>1032</v>
      </c>
    </row>
    <row r="9" ht="14.25" spans="1:2">
      <c r="A9" s="86">
        <f>SQRT(ABS(A5))</f>
        <v>4</v>
      </c>
      <c r="B9" s="86" t="s">
        <v>1033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1034</v>
      </c>
      <c r="B1" s="2"/>
      <c r="C1" s="2"/>
      <c r="D1" s="2"/>
      <c r="E1" s="2"/>
      <c r="F1" s="2"/>
      <c r="G1" s="2"/>
    </row>
    <row r="2" ht="75" customHeight="1" spans="1:7">
      <c r="A2" s="83" t="s">
        <v>1035</v>
      </c>
      <c r="B2" s="84"/>
      <c r="C2" s="84"/>
      <c r="D2" s="84"/>
      <c r="E2" s="84"/>
      <c r="F2" s="84"/>
      <c r="G2" s="84"/>
    </row>
    <row r="3" ht="21" customHeight="1" spans="1:4">
      <c r="A3" s="100" t="s">
        <v>553</v>
      </c>
      <c r="B3" s="101"/>
      <c r="C3" s="45"/>
      <c r="D3" s="45"/>
    </row>
    <row r="4" ht="19" customHeight="1" spans="1:2">
      <c r="A4" s="86" t="s">
        <v>560</v>
      </c>
      <c r="B4" s="86" t="s">
        <v>622</v>
      </c>
    </row>
    <row r="5" ht="19" customHeight="1" spans="1:2">
      <c r="A5" s="86">
        <f>SQRTPI(1)</f>
        <v>1.77245385090552</v>
      </c>
      <c r="B5" s="86" t="s">
        <v>1036</v>
      </c>
    </row>
    <row r="6" ht="19" customHeight="1" spans="1:2">
      <c r="A6" s="86">
        <f>SQRTPI(2)</f>
        <v>2.506628274631</v>
      </c>
      <c r="B6" s="86" t="s">
        <v>1037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1038</v>
      </c>
      <c r="B1" s="2"/>
      <c r="C1" s="2"/>
      <c r="D1" s="2"/>
      <c r="E1" s="2"/>
      <c r="F1" s="2"/>
      <c r="G1" s="2"/>
    </row>
    <row r="2" ht="201" customHeight="1" spans="1:7">
      <c r="A2" s="83" t="s">
        <v>1039</v>
      </c>
      <c r="B2" s="84"/>
      <c r="C2" s="84"/>
      <c r="D2" s="84"/>
      <c r="E2" s="84"/>
      <c r="F2" s="84"/>
      <c r="G2" s="84"/>
    </row>
    <row r="3" ht="21" customHeight="1" spans="1:4">
      <c r="A3" s="100" t="s">
        <v>553</v>
      </c>
      <c r="B3" s="101"/>
      <c r="C3" s="45"/>
      <c r="D3" s="45"/>
    </row>
    <row r="4" ht="19" customHeight="1" spans="1:2">
      <c r="A4" s="86" t="s">
        <v>804</v>
      </c>
      <c r="B4" s="86" t="s">
        <v>558</v>
      </c>
    </row>
    <row r="5" ht="19" customHeight="1" spans="1:2">
      <c r="A5" s="296">
        <v>2.254</v>
      </c>
      <c r="B5" s="86" t="s">
        <v>1040</v>
      </c>
    </row>
    <row r="6" ht="19" customHeight="1" spans="1:2">
      <c r="A6" s="86">
        <v>40</v>
      </c>
      <c r="B6" s="86" t="s">
        <v>1041</v>
      </c>
    </row>
    <row r="7" ht="14.25" spans="1:2">
      <c r="A7" s="86" t="s">
        <v>621</v>
      </c>
      <c r="B7" s="86" t="s">
        <v>622</v>
      </c>
    </row>
    <row r="8" ht="14.25" spans="1:2">
      <c r="A8" s="86">
        <f>TDIST(A5,A6,1)</f>
        <v>0.0148721027976338</v>
      </c>
      <c r="B8" s="86" t="s">
        <v>1042</v>
      </c>
    </row>
    <row r="9" ht="14.25" spans="1:2">
      <c r="A9" s="86">
        <f>TDIST(A5,A6,2)</f>
        <v>0.0297442055952677</v>
      </c>
      <c r="B9" s="86" t="s">
        <v>1043</v>
      </c>
    </row>
    <row r="10" ht="54" customHeight="1" spans="1:2">
      <c r="A10" s="309" t="s">
        <v>1044</v>
      </c>
      <c r="B10" s="310"/>
    </row>
  </sheetData>
  <mergeCells count="4">
    <mergeCell ref="A1:G1"/>
    <mergeCell ref="A2:G2"/>
    <mergeCell ref="B3:D3"/>
    <mergeCell ref="A10:B10"/>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22.5" customWidth="1"/>
    <col min="4" max="4" width="34.75" customWidth="1"/>
    <col min="5" max="5" width="32.375" customWidth="1"/>
    <col min="6" max="6" width="36.25" customWidth="1"/>
    <col min="7" max="7" width="24.5" customWidth="1"/>
  </cols>
  <sheetData>
    <row r="1" ht="26" customHeight="1" spans="1:7">
      <c r="A1" s="2" t="s">
        <v>1045</v>
      </c>
      <c r="B1" s="2"/>
      <c r="C1" s="2"/>
      <c r="D1" s="2"/>
      <c r="E1" s="2"/>
      <c r="F1" s="2"/>
      <c r="G1" s="2"/>
    </row>
    <row r="2" ht="243" customHeight="1" spans="1:7">
      <c r="A2" s="83" t="s">
        <v>1046</v>
      </c>
      <c r="B2" s="84"/>
      <c r="C2" s="84"/>
      <c r="D2" s="84"/>
      <c r="E2" s="84"/>
      <c r="F2" s="84"/>
      <c r="G2" s="84"/>
    </row>
    <row r="3" ht="21" customHeight="1" spans="1:4">
      <c r="A3" s="100" t="s">
        <v>553</v>
      </c>
      <c r="B3" s="101"/>
      <c r="C3" s="45"/>
      <c r="D3" s="45"/>
    </row>
    <row r="4" ht="14.25" spans="1:3">
      <c r="A4" s="89" t="s">
        <v>1047</v>
      </c>
      <c r="B4" s="89" t="s">
        <v>1048</v>
      </c>
      <c r="C4" s="89" t="s">
        <v>1049</v>
      </c>
    </row>
    <row r="5" ht="14.25" spans="1:3">
      <c r="A5" s="89"/>
      <c r="B5" s="89"/>
      <c r="C5" s="89" t="s">
        <v>1050</v>
      </c>
    </row>
    <row r="6" ht="14.25" spans="1:3">
      <c r="A6" s="296">
        <v>1</v>
      </c>
      <c r="B6" s="307">
        <v>165890</v>
      </c>
      <c r="C6" s="86">
        <f>TREND(B6:B17,A6:A17)</f>
        <v>145164.743589744</v>
      </c>
    </row>
    <row r="7" ht="14.25" spans="1:3">
      <c r="A7" s="86">
        <v>2</v>
      </c>
      <c r="B7" s="307">
        <v>103310</v>
      </c>
      <c r="C7" s="303"/>
    </row>
    <row r="8" ht="14.25" spans="1:3">
      <c r="A8" s="86">
        <v>3</v>
      </c>
      <c r="B8" s="307">
        <v>182810</v>
      </c>
      <c r="C8" s="86"/>
    </row>
    <row r="9" ht="14.25" spans="1:3">
      <c r="A9" s="86">
        <v>4</v>
      </c>
      <c r="B9" s="307">
        <v>132190</v>
      </c>
      <c r="C9" s="86"/>
    </row>
    <row r="10" ht="14.25" spans="1:3">
      <c r="A10" s="86">
        <v>5</v>
      </c>
      <c r="B10" s="307">
        <v>124130</v>
      </c>
      <c r="C10" s="86"/>
    </row>
    <row r="11" ht="14.25" spans="1:3">
      <c r="A11" s="86">
        <v>6</v>
      </c>
      <c r="B11" s="307">
        <v>145870</v>
      </c>
      <c r="C11" s="86"/>
    </row>
    <row r="12" ht="14.25" spans="1:3">
      <c r="A12" s="86">
        <v>7</v>
      </c>
      <c r="B12" s="307">
        <v>153240</v>
      </c>
      <c r="C12" s="86"/>
    </row>
    <row r="13" ht="14.25" spans="1:3">
      <c r="A13" s="86">
        <v>8</v>
      </c>
      <c r="B13" s="307">
        <v>146690</v>
      </c>
      <c r="C13" s="86"/>
    </row>
    <row r="14" ht="14.25" spans="1:3">
      <c r="A14" s="86">
        <v>9</v>
      </c>
      <c r="B14" s="307">
        <v>136010</v>
      </c>
      <c r="C14" s="86"/>
    </row>
    <row r="15" ht="14.25" spans="1:3">
      <c r="A15" s="86">
        <v>10</v>
      </c>
      <c r="B15" s="307">
        <v>138830</v>
      </c>
      <c r="C15" s="86"/>
    </row>
    <row r="16" ht="14.25" spans="1:3">
      <c r="A16" s="86">
        <v>11</v>
      </c>
      <c r="B16" s="307">
        <v>141570</v>
      </c>
      <c r="C16" s="86"/>
    </row>
    <row r="17" ht="14.25" spans="1:3">
      <c r="A17" s="86">
        <v>12</v>
      </c>
      <c r="B17" s="307">
        <v>142690</v>
      </c>
      <c r="C17" s="86"/>
    </row>
    <row r="18" ht="14.25" spans="1:3">
      <c r="A18" s="89" t="s">
        <v>1047</v>
      </c>
      <c r="B18" s="86" t="s">
        <v>1051</v>
      </c>
      <c r="C18" s="86"/>
    </row>
    <row r="19" ht="14.25" spans="1:3">
      <c r="A19" s="89"/>
      <c r="B19" s="89" t="s">
        <v>1052</v>
      </c>
      <c r="C19" s="89"/>
    </row>
    <row r="20" customHeight="1" spans="1:3">
      <c r="A20" s="86">
        <v>13</v>
      </c>
      <c r="B20" s="86">
        <f>TREND(B6:B17,A6:A17,A20:A24)</f>
        <v>139938.03030303</v>
      </c>
      <c r="C20" s="86"/>
    </row>
    <row r="21" customHeight="1" spans="1:3">
      <c r="A21" s="86">
        <v>14</v>
      </c>
      <c r="B21" s="86"/>
      <c r="C21" s="86"/>
    </row>
    <row r="22" ht="14.25" spans="1:3">
      <c r="A22" s="86">
        <v>15</v>
      </c>
      <c r="B22" s="86"/>
      <c r="C22" s="86"/>
    </row>
    <row r="23" ht="14.25" spans="1:3">
      <c r="A23" s="86">
        <v>16</v>
      </c>
      <c r="B23" s="86"/>
      <c r="C23" s="86"/>
    </row>
    <row r="24" ht="14.25" spans="1:3">
      <c r="A24" s="296">
        <v>17</v>
      </c>
      <c r="B24" s="86"/>
      <c r="C24" s="86"/>
    </row>
    <row r="25" spans="1:3">
      <c r="A25" s="308" t="s">
        <v>1053</v>
      </c>
      <c r="B25" s="308"/>
      <c r="C25" s="308"/>
    </row>
    <row r="26" ht="41" customHeight="1" spans="1:3">
      <c r="A26" s="308"/>
      <c r="B26" s="308"/>
      <c r="C26" s="308"/>
    </row>
  </sheetData>
  <mergeCells count="14">
    <mergeCell ref="A1:G1"/>
    <mergeCell ref="A2:G2"/>
    <mergeCell ref="B3:D3"/>
    <mergeCell ref="B18:C18"/>
    <mergeCell ref="B19:C19"/>
    <mergeCell ref="B20:C20"/>
    <mergeCell ref="B21:C21"/>
    <mergeCell ref="B22:C22"/>
    <mergeCell ref="B23:C23"/>
    <mergeCell ref="B24:C24"/>
    <mergeCell ref="A4:A5"/>
    <mergeCell ref="A18:A19"/>
    <mergeCell ref="B4:B5"/>
    <mergeCell ref="A25:C26"/>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1054</v>
      </c>
      <c r="B1" s="2"/>
      <c r="C1" s="2"/>
      <c r="D1" s="2"/>
      <c r="E1" s="2"/>
      <c r="F1" s="2"/>
      <c r="G1" s="2"/>
    </row>
    <row r="2" ht="116" customHeight="1" spans="1:7">
      <c r="A2" s="83" t="s">
        <v>1055</v>
      </c>
      <c r="B2" s="84"/>
      <c r="C2" s="84"/>
      <c r="D2" s="84"/>
      <c r="E2" s="84"/>
      <c r="F2" s="84"/>
      <c r="G2" s="84"/>
    </row>
    <row r="3" ht="21" customHeight="1" spans="1:4">
      <c r="A3" s="100" t="s">
        <v>553</v>
      </c>
      <c r="B3" s="101"/>
      <c r="C3" s="45"/>
      <c r="D3" s="45"/>
    </row>
    <row r="4" ht="19" customHeight="1" spans="1:4">
      <c r="A4" s="89" t="s">
        <v>582</v>
      </c>
      <c r="B4" s="89" t="s">
        <v>582</v>
      </c>
      <c r="C4" s="89" t="s">
        <v>582</v>
      </c>
      <c r="D4" s="89" t="s">
        <v>582</v>
      </c>
    </row>
    <row r="5" ht="19" customHeight="1" spans="1:4">
      <c r="A5" s="86">
        <v>2</v>
      </c>
      <c r="B5" s="86">
        <v>5</v>
      </c>
      <c r="C5" s="86">
        <v>5</v>
      </c>
      <c r="D5" s="86">
        <v>6</v>
      </c>
    </row>
    <row r="6" ht="14.25" spans="1:4">
      <c r="A6" s="86">
        <v>3</v>
      </c>
      <c r="B6" s="86">
        <v>3</v>
      </c>
      <c r="C6" s="86">
        <v>5</v>
      </c>
      <c r="D6" s="86">
        <v>7</v>
      </c>
    </row>
    <row r="7" ht="14.25" spans="1:4">
      <c r="A7" s="86">
        <v>4</v>
      </c>
      <c r="B7" s="86">
        <v>0</v>
      </c>
      <c r="C7" s="86">
        <v>6</v>
      </c>
      <c r="D7" s="86">
        <v>0</v>
      </c>
    </row>
    <row r="8" ht="14.25" spans="1:4">
      <c r="A8" s="86">
        <v>5</v>
      </c>
      <c r="B8" s="86">
        <v>2</v>
      </c>
      <c r="C8" s="86">
        <v>2</v>
      </c>
      <c r="D8" s="86">
        <v>9</v>
      </c>
    </row>
    <row r="9" ht="14.25" spans="1:4">
      <c r="A9" s="89" t="s">
        <v>560</v>
      </c>
      <c r="B9" s="89" t="s">
        <v>622</v>
      </c>
      <c r="C9" s="86"/>
      <c r="D9" s="86"/>
    </row>
    <row r="10" ht="14.25" spans="1:4">
      <c r="A10" s="86">
        <f>MDETERM(A5:D8)</f>
        <v>336</v>
      </c>
      <c r="B10" s="86" t="s">
        <v>1056</v>
      </c>
      <c r="C10" s="86"/>
      <c r="D10" s="86"/>
    </row>
    <row r="11" ht="14.25" spans="1:4">
      <c r="A11" s="86">
        <f>MDETERM({9,12,2;2,2,0;6,20,4})</f>
        <v>32</v>
      </c>
      <c r="B11" s="86" t="s">
        <v>1057</v>
      </c>
      <c r="C11" s="86"/>
      <c r="D11" s="86"/>
    </row>
    <row r="12" ht="14.25" spans="1:4">
      <c r="A12" s="86">
        <f>MDETERM({9,18;3,3})</f>
        <v>-27</v>
      </c>
      <c r="B12" s="86" t="s">
        <v>1058</v>
      </c>
      <c r="C12" s="86"/>
      <c r="D12" s="86"/>
    </row>
    <row r="13" ht="28.5" spans="1:4">
      <c r="A13" s="86" t="e">
        <f t="array" ref="A13">MDETERM({1,3,5,7;9,11,13,15})</f>
        <v>#VALUE!</v>
      </c>
      <c r="B13" s="86" t="s">
        <v>1059</v>
      </c>
      <c r="C13" s="303"/>
      <c r="D13" s="303"/>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1060</v>
      </c>
      <c r="B1" s="2"/>
      <c r="C1" s="2"/>
      <c r="D1" s="2"/>
      <c r="E1" s="2"/>
      <c r="F1" s="2"/>
      <c r="G1" s="2"/>
    </row>
    <row r="2" ht="129" customHeight="1" spans="1:7">
      <c r="A2" s="83" t="s">
        <v>1061</v>
      </c>
      <c r="B2" s="84"/>
      <c r="C2" s="84"/>
      <c r="D2" s="84"/>
      <c r="E2" s="84"/>
      <c r="F2" s="84"/>
      <c r="G2" s="84"/>
    </row>
    <row r="3" ht="21" customHeight="1" spans="1:4">
      <c r="A3" s="100" t="s">
        <v>553</v>
      </c>
      <c r="B3" s="101"/>
      <c r="C3" s="45"/>
      <c r="D3" s="45"/>
    </row>
    <row r="4" ht="19" customHeight="1" spans="1:2">
      <c r="A4" s="89" t="s">
        <v>1062</v>
      </c>
      <c r="B4" s="89" t="s">
        <v>880</v>
      </c>
    </row>
    <row r="5" ht="19" customHeight="1" spans="1:2">
      <c r="A5" s="89">
        <v>5</v>
      </c>
      <c r="B5" s="89">
        <v>8</v>
      </c>
    </row>
    <row r="6" ht="19" customHeight="1" spans="1:2">
      <c r="A6" s="89">
        <v>12</v>
      </c>
      <c r="B6" s="89">
        <v>67</v>
      </c>
    </row>
    <row r="7" ht="14.25" spans="1:2">
      <c r="A7" s="89">
        <v>4</v>
      </c>
      <c r="B7" s="89">
        <v>23</v>
      </c>
    </row>
    <row r="8" ht="14.25" spans="1:2">
      <c r="A8" s="89" t="s">
        <v>1063</v>
      </c>
      <c r="B8" s="89" t="s">
        <v>622</v>
      </c>
    </row>
    <row r="9" ht="28.5" spans="1:2">
      <c r="A9" s="89">
        <f>CORREL(A5:A7,B5:B7)</f>
        <v>0.935173726277101</v>
      </c>
      <c r="B9" s="89" t="s">
        <v>1064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1065</v>
      </c>
      <c r="B1" s="2"/>
      <c r="C1" s="2"/>
      <c r="D1" s="2"/>
      <c r="E1" s="2"/>
      <c r="F1" s="2"/>
      <c r="G1" s="2"/>
    </row>
    <row r="2" ht="156" customHeight="1" spans="1:7">
      <c r="A2" s="83" t="s">
        <v>1066</v>
      </c>
      <c r="B2" s="84"/>
      <c r="C2" s="84"/>
      <c r="D2" s="84"/>
      <c r="E2" s="84"/>
      <c r="F2" s="84"/>
      <c r="G2" s="84"/>
    </row>
    <row r="3" ht="21" customHeight="1" spans="1:4">
      <c r="A3" s="100" t="s">
        <v>553</v>
      </c>
      <c r="B3" s="101"/>
      <c r="C3" s="45"/>
      <c r="D3" s="45"/>
    </row>
    <row r="4" ht="19" customHeight="1" spans="1:2">
      <c r="A4" s="86" t="s">
        <v>804</v>
      </c>
      <c r="B4" s="86" t="s">
        <v>558</v>
      </c>
    </row>
    <row r="5" ht="19" customHeight="1" spans="1:2">
      <c r="A5" s="86">
        <v>3</v>
      </c>
      <c r="B5" s="86" t="s">
        <v>1067</v>
      </c>
    </row>
    <row r="6" ht="14.25" spans="1:2">
      <c r="A6" s="86">
        <v>6</v>
      </c>
      <c r="B6" s="86" t="s">
        <v>1068</v>
      </c>
    </row>
    <row r="7" ht="14.25" spans="1:2">
      <c r="A7" s="86">
        <v>0.5</v>
      </c>
      <c r="B7" s="86" t="s">
        <v>1069</v>
      </c>
    </row>
    <row r="8" ht="14.25" spans="1:2">
      <c r="A8" s="86" t="s">
        <v>818</v>
      </c>
      <c r="B8" s="86" t="s">
        <v>622</v>
      </c>
    </row>
    <row r="9" ht="14.25" spans="1:2">
      <c r="A9" s="86">
        <f>NEGBINOMDIST(A5,A6,A7)</f>
        <v>0.109375</v>
      </c>
      <c r="B9" s="86" t="s">
        <v>1070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1071</v>
      </c>
      <c r="B1" s="2"/>
      <c r="C1" s="2"/>
      <c r="D1" s="2"/>
      <c r="E1" s="2"/>
      <c r="F1" s="2"/>
      <c r="G1" s="2"/>
    </row>
    <row r="2" ht="186" customHeight="1" spans="1:7">
      <c r="A2" s="83" t="s">
        <v>1072</v>
      </c>
      <c r="B2" s="84"/>
      <c r="C2" s="84"/>
      <c r="D2" s="84"/>
      <c r="E2" s="84"/>
      <c r="F2" s="84"/>
      <c r="G2" s="84"/>
    </row>
    <row r="3" ht="21" customHeight="1" spans="1:4">
      <c r="A3" s="100" t="s">
        <v>553</v>
      </c>
      <c r="B3" s="101"/>
      <c r="C3" s="45"/>
      <c r="D3" s="45"/>
    </row>
    <row r="4" ht="19" customHeight="1" spans="1:2">
      <c r="A4" s="86" t="s">
        <v>582</v>
      </c>
      <c r="B4" s="86" t="s">
        <v>558</v>
      </c>
    </row>
    <row r="5" ht="19" customHeight="1" spans="1:2">
      <c r="A5" s="86">
        <v>0.98405451138</v>
      </c>
      <c r="B5" s="86" t="s">
        <v>1073</v>
      </c>
    </row>
    <row r="6" ht="14.25" spans="1:2">
      <c r="A6" s="86">
        <v>7</v>
      </c>
      <c r="B6" s="86" t="s">
        <v>1025</v>
      </c>
    </row>
    <row r="7" ht="14.25" spans="1:2">
      <c r="A7" s="86">
        <v>10</v>
      </c>
      <c r="B7" s="86" t="s">
        <v>1025</v>
      </c>
    </row>
    <row r="8" ht="14.25" spans="1:2">
      <c r="A8" s="86">
        <v>1</v>
      </c>
      <c r="B8" s="86" t="s">
        <v>1026</v>
      </c>
    </row>
    <row r="9" ht="14.25" spans="1:2">
      <c r="A9" s="86">
        <v>4</v>
      </c>
      <c r="B9" s="86" t="s">
        <v>1027</v>
      </c>
    </row>
    <row r="10" ht="14.25" spans="1:2">
      <c r="A10" s="89" t="s">
        <v>560</v>
      </c>
      <c r="B10" s="89" t="s">
        <v>622</v>
      </c>
    </row>
    <row r="11" ht="28.5" spans="1:2">
      <c r="A11" s="86">
        <f>BETAINV(A5,A6,A7,A8,A9)</f>
        <v>3.00000000003243</v>
      </c>
      <c r="B11" s="86" t="s">
        <v>1074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1075</v>
      </c>
      <c r="B1" s="2"/>
      <c r="C1" s="2"/>
      <c r="D1" s="2"/>
      <c r="E1" s="2"/>
      <c r="F1" s="2"/>
      <c r="G1" s="2"/>
    </row>
    <row r="2" ht="74" customHeight="1" spans="1:7">
      <c r="A2" s="83" t="s">
        <v>1076</v>
      </c>
      <c r="B2" s="84"/>
      <c r="C2" s="84"/>
      <c r="D2" s="84"/>
      <c r="E2" s="84"/>
      <c r="F2" s="84"/>
      <c r="G2" s="84"/>
    </row>
    <row r="3" ht="21" customHeight="1" spans="1:4">
      <c r="A3" s="100" t="s">
        <v>553</v>
      </c>
      <c r="B3" s="101"/>
      <c r="C3" s="45"/>
      <c r="D3" s="45"/>
    </row>
    <row r="4" ht="41" customHeight="1" spans="1:4">
      <c r="A4" s="305" t="s">
        <v>1077</v>
      </c>
      <c r="B4" s="306"/>
      <c r="C4" s="305"/>
      <c r="D4" s="305"/>
    </row>
    <row r="5" ht="19" customHeight="1" spans="1:4">
      <c r="A5" s="86">
        <f>_xlfn.BINOM.DIST(6,10,0.5,0)</f>
        <v>0.205078125</v>
      </c>
      <c r="B5" s="86" t="str">
        <f>_xlfn.FORMULATEXT(A5)</f>
        <v>=BINOM.DIST(6,10,0.5,0)</v>
      </c>
      <c r="C5" s="58"/>
      <c r="D5" s="58"/>
    </row>
  </sheetData>
  <mergeCells count="4">
    <mergeCell ref="A1:G1"/>
    <mergeCell ref="A2:G2"/>
    <mergeCell ref="B3:D3"/>
    <mergeCell ref="A4:D4"/>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1078</v>
      </c>
      <c r="B1" s="2"/>
      <c r="C1" s="2"/>
      <c r="D1" s="2"/>
      <c r="E1" s="2"/>
      <c r="F1" s="2"/>
      <c r="G1" s="2"/>
    </row>
    <row r="2" ht="172" customHeight="1" spans="1:7">
      <c r="A2" s="83" t="s">
        <v>1079</v>
      </c>
      <c r="B2" s="84"/>
      <c r="C2" s="84"/>
      <c r="D2" s="84"/>
      <c r="E2" s="84"/>
      <c r="F2" s="84"/>
      <c r="G2" s="84"/>
    </row>
    <row r="3" ht="21" customHeight="1" spans="1:4">
      <c r="A3" s="100" t="s">
        <v>553</v>
      </c>
      <c r="B3" s="101"/>
      <c r="C3" s="45"/>
      <c r="D3" s="45"/>
    </row>
    <row r="4" ht="19" customHeight="1" spans="1:2">
      <c r="A4" s="86" t="s">
        <v>836</v>
      </c>
      <c r="B4" s="86" t="s">
        <v>558</v>
      </c>
    </row>
    <row r="5" ht="19" customHeight="1" spans="1:2">
      <c r="A5" s="296">
        <v>7</v>
      </c>
      <c r="B5" s="86" t="s">
        <v>1080</v>
      </c>
    </row>
    <row r="6" ht="14.25" spans="1:2">
      <c r="A6" s="86">
        <v>0.6</v>
      </c>
      <c r="B6" s="86" t="s">
        <v>1081</v>
      </c>
    </row>
    <row r="7" ht="14.25" spans="1:2">
      <c r="A7" s="86">
        <v>0.85</v>
      </c>
      <c r="B7" s="86" t="s">
        <v>1082</v>
      </c>
    </row>
    <row r="8" ht="14.25" spans="1:2">
      <c r="A8" s="86" t="s">
        <v>818</v>
      </c>
      <c r="B8" s="86" t="s">
        <v>622</v>
      </c>
    </row>
    <row r="9" ht="28.5" spans="1:2">
      <c r="A9" s="86">
        <f>CRITBINOM(A5,A6,A7)</f>
        <v>6</v>
      </c>
      <c r="B9" s="86" t="s">
        <v>1083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1084</v>
      </c>
      <c r="B1" s="2"/>
      <c r="C1" s="2"/>
      <c r="D1" s="2"/>
      <c r="E1" s="2"/>
      <c r="F1" s="2"/>
      <c r="G1" s="2"/>
    </row>
    <row r="2" ht="117" customHeight="1" spans="1:7">
      <c r="A2" s="83" t="s">
        <v>1085</v>
      </c>
      <c r="B2" s="84"/>
      <c r="C2" s="84"/>
      <c r="D2" s="84"/>
      <c r="E2" s="84"/>
      <c r="F2" s="84"/>
      <c r="G2" s="84"/>
    </row>
    <row r="3" ht="21" customHeight="1" spans="1:4">
      <c r="A3" s="100" t="s">
        <v>553</v>
      </c>
      <c r="B3" s="101"/>
      <c r="C3" s="45"/>
      <c r="D3" s="45"/>
    </row>
    <row r="4" ht="20" customHeight="1" spans="1:2">
      <c r="A4" s="89" t="s">
        <v>652</v>
      </c>
      <c r="B4" s="127"/>
    </row>
    <row r="5" ht="19" customHeight="1" spans="1:2">
      <c r="A5" s="86">
        <v>11</v>
      </c>
      <c r="B5" s="127"/>
    </row>
    <row r="6" ht="19" customHeight="1" spans="1:2">
      <c r="A6" s="86">
        <v>12</v>
      </c>
      <c r="B6" s="127"/>
    </row>
    <row r="7" ht="19" customHeight="1" spans="1:2">
      <c r="A7" s="86">
        <v>13</v>
      </c>
      <c r="B7" s="127"/>
    </row>
    <row r="8" ht="14.25" spans="1:2">
      <c r="A8" s="86">
        <v>14</v>
      </c>
      <c r="B8" s="127"/>
    </row>
    <row r="9" ht="14.25" spans="1:2">
      <c r="A9" s="86">
        <v>15</v>
      </c>
      <c r="B9" s="127"/>
    </row>
    <row r="10" ht="14.25" spans="1:2">
      <c r="A10" s="86">
        <v>16</v>
      </c>
      <c r="B10" s="127"/>
    </row>
    <row r="11" ht="14.25" spans="1:2">
      <c r="A11" s="86">
        <v>17</v>
      </c>
      <c r="B11" s="127"/>
    </row>
    <row r="12" ht="14.25" spans="1:2">
      <c r="A12" s="89" t="s">
        <v>560</v>
      </c>
      <c r="B12" s="89" t="s">
        <v>622</v>
      </c>
    </row>
    <row r="13" ht="28.5" spans="1:2">
      <c r="A13" s="86">
        <f>GEOMEAN(A5:A11)</f>
        <v>13.855272409508</v>
      </c>
      <c r="B13" s="86" t="s">
        <v>1086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1087</v>
      </c>
      <c r="B1" s="2"/>
      <c r="C1" s="2"/>
      <c r="D1" s="2"/>
      <c r="E1" s="2"/>
      <c r="F1" s="2"/>
      <c r="G1" s="2"/>
    </row>
    <row r="2" ht="145" customHeight="1" spans="1:7">
      <c r="A2" s="83" t="s">
        <v>1088</v>
      </c>
      <c r="B2" s="84"/>
      <c r="C2" s="84"/>
      <c r="D2" s="84"/>
      <c r="E2" s="84"/>
      <c r="F2" s="84"/>
      <c r="G2" s="84"/>
    </row>
    <row r="3" ht="21" customHeight="1" spans="1:4">
      <c r="A3" s="100" t="s">
        <v>553</v>
      </c>
      <c r="B3" s="101"/>
      <c r="C3" s="45"/>
      <c r="D3" s="45"/>
    </row>
    <row r="4" ht="20" customHeight="1" spans="1:2">
      <c r="A4" s="86" t="s">
        <v>804</v>
      </c>
      <c r="B4" s="303"/>
    </row>
    <row r="5" ht="19" customHeight="1" spans="1:2">
      <c r="A5" s="296">
        <v>1</v>
      </c>
      <c r="B5" s="303"/>
    </row>
    <row r="6" ht="19" customHeight="1" spans="1:2">
      <c r="A6" s="86">
        <v>4</v>
      </c>
      <c r="B6" s="303"/>
    </row>
    <row r="7" ht="19" customHeight="1" spans="1:2">
      <c r="A7" s="86">
        <v>9</v>
      </c>
      <c r="B7" s="303"/>
    </row>
    <row r="8" ht="14.25" spans="1:2">
      <c r="A8" s="86">
        <v>3</v>
      </c>
      <c r="B8" s="303"/>
    </row>
    <row r="9" ht="14.25" spans="1:2">
      <c r="A9" s="86">
        <v>8</v>
      </c>
      <c r="B9" s="303"/>
    </row>
    <row r="10" ht="14.25" spans="1:2">
      <c r="A10" s="86">
        <v>2</v>
      </c>
      <c r="B10" s="303"/>
    </row>
    <row r="11" ht="14.25" spans="1:2">
      <c r="A11" s="86">
        <v>7</v>
      </c>
      <c r="B11" s="303"/>
    </row>
    <row r="12" ht="14.25" spans="1:2">
      <c r="A12" s="86">
        <v>1</v>
      </c>
      <c r="B12" s="303"/>
    </row>
    <row r="13" ht="14.25" spans="1:2">
      <c r="A13" s="86">
        <v>9</v>
      </c>
      <c r="B13" s="303"/>
    </row>
    <row r="14" ht="14.25" spans="1:2">
      <c r="A14" s="86">
        <v>2</v>
      </c>
      <c r="B14" s="303"/>
    </row>
    <row r="15" ht="14.25" spans="1:2">
      <c r="A15" s="86" t="s">
        <v>621</v>
      </c>
      <c r="B15" s="86" t="s">
        <v>622</v>
      </c>
    </row>
    <row r="16" ht="14.25" spans="1:2">
      <c r="A16" s="86">
        <f>KURT(A5:A14)</f>
        <v>-1.87364557661256</v>
      </c>
      <c r="B16" s="86" t="s">
        <v>1089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1090</v>
      </c>
      <c r="B1" s="2"/>
      <c r="C1" s="2"/>
      <c r="D1" s="2"/>
      <c r="E1" s="2"/>
      <c r="F1" s="2"/>
      <c r="G1" s="2"/>
    </row>
    <row r="2" ht="118" customHeight="1" spans="1:7">
      <c r="A2" s="83" t="s">
        <v>1091</v>
      </c>
      <c r="B2" s="84"/>
      <c r="C2" s="84"/>
      <c r="D2" s="84"/>
      <c r="E2" s="84"/>
      <c r="F2" s="84"/>
      <c r="G2" s="84"/>
    </row>
    <row r="3" ht="21" customHeight="1" spans="1:4">
      <c r="A3" s="100" t="s">
        <v>553</v>
      </c>
      <c r="B3" s="101"/>
      <c r="C3" s="45"/>
      <c r="D3" s="45"/>
    </row>
    <row r="4" ht="14.25" spans="1:2">
      <c r="A4" s="86" t="s">
        <v>836</v>
      </c>
      <c r="B4" s="86" t="s">
        <v>558</v>
      </c>
    </row>
    <row r="5" ht="14.25" spans="1:2">
      <c r="A5" s="296">
        <v>32</v>
      </c>
      <c r="B5" s="86" t="s">
        <v>1092</v>
      </c>
    </row>
    <row r="6" ht="14.25" spans="1:2">
      <c r="A6" s="86">
        <v>14</v>
      </c>
      <c r="B6" s="86" t="s">
        <v>817</v>
      </c>
    </row>
    <row r="7" ht="14.25" spans="1:2">
      <c r="A7" s="86">
        <v>1.5</v>
      </c>
      <c r="B7" s="86" t="s">
        <v>769</v>
      </c>
    </row>
    <row r="8" ht="14.25" spans="1:2">
      <c r="A8" s="86" t="s">
        <v>818</v>
      </c>
      <c r="B8" s="86" t="s">
        <v>622</v>
      </c>
    </row>
    <row r="9" ht="14.25" spans="1:2">
      <c r="A9" s="86">
        <f>STANDARDIZE(A5,A6,A7)</f>
        <v>12</v>
      </c>
      <c r="B9" s="86" t="s">
        <v>1093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1094</v>
      </c>
      <c r="B1" s="2"/>
      <c r="C1" s="2"/>
      <c r="D1" s="2"/>
      <c r="E1" s="2"/>
      <c r="F1" s="2"/>
      <c r="G1" s="2"/>
    </row>
    <row r="2" ht="135" customHeight="1" spans="1:7">
      <c r="A2" s="83" t="s">
        <v>1095</v>
      </c>
      <c r="B2" s="84"/>
      <c r="C2" s="84"/>
      <c r="D2" s="84"/>
      <c r="E2" s="84"/>
      <c r="F2" s="84"/>
      <c r="G2" s="84"/>
    </row>
    <row r="3" ht="21" customHeight="1" spans="1:4">
      <c r="A3" s="100" t="s">
        <v>553</v>
      </c>
      <c r="B3" s="101"/>
      <c r="C3" s="45"/>
      <c r="D3" s="45"/>
    </row>
    <row r="4" ht="19" customHeight="1" spans="1:2">
      <c r="A4" s="86" t="s">
        <v>804</v>
      </c>
      <c r="B4" s="127"/>
    </row>
    <row r="5" ht="19" customHeight="1" spans="1:2">
      <c r="A5" s="296">
        <v>5</v>
      </c>
      <c r="B5" s="127"/>
    </row>
    <row r="6" ht="19" customHeight="1" spans="1:2">
      <c r="A6" s="86">
        <v>1</v>
      </c>
      <c r="B6" s="127"/>
    </row>
    <row r="7" ht="14.25" spans="1:2">
      <c r="A7" s="86">
        <v>9</v>
      </c>
      <c r="B7" s="127"/>
    </row>
    <row r="8" ht="14.25" spans="1:2">
      <c r="A8" s="86">
        <v>4</v>
      </c>
      <c r="B8" s="127"/>
    </row>
    <row r="9" ht="14.25" spans="1:2">
      <c r="A9" s="86">
        <v>8</v>
      </c>
      <c r="B9" s="127"/>
    </row>
    <row r="10" ht="14.25" spans="1:2">
      <c r="A10" s="86">
        <v>2</v>
      </c>
      <c r="B10" s="127"/>
    </row>
    <row r="11" ht="14.25" spans="1:2">
      <c r="A11" s="86">
        <v>7</v>
      </c>
      <c r="B11" s="127"/>
    </row>
    <row r="12" ht="14.25" spans="1:2">
      <c r="A12" s="86">
        <v>6</v>
      </c>
      <c r="B12" s="127"/>
    </row>
    <row r="13" ht="14.25" spans="1:2">
      <c r="A13" s="86">
        <v>1</v>
      </c>
      <c r="B13" s="127"/>
    </row>
    <row r="14" ht="14.25" spans="1:2">
      <c r="A14" s="86">
        <v>3</v>
      </c>
      <c r="B14" s="127"/>
    </row>
    <row r="15" ht="14.25" spans="1:2">
      <c r="A15" s="86" t="s">
        <v>621</v>
      </c>
      <c r="B15" s="86" t="s">
        <v>622</v>
      </c>
    </row>
    <row r="16" ht="28.5" spans="1:2">
      <c r="A16" s="86">
        <f>ZTEST(A5:A14,4)</f>
        <v>0.254655143291834</v>
      </c>
      <c r="B16" s="86" t="s">
        <v>1096</v>
      </c>
    </row>
    <row r="17" ht="28.5" spans="1:2">
      <c r="A17" s="86">
        <f>2*MIN(ZTEST(A5:A14,4),1-ZTEST(A5:A14,4))</f>
        <v>0.509310286583668</v>
      </c>
      <c r="B17" s="86" t="s">
        <v>1097</v>
      </c>
    </row>
    <row r="18" ht="28.5" spans="1:2">
      <c r="A18" s="86">
        <f>ZTEST(A5:A14,6)</f>
        <v>0.938194801092404</v>
      </c>
      <c r="B18" s="86" t="s">
        <v>1098</v>
      </c>
    </row>
    <row r="19" ht="28.5" spans="1:2">
      <c r="A19" s="86">
        <f>2*MIN(ZTEST(A5:A14,6),1-ZTEST(A5:A14,6))</f>
        <v>0.123610397815192</v>
      </c>
      <c r="B19" s="86" t="s">
        <v>1099</v>
      </c>
    </row>
    <row r="20" spans="1:2">
      <c r="A20" s="18"/>
      <c r="B20" s="18"/>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1100</v>
      </c>
      <c r="B1" s="2"/>
      <c r="C1" s="2"/>
      <c r="D1" s="2"/>
      <c r="E1" s="2"/>
      <c r="F1" s="2"/>
      <c r="G1" s="2"/>
    </row>
    <row r="2" ht="145" customHeight="1" spans="1:7">
      <c r="A2" s="83" t="s">
        <v>1101</v>
      </c>
      <c r="B2" s="84"/>
      <c r="C2" s="84"/>
      <c r="D2" s="84"/>
      <c r="E2" s="84"/>
      <c r="F2" s="84"/>
      <c r="G2" s="84"/>
    </row>
    <row r="3" ht="21" customHeight="1" spans="1:4">
      <c r="A3" s="100" t="s">
        <v>553</v>
      </c>
      <c r="B3" s="101"/>
      <c r="C3" s="45"/>
      <c r="D3" s="45"/>
    </row>
    <row r="4" ht="20" customHeight="1" spans="1:2">
      <c r="A4" s="303" t="s">
        <v>582</v>
      </c>
      <c r="B4" s="303" t="s">
        <v>558</v>
      </c>
    </row>
    <row r="5" ht="19" customHeight="1" spans="1:2">
      <c r="A5" s="303">
        <v>1800000</v>
      </c>
      <c r="B5" s="303" t="s">
        <v>712</v>
      </c>
    </row>
    <row r="6" ht="19" customHeight="1" spans="1:2">
      <c r="A6" s="303">
        <v>200000</v>
      </c>
      <c r="B6" s="303" t="s">
        <v>844</v>
      </c>
    </row>
    <row r="7" ht="19" customHeight="1" spans="1:2">
      <c r="A7" s="303">
        <v>6</v>
      </c>
      <c r="B7" s="303" t="s">
        <v>845</v>
      </c>
    </row>
    <row r="8" ht="14.25" spans="1:2">
      <c r="A8" s="303" t="s">
        <v>560</v>
      </c>
      <c r="B8" s="303" t="s">
        <v>622</v>
      </c>
    </row>
    <row r="9" ht="14.25" spans="1:2">
      <c r="A9" s="304">
        <f>SYD(A5,A6,A7,1)</f>
        <v>457142.857142857</v>
      </c>
      <c r="B9" s="303" t="s">
        <v>1102</v>
      </c>
    </row>
    <row r="10" ht="14.25" spans="1:2">
      <c r="A10" s="304">
        <f>SYD(A5,A6,A7,6)</f>
        <v>76190.4761904762</v>
      </c>
      <c r="B10" s="303" t="s">
        <v>1103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1104</v>
      </c>
      <c r="B1" s="2"/>
      <c r="C1" s="2"/>
      <c r="D1" s="2"/>
      <c r="E1" s="2"/>
      <c r="F1" s="2"/>
      <c r="G1" s="2"/>
    </row>
    <row r="2" ht="145" customHeight="1" spans="1:7">
      <c r="A2" s="83" t="s">
        <v>1105</v>
      </c>
      <c r="B2" s="84"/>
      <c r="C2" s="84"/>
      <c r="D2" s="84"/>
      <c r="E2" s="84"/>
      <c r="F2" s="84"/>
      <c r="G2" s="84"/>
    </row>
    <row r="3" ht="21" customHeight="1" spans="1:4">
      <c r="A3" s="100" t="s">
        <v>553</v>
      </c>
      <c r="B3" s="101"/>
      <c r="C3" s="45"/>
      <c r="D3" s="45"/>
    </row>
    <row r="4" ht="19" customHeight="1" spans="1:2">
      <c r="A4" s="86" t="s">
        <v>582</v>
      </c>
      <c r="B4" s="86" t="s">
        <v>558</v>
      </c>
    </row>
    <row r="5" ht="19" customHeight="1" spans="1:2">
      <c r="A5" s="296">
        <v>0.6</v>
      </c>
      <c r="B5" s="86" t="s">
        <v>1106</v>
      </c>
    </row>
    <row r="6" ht="19" customHeight="1" spans="1:2">
      <c r="A6" s="296">
        <v>20</v>
      </c>
      <c r="B6" s="86" t="s">
        <v>1107</v>
      </c>
    </row>
    <row r="7" ht="14.25" spans="1:2">
      <c r="A7" s="86" t="s">
        <v>560</v>
      </c>
      <c r="B7" s="86" t="s">
        <v>622</v>
      </c>
    </row>
    <row r="8" ht="14.25" spans="1:2">
      <c r="A8" s="86">
        <f>EXPONDIST(A5,A6,TRUE)</f>
        <v>0.999993855787647</v>
      </c>
      <c r="B8" s="86" t="s">
        <v>1108</v>
      </c>
    </row>
    <row r="9" ht="14.25" spans="1:2">
      <c r="A9" s="86">
        <f>EXPONDIST(0.6,20,FALSE)</f>
        <v>0.000122884247066564</v>
      </c>
      <c r="B9" s="86" t="s">
        <v>1109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1110</v>
      </c>
      <c r="B1" s="2"/>
      <c r="C1" s="2"/>
      <c r="D1" s="2"/>
      <c r="E1" s="2"/>
      <c r="F1" s="2"/>
      <c r="G1" s="2"/>
    </row>
    <row r="2" ht="214" customHeight="1" spans="1:7">
      <c r="A2" s="83" t="s">
        <v>1111</v>
      </c>
      <c r="B2" s="84"/>
      <c r="C2" s="84"/>
      <c r="D2" s="84"/>
      <c r="E2" s="84"/>
      <c r="F2" s="84"/>
      <c r="G2" s="84"/>
    </row>
    <row r="3" ht="21" customHeight="1" spans="1:4">
      <c r="A3" s="100" t="s">
        <v>553</v>
      </c>
      <c r="B3" s="101"/>
      <c r="C3" s="45"/>
      <c r="D3" s="45"/>
    </row>
    <row r="4" ht="14.25" spans="1:2">
      <c r="A4" s="86" t="s">
        <v>804</v>
      </c>
      <c r="B4" s="89" t="s">
        <v>558</v>
      </c>
    </row>
    <row r="5" ht="14.25" spans="1:2">
      <c r="A5" s="296">
        <v>1</v>
      </c>
      <c r="B5" s="86" t="s">
        <v>1112</v>
      </c>
    </row>
    <row r="6" ht="14.25" spans="1:2">
      <c r="A6" s="86">
        <v>4</v>
      </c>
      <c r="B6" s="86" t="s">
        <v>1113</v>
      </c>
    </row>
    <row r="7" ht="14.25" spans="1:2">
      <c r="A7" s="86">
        <v>8</v>
      </c>
      <c r="B7" s="86" t="s">
        <v>1114</v>
      </c>
    </row>
    <row r="8" ht="14.25" spans="1:2">
      <c r="A8" s="86">
        <v>20</v>
      </c>
      <c r="B8" s="86" t="s">
        <v>1115</v>
      </c>
    </row>
    <row r="9" ht="14.25" spans="1:2">
      <c r="A9" s="86" t="s">
        <v>621</v>
      </c>
      <c r="B9" s="86" t="s">
        <v>622</v>
      </c>
    </row>
    <row r="10" ht="28.5" spans="1:2">
      <c r="A10" s="86">
        <f>HYPGEOMDIST(A5,A6,A7,A8)</f>
        <v>0.363261093911249</v>
      </c>
      <c r="B10" s="86" t="s">
        <v>1116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1117</v>
      </c>
      <c r="B1" s="2"/>
      <c r="C1" s="2"/>
      <c r="D1" s="2"/>
      <c r="E1" s="2"/>
      <c r="F1" s="2"/>
      <c r="G1" s="2"/>
    </row>
    <row r="2" ht="106" customHeight="1" spans="1:7">
      <c r="A2" s="83" t="s">
        <v>1118</v>
      </c>
      <c r="B2" s="84"/>
      <c r="C2" s="84"/>
      <c r="D2" s="84"/>
      <c r="E2" s="84"/>
      <c r="F2" s="84"/>
      <c r="G2" s="84"/>
    </row>
    <row r="3" ht="21" customHeight="1" spans="1:4">
      <c r="A3" s="100" t="s">
        <v>553</v>
      </c>
      <c r="B3" s="101"/>
      <c r="C3" s="45"/>
      <c r="D3" s="45"/>
    </row>
    <row r="4" ht="19" customHeight="1" spans="1:2">
      <c r="A4" s="296">
        <f>POWER(5,2)</f>
        <v>25</v>
      </c>
      <c r="B4" s="303" t="s">
        <v>1119</v>
      </c>
    </row>
    <row r="5" ht="19" customHeight="1" spans="1:2">
      <c r="A5" s="86">
        <f>POWER(98.6,3.2)</f>
        <v>2401077.22206958</v>
      </c>
      <c r="B5" s="303" t="s">
        <v>1120</v>
      </c>
    </row>
    <row r="6" ht="19" customHeight="1" spans="1:2">
      <c r="A6" s="86">
        <f>POWER(4,5/4)</f>
        <v>5.65685424949238</v>
      </c>
      <c r="B6" s="303" t="s">
        <v>1121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1087</v>
      </c>
      <c r="B1" s="2"/>
      <c r="C1" s="2"/>
      <c r="D1" s="2"/>
      <c r="E1" s="2"/>
      <c r="F1" s="2"/>
      <c r="G1" s="2"/>
    </row>
    <row r="2" ht="142" customHeight="1" spans="1:7">
      <c r="A2" s="83" t="s">
        <v>1122</v>
      </c>
      <c r="B2" s="84"/>
      <c r="C2" s="84"/>
      <c r="D2" s="84"/>
      <c r="E2" s="84"/>
      <c r="F2" s="84"/>
      <c r="G2" s="84"/>
    </row>
    <row r="3" ht="21" customHeight="1" spans="1:4">
      <c r="A3" s="100" t="s">
        <v>553</v>
      </c>
      <c r="B3" s="101"/>
      <c r="C3" s="45"/>
      <c r="D3" s="45"/>
    </row>
    <row r="4" ht="19" customHeight="1" spans="1:2">
      <c r="A4" s="86" t="s">
        <v>804</v>
      </c>
      <c r="B4" s="86" t="s">
        <v>558</v>
      </c>
    </row>
    <row r="5" ht="19" customHeight="1" spans="1:2">
      <c r="A5" s="86">
        <v>198</v>
      </c>
      <c r="B5" s="86" t="s">
        <v>1123</v>
      </c>
    </row>
    <row r="6" ht="19" customHeight="1" spans="1:2">
      <c r="A6" s="86">
        <v>40</v>
      </c>
      <c r="B6" s="86" t="s">
        <v>783</v>
      </c>
    </row>
    <row r="7" ht="14.25" spans="1:2">
      <c r="A7" s="86">
        <v>200</v>
      </c>
      <c r="B7" s="86" t="s">
        <v>1124</v>
      </c>
    </row>
    <row r="8" ht="14.25" spans="1:2">
      <c r="A8" s="86" t="s">
        <v>818</v>
      </c>
      <c r="B8" s="86" t="s">
        <v>622</v>
      </c>
    </row>
    <row r="9" ht="28.5" spans="1:2">
      <c r="A9" s="86">
        <f>WEIBULL(A5,A6,A7,TRUE)</f>
        <v>0.487764991651052</v>
      </c>
      <c r="B9" s="86" t="s">
        <v>1125</v>
      </c>
    </row>
    <row r="10" ht="28.5" spans="1:2">
      <c r="A10" s="86">
        <f>WEIBULL(A5,A6,A7,FALSE)</f>
        <v>0.0692264150174041</v>
      </c>
      <c r="B10" s="86" t="s">
        <v>1126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1087</v>
      </c>
      <c r="B1" s="2"/>
      <c r="C1" s="2"/>
      <c r="D1" s="2"/>
      <c r="E1" s="2"/>
      <c r="F1" s="2"/>
      <c r="G1" s="2"/>
    </row>
    <row r="2" ht="157" customHeight="1" spans="1:7">
      <c r="A2" s="83" t="s">
        <v>1127</v>
      </c>
      <c r="B2" s="84"/>
      <c r="C2" s="84"/>
      <c r="D2" s="84"/>
      <c r="E2" s="84"/>
      <c r="F2" s="84"/>
      <c r="G2" s="84"/>
    </row>
    <row r="3" ht="21" customHeight="1" spans="1:4">
      <c r="A3" s="100" t="s">
        <v>553</v>
      </c>
      <c r="B3" s="101"/>
      <c r="C3" s="45"/>
      <c r="D3" s="45"/>
    </row>
    <row r="4" ht="19" customHeight="1" spans="1:2">
      <c r="A4" s="86" t="s">
        <v>1128</v>
      </c>
      <c r="B4" s="86" t="s">
        <v>1129</v>
      </c>
    </row>
    <row r="5" ht="19" customHeight="1" spans="1:2">
      <c r="A5" s="86">
        <v>3</v>
      </c>
      <c r="B5" s="296">
        <v>2</v>
      </c>
    </row>
    <row r="6" ht="19" customHeight="1" spans="1:2">
      <c r="A6" s="296">
        <v>6</v>
      </c>
      <c r="B6" s="86">
        <v>0</v>
      </c>
    </row>
    <row r="7" ht="14.25" spans="1:2">
      <c r="A7" s="86" t="s">
        <v>1130</v>
      </c>
      <c r="B7" s="86" t="s">
        <v>1131</v>
      </c>
    </row>
    <row r="8" ht="14.25" spans="1:2">
      <c r="A8" s="296">
        <v>9</v>
      </c>
      <c r="B8" s="296">
        <v>6</v>
      </c>
    </row>
    <row r="9" ht="14.25" spans="1:2">
      <c r="A9" s="296">
        <v>0</v>
      </c>
      <c r="B9" s="296">
        <v>4</v>
      </c>
    </row>
    <row r="10" ht="14.25" spans="1:2">
      <c r="A10" s="89" t="s">
        <v>560</v>
      </c>
      <c r="B10" s="86"/>
    </row>
    <row r="11" ht="14.25" spans="1:2">
      <c r="A11" s="86">
        <f>MMULT(A5:B6,A8:B9)</f>
        <v>27</v>
      </c>
      <c r="B11" s="86"/>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1132</v>
      </c>
      <c r="B1" s="2"/>
      <c r="C1" s="2"/>
      <c r="D1" s="2"/>
      <c r="E1" s="2"/>
      <c r="F1" s="2"/>
      <c r="G1" s="2"/>
    </row>
    <row r="2" ht="102" customHeight="1" spans="1:7">
      <c r="A2" s="83" t="s">
        <v>1133</v>
      </c>
      <c r="B2" s="84"/>
      <c r="C2" s="84"/>
      <c r="D2" s="84"/>
      <c r="E2" s="84"/>
      <c r="F2" s="84"/>
      <c r="G2" s="84"/>
    </row>
    <row r="3" ht="21" customHeight="1" spans="1:4">
      <c r="A3" s="100" t="s">
        <v>553</v>
      </c>
      <c r="B3" s="101"/>
      <c r="C3" s="45"/>
      <c r="D3" s="45"/>
    </row>
    <row r="4" ht="20" customHeight="1" spans="1:2">
      <c r="A4" s="86" t="s">
        <v>560</v>
      </c>
      <c r="B4" s="86" t="s">
        <v>622</v>
      </c>
    </row>
    <row r="5" ht="19" customHeight="1" spans="1:2">
      <c r="A5" s="86">
        <f>LCM(6,3)</f>
        <v>6</v>
      </c>
      <c r="B5" s="86" t="s">
        <v>1134</v>
      </c>
    </row>
    <row r="6" ht="19" customHeight="1" spans="1:2">
      <c r="A6" s="86">
        <f>LCM(32,48)</f>
        <v>96</v>
      </c>
      <c r="B6" s="86" t="s">
        <v>1135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1136</v>
      </c>
      <c r="B1" s="2"/>
      <c r="C1" s="2"/>
      <c r="D1" s="2"/>
      <c r="E1" s="2"/>
      <c r="F1" s="2"/>
      <c r="G1" s="2"/>
    </row>
    <row r="2" ht="102" customHeight="1" spans="1:7">
      <c r="A2" s="83" t="s">
        <v>1137</v>
      </c>
      <c r="B2" s="84"/>
      <c r="C2" s="84"/>
      <c r="D2" s="84"/>
      <c r="E2" s="84"/>
      <c r="F2" s="84"/>
      <c r="G2" s="84"/>
    </row>
    <row r="3" ht="21" customHeight="1" spans="1:4">
      <c r="A3" s="100" t="s">
        <v>553</v>
      </c>
      <c r="B3" s="101"/>
      <c r="C3" s="45"/>
      <c r="D3" s="45"/>
    </row>
    <row r="4" ht="19" customHeight="1" spans="1:2">
      <c r="A4" s="89" t="s">
        <v>1138</v>
      </c>
      <c r="B4" s="89" t="s">
        <v>677</v>
      </c>
    </row>
    <row r="5" ht="19" customHeight="1" spans="1:2">
      <c r="A5" s="296">
        <v>1</v>
      </c>
      <c r="B5" s="296">
        <v>6</v>
      </c>
    </row>
    <row r="6" ht="14.25" spans="1:2">
      <c r="A6" s="86">
        <v>14</v>
      </c>
      <c r="B6" s="296">
        <v>7</v>
      </c>
    </row>
    <row r="7" ht="14.25" spans="1:2">
      <c r="A7" s="86">
        <v>9</v>
      </c>
      <c r="B7" s="86">
        <v>12</v>
      </c>
    </row>
    <row r="8" ht="14.25" spans="1:2">
      <c r="A8" s="86">
        <v>23</v>
      </c>
      <c r="B8" s="86">
        <v>9</v>
      </c>
    </row>
    <row r="9" ht="14.25" spans="1:2">
      <c r="A9" s="86">
        <v>8</v>
      </c>
      <c r="B9" s="86">
        <v>3</v>
      </c>
    </row>
    <row r="10" ht="14.25" spans="1:2">
      <c r="A10" s="86" t="s">
        <v>621</v>
      </c>
      <c r="B10" s="86" t="s">
        <v>622</v>
      </c>
    </row>
    <row r="11" ht="28.5" spans="1:2">
      <c r="A11" s="86">
        <f>SLOPE(A5:A9,B5:B9)</f>
        <v>0.79646017699115</v>
      </c>
      <c r="B11" s="86" t="s">
        <v>1139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1140</v>
      </c>
      <c r="B1" s="2"/>
      <c r="C1" s="2"/>
      <c r="D1" s="2"/>
      <c r="E1" s="2"/>
      <c r="F1" s="2"/>
      <c r="G1" s="2"/>
    </row>
    <row r="2" ht="174" customHeight="1" spans="1:7">
      <c r="A2" s="83" t="s">
        <v>1141</v>
      </c>
      <c r="B2" s="84"/>
      <c r="C2" s="84"/>
      <c r="D2" s="84"/>
      <c r="E2" s="84"/>
      <c r="F2" s="84"/>
      <c r="G2" s="84"/>
    </row>
    <row r="3" ht="21" customHeight="1" spans="1:4">
      <c r="A3" s="100" t="s">
        <v>553</v>
      </c>
      <c r="B3" s="101"/>
      <c r="C3" s="45"/>
      <c r="D3" s="45"/>
    </row>
    <row r="4" ht="19" customHeight="1" spans="1:2">
      <c r="A4" s="86" t="s">
        <v>804</v>
      </c>
      <c r="B4" s="89" t="s">
        <v>558</v>
      </c>
    </row>
    <row r="5" ht="19" customHeight="1" spans="1:2">
      <c r="A5" s="296">
        <v>16</v>
      </c>
      <c r="B5" s="86" t="s">
        <v>1142</v>
      </c>
    </row>
    <row r="6" ht="19" customHeight="1" spans="1:2">
      <c r="A6" s="86">
        <v>6</v>
      </c>
      <c r="B6" s="86" t="s">
        <v>1143</v>
      </c>
    </row>
    <row r="7" ht="14.25" spans="1:2">
      <c r="A7" s="86">
        <v>2</v>
      </c>
      <c r="B7" s="86" t="s">
        <v>784</v>
      </c>
    </row>
    <row r="8" ht="14.25" spans="1:2">
      <c r="A8" s="86" t="s">
        <v>621</v>
      </c>
      <c r="B8" s="86" t="s">
        <v>622</v>
      </c>
    </row>
    <row r="9" ht="28.5" spans="1:2">
      <c r="A9" s="86">
        <f>GAMMADIST(A5,A6,A7,FALSE)</f>
        <v>0.0458018307962896</v>
      </c>
      <c r="B9" s="86" t="s">
        <v>1144</v>
      </c>
    </row>
    <row r="10" ht="28.5" spans="1:2">
      <c r="A10" s="86">
        <f>GAMMADIST(A5,A6,A7,TRUE)</f>
        <v>0.808763937920375</v>
      </c>
      <c r="B10" s="86" t="s">
        <v>1145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C17" sqref="C17"/>
    </sheetView>
  </sheetViews>
  <sheetFormatPr defaultColWidth="9" defaultRowHeight="13.5" outlineLevelRow="6"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1146</v>
      </c>
      <c r="B1" s="2"/>
      <c r="C1" s="2"/>
      <c r="D1" s="2"/>
      <c r="E1" s="2"/>
      <c r="F1" s="2"/>
      <c r="G1" s="2"/>
    </row>
    <row r="2" ht="102" customHeight="1" spans="1:7">
      <c r="A2" s="83" t="s">
        <v>1147</v>
      </c>
      <c r="B2" s="84"/>
      <c r="C2" s="84"/>
      <c r="D2" s="84"/>
      <c r="E2" s="84"/>
      <c r="F2" s="84"/>
      <c r="G2" s="84"/>
    </row>
    <row r="3" ht="21" customHeight="1" spans="1:4">
      <c r="A3" s="100" t="s">
        <v>553</v>
      </c>
      <c r="B3" s="101"/>
      <c r="C3" s="45"/>
      <c r="D3" s="45"/>
    </row>
    <row r="4" ht="20" customHeight="1" spans="1:3">
      <c r="A4" s="267" t="s">
        <v>560</v>
      </c>
      <c r="B4" s="267" t="s">
        <v>622</v>
      </c>
      <c r="C4" s="267"/>
    </row>
    <row r="5" ht="19" customHeight="1" spans="1:3">
      <c r="A5" s="296">
        <f>TRUNC(8.9)</f>
        <v>8</v>
      </c>
      <c r="B5" s="302" t="s">
        <v>1148</v>
      </c>
      <c r="C5" s="302" t="str">
        <f>_xlfn.FORMULATEXT(A5)</f>
        <v>=TRUNC(8.9)</v>
      </c>
    </row>
    <row r="6" ht="19" customHeight="1" spans="1:3">
      <c r="A6" s="296">
        <f>TRUNC(-8.9)</f>
        <v>-8</v>
      </c>
      <c r="B6" s="302" t="s">
        <v>1149</v>
      </c>
      <c r="C6" s="302" t="str">
        <f>_xlfn.FORMULATEXT(A6)</f>
        <v>=TRUNC(-8.9)</v>
      </c>
    </row>
    <row r="7" ht="19" customHeight="1" spans="1:3">
      <c r="A7" s="296">
        <f>TRUNC(PI())</f>
        <v>3</v>
      </c>
      <c r="B7" s="302" t="s">
        <v>1150</v>
      </c>
      <c r="C7" s="302" t="str">
        <f>_xlfn.FORMULATEXT(A7)</f>
        <v>=TRUNC(PI())</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1151</v>
      </c>
      <c r="B1" s="2"/>
      <c r="C1" s="2"/>
      <c r="D1" s="2"/>
      <c r="E1" s="2"/>
      <c r="F1" s="2"/>
      <c r="G1" s="2"/>
    </row>
    <row r="2" ht="186" customHeight="1" spans="1:7">
      <c r="A2" s="83" t="s">
        <v>1152</v>
      </c>
      <c r="B2" s="84"/>
      <c r="C2" s="84"/>
      <c r="D2" s="84"/>
      <c r="E2" s="84"/>
      <c r="F2" s="84"/>
      <c r="G2" s="84"/>
    </row>
    <row r="3" ht="21" customHeight="1" spans="1:4">
      <c r="A3" s="100" t="s">
        <v>553</v>
      </c>
      <c r="B3" s="101"/>
      <c r="C3" s="45"/>
      <c r="D3" s="45"/>
    </row>
    <row r="4" ht="19" customHeight="1" spans="1:2">
      <c r="A4" s="86" t="s">
        <v>804</v>
      </c>
      <c r="B4" s="89" t="s">
        <v>558</v>
      </c>
    </row>
    <row r="5" ht="19" customHeight="1" spans="1:2">
      <c r="A5" s="296">
        <v>19</v>
      </c>
      <c r="B5" s="86" t="s">
        <v>1123</v>
      </c>
    </row>
    <row r="6" ht="19" customHeight="1" spans="1:2">
      <c r="A6" s="86">
        <v>6</v>
      </c>
      <c r="B6" s="86" t="s">
        <v>1153</v>
      </c>
    </row>
    <row r="7" ht="14.25" spans="1:2">
      <c r="A7" s="86">
        <v>2</v>
      </c>
      <c r="B7" s="86" t="s">
        <v>778</v>
      </c>
    </row>
    <row r="8" ht="14.25" spans="1:2">
      <c r="A8" s="86" t="s">
        <v>621</v>
      </c>
      <c r="B8" s="86" t="s">
        <v>622</v>
      </c>
    </row>
    <row r="9" ht="28.5" spans="1:2">
      <c r="A9" s="86">
        <f>FDIST(A5,A6,A7)</f>
        <v>0.0508374677108533</v>
      </c>
      <c r="B9" s="86" t="s">
        <v>1154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1155</v>
      </c>
      <c r="B1" s="2"/>
      <c r="C1" s="2"/>
      <c r="D1" s="2"/>
      <c r="E1" s="2"/>
      <c r="F1" s="2"/>
      <c r="G1" s="2"/>
    </row>
    <row r="2" ht="90" customHeight="1" spans="1:7">
      <c r="A2" s="83" t="s">
        <v>1156</v>
      </c>
      <c r="B2" s="84"/>
      <c r="C2" s="84"/>
      <c r="D2" s="84"/>
      <c r="E2" s="84"/>
      <c r="F2" s="84"/>
      <c r="G2" s="84"/>
    </row>
    <row r="3" ht="21" customHeight="1" spans="1:4">
      <c r="A3" s="100" t="s">
        <v>553</v>
      </c>
      <c r="B3" s="101"/>
      <c r="C3" s="45"/>
      <c r="D3" s="45"/>
    </row>
    <row r="4" ht="19" customHeight="1" spans="1:3">
      <c r="A4" s="89" t="s">
        <v>1157</v>
      </c>
      <c r="B4" s="89" t="s">
        <v>1158</v>
      </c>
      <c r="C4" s="86" t="s">
        <v>558</v>
      </c>
    </row>
    <row r="5" ht="19" customHeight="1" spans="1:3">
      <c r="A5" s="86">
        <v>43</v>
      </c>
      <c r="B5" s="86">
        <v>62</v>
      </c>
      <c r="C5" s="86" t="s">
        <v>1159</v>
      </c>
    </row>
    <row r="6" ht="19" customHeight="1" spans="1:3">
      <c r="A6" s="86">
        <v>27</v>
      </c>
      <c r="B6" s="86">
        <v>34</v>
      </c>
      <c r="C6" s="86" t="s">
        <v>1160</v>
      </c>
    </row>
    <row r="7" ht="14.25" spans="1:3">
      <c r="A7" s="296">
        <v>23</v>
      </c>
      <c r="B7" s="86">
        <v>20</v>
      </c>
      <c r="C7" s="86" t="s">
        <v>1161</v>
      </c>
    </row>
    <row r="8" ht="14.25" spans="1:3">
      <c r="A8" s="89" t="s">
        <v>1162</v>
      </c>
      <c r="B8" s="89" t="s">
        <v>1163</v>
      </c>
      <c r="C8" s="86" t="s">
        <v>558</v>
      </c>
    </row>
    <row r="9" customHeight="1" spans="1:3">
      <c r="A9" s="86">
        <v>55.36</v>
      </c>
      <c r="B9" s="86">
        <v>56.32</v>
      </c>
      <c r="C9" s="86" t="s">
        <v>1159</v>
      </c>
    </row>
    <row r="10" customHeight="1" spans="1:3">
      <c r="A10" s="86">
        <v>15.32</v>
      </c>
      <c r="B10" s="86">
        <v>36.47</v>
      </c>
      <c r="C10" s="86" t="s">
        <v>1160</v>
      </c>
    </row>
    <row r="11" ht="14.25" spans="1:3">
      <c r="A11" s="86">
        <v>19.05</v>
      </c>
      <c r="B11" s="86">
        <v>30.25</v>
      </c>
      <c r="C11" s="86" t="s">
        <v>1161</v>
      </c>
    </row>
    <row r="12" ht="14.25" spans="1:3">
      <c r="A12" s="86" t="s">
        <v>621</v>
      </c>
      <c r="B12" s="86" t="s">
        <v>622</v>
      </c>
      <c r="C12" s="86"/>
    </row>
    <row r="13" ht="14.25" spans="1:3">
      <c r="A13" s="86">
        <f>CHITEST(A5:B7,A9:B11)</f>
        <v>0.000236784694052426</v>
      </c>
      <c r="B13" s="86" t="s">
        <v>1164</v>
      </c>
      <c r="C13" s="86"/>
    </row>
  </sheetData>
  <mergeCells count="5">
    <mergeCell ref="A1:G1"/>
    <mergeCell ref="A2:G2"/>
    <mergeCell ref="B3:D3"/>
    <mergeCell ref="B12:C12"/>
    <mergeCell ref="B13:C1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showGridLines="0" workbookViewId="0">
      <pane ySplit="2" topLeftCell="A3" activePane="bottomLeft" state="frozen"/>
      <selection/>
      <selection pane="bottomLeft" activeCell="B11" sqref="B1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1165</v>
      </c>
      <c r="B1" s="2"/>
      <c r="C1" s="2"/>
      <c r="D1" s="2"/>
      <c r="E1" s="2"/>
      <c r="F1" s="2"/>
      <c r="G1" s="2"/>
    </row>
    <row r="2" ht="102" customHeight="1" spans="1:7">
      <c r="A2" s="83" t="s">
        <v>1166</v>
      </c>
      <c r="B2" s="84"/>
      <c r="C2" s="84"/>
      <c r="D2" s="84"/>
      <c r="E2" s="84"/>
      <c r="F2" s="84"/>
      <c r="G2" s="84"/>
    </row>
    <row r="3" ht="21" customHeight="1" spans="1:4">
      <c r="A3" s="100" t="s">
        <v>553</v>
      </c>
      <c r="B3" s="101"/>
      <c r="C3" s="45"/>
      <c r="D3" s="45"/>
    </row>
    <row r="4" ht="20" customHeight="1" spans="1:3">
      <c r="A4" s="267" t="s">
        <v>560</v>
      </c>
      <c r="B4" s="267" t="s">
        <v>622</v>
      </c>
      <c r="C4" s="267"/>
    </row>
    <row r="5" ht="19" customHeight="1" spans="1:3">
      <c r="A5" s="296">
        <f>ODD(1.5)</f>
        <v>3</v>
      </c>
      <c r="B5" s="302" t="s">
        <v>1167</v>
      </c>
      <c r="C5" s="302" t="str">
        <f t="shared" ref="C5:C7" si="0">_xlfn.FORMULATEXT(A5)</f>
        <v>=ODD(1.5)</v>
      </c>
    </row>
    <row r="6" ht="19" customHeight="1" spans="1:3">
      <c r="A6" s="296">
        <f>ODD(3)</f>
        <v>3</v>
      </c>
      <c r="B6" s="302" t="s">
        <v>1168</v>
      </c>
      <c r="C6" s="302" t="str">
        <f t="shared" si="0"/>
        <v>=ODD(3)</v>
      </c>
    </row>
    <row r="7" ht="19" customHeight="1" spans="1:3">
      <c r="A7" s="296">
        <f>ODD(2)</f>
        <v>3</v>
      </c>
      <c r="B7" s="302" t="s">
        <v>1169</v>
      </c>
      <c r="C7" s="302" t="str">
        <f t="shared" si="0"/>
        <v>=ODD(2)</v>
      </c>
    </row>
    <row r="18" spans="1:1">
      <c r="A18" s="300"/>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1170</v>
      </c>
      <c r="B1" s="2"/>
      <c r="C1" s="2"/>
      <c r="D1" s="2"/>
      <c r="E1" s="2"/>
      <c r="F1" s="2"/>
      <c r="G1" s="2"/>
    </row>
    <row r="2" ht="231" customHeight="1" spans="1:7">
      <c r="A2" s="83" t="s">
        <v>1171</v>
      </c>
      <c r="B2" s="84"/>
      <c r="C2" s="84"/>
      <c r="D2" s="84"/>
      <c r="E2" s="84"/>
      <c r="F2" s="84"/>
      <c r="G2" s="84"/>
    </row>
    <row r="3" ht="21" customHeight="1" spans="1:4">
      <c r="A3" s="100" t="s">
        <v>553</v>
      </c>
      <c r="B3" s="101"/>
      <c r="C3" s="45"/>
      <c r="D3" s="45"/>
    </row>
    <row r="4" ht="20" customHeight="1" spans="1:2">
      <c r="A4" s="295" t="s">
        <v>582</v>
      </c>
      <c r="B4" s="295" t="s">
        <v>558</v>
      </c>
    </row>
    <row r="5" ht="19" customHeight="1" spans="1:2">
      <c r="A5" s="301">
        <v>1800000</v>
      </c>
      <c r="B5" s="86" t="s">
        <v>712</v>
      </c>
    </row>
    <row r="6" ht="19" customHeight="1" spans="1:2">
      <c r="A6" s="301">
        <v>200000</v>
      </c>
      <c r="B6" s="86" t="s">
        <v>844</v>
      </c>
    </row>
    <row r="7" ht="19" customHeight="1" spans="1:2">
      <c r="A7" s="86">
        <v>6</v>
      </c>
      <c r="B7" s="86" t="s">
        <v>845</v>
      </c>
    </row>
    <row r="8" ht="14.25" spans="1:2">
      <c r="A8" s="295" t="s">
        <v>560</v>
      </c>
      <c r="B8" s="295" t="s">
        <v>622</v>
      </c>
    </row>
    <row r="9" ht="14.25" spans="1:2">
      <c r="A9" s="296">
        <f>DB(A5,A6,A7,1,7)</f>
        <v>322350</v>
      </c>
      <c r="B9" s="86" t="s">
        <v>1172</v>
      </c>
    </row>
    <row r="10" ht="14.25" spans="1:2">
      <c r="A10" s="296">
        <f>DB($A$5,$A$6,$A$7,2,7)</f>
        <v>453638.55</v>
      </c>
      <c r="B10" s="86" t="s">
        <v>1173</v>
      </c>
    </row>
    <row r="11" ht="14.25" spans="1:2">
      <c r="A11" s="296">
        <f>DB($A$5,$A$6,$A$7,3,7)</f>
        <v>314371.51515</v>
      </c>
      <c r="B11" s="86" t="s">
        <v>1174</v>
      </c>
    </row>
    <row r="12" ht="14.25" spans="1:2">
      <c r="A12" s="296">
        <f>DB($A$5,$A$6,$A$7,4,7)</f>
        <v>217859.45999895</v>
      </c>
      <c r="B12" s="86" t="s">
        <v>1175</v>
      </c>
    </row>
    <row r="13" ht="14.25" spans="1:2">
      <c r="A13" s="296">
        <f>DB($A$5,$A$6,$A$7,5,7)</f>
        <v>150976.605779272</v>
      </c>
      <c r="B13" s="86" t="s">
        <v>1176</v>
      </c>
    </row>
    <row r="14" ht="14.25" spans="1:2">
      <c r="A14" s="296">
        <f>DB($A$5,$A$6,$A$7,6,7)</f>
        <v>104626.787805036</v>
      </c>
      <c r="B14" s="86" t="s">
        <v>1177</v>
      </c>
    </row>
    <row r="15" ht="14.25" spans="1:2">
      <c r="A15" s="296">
        <f>DB($A$5,$A$6,$A$7,7,7)</f>
        <v>30210.9849787041</v>
      </c>
      <c r="B15" s="86" t="s">
        <v>1178</v>
      </c>
    </row>
    <row r="18" spans="1:1">
      <c r="A18" s="300"/>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showGridLines="0" workbookViewId="0">
      <pane ySplit="2" topLeftCell="A4"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1179</v>
      </c>
      <c r="B1" s="2"/>
      <c r="C1" s="2"/>
      <c r="D1" s="2"/>
      <c r="E1" s="2"/>
      <c r="F1" s="2"/>
      <c r="G1" s="2"/>
    </row>
    <row r="2" ht="201" customHeight="1" spans="1:7">
      <c r="A2" s="83" t="s">
        <v>1180</v>
      </c>
      <c r="B2" s="84"/>
      <c r="C2" s="84"/>
      <c r="D2" s="84"/>
      <c r="E2" s="84"/>
      <c r="F2" s="84"/>
      <c r="G2" s="84"/>
    </row>
    <row r="3" ht="21" customHeight="1" spans="1:4">
      <c r="A3" s="100" t="s">
        <v>553</v>
      </c>
      <c r="B3" s="101"/>
      <c r="C3" s="45"/>
      <c r="D3" s="45"/>
    </row>
    <row r="4" ht="20" customHeight="1" spans="1:2">
      <c r="A4" s="296" t="s">
        <v>582</v>
      </c>
      <c r="B4" s="296" t="s">
        <v>558</v>
      </c>
    </row>
    <row r="5" ht="19" customHeight="1" spans="1:2">
      <c r="A5" s="296">
        <v>1800000</v>
      </c>
      <c r="B5" s="296" t="s">
        <v>712</v>
      </c>
    </row>
    <row r="6" ht="19" customHeight="1" spans="1:2">
      <c r="A6" s="296">
        <v>200000</v>
      </c>
      <c r="B6" s="296" t="s">
        <v>844</v>
      </c>
    </row>
    <row r="7" ht="19" customHeight="1" spans="1:2">
      <c r="A7" s="296">
        <v>6</v>
      </c>
      <c r="B7" s="296" t="s">
        <v>845</v>
      </c>
    </row>
    <row r="8" ht="14.25" spans="1:2">
      <c r="A8" s="296" t="s">
        <v>560</v>
      </c>
      <c r="B8" s="296" t="s">
        <v>622</v>
      </c>
    </row>
    <row r="9" ht="28.5" spans="1:2">
      <c r="A9" s="296">
        <f>DDB(A5,A6,A7*365,1)</f>
        <v>1643.83561643836</v>
      </c>
      <c r="B9" s="296" t="s">
        <v>1181</v>
      </c>
    </row>
    <row r="10" ht="14.25" spans="1:2">
      <c r="A10" s="296">
        <f>DDB(A5,A6,A7*12,1,2)</f>
        <v>50000</v>
      </c>
      <c r="B10" s="296" t="s">
        <v>1182</v>
      </c>
    </row>
    <row r="11" ht="14.25" spans="1:2">
      <c r="A11" s="296">
        <f>DDB(A5,A6,A7,1,2)</f>
        <v>600000</v>
      </c>
      <c r="B11" s="296" t="s">
        <v>1183</v>
      </c>
    </row>
    <row r="12" ht="28.5" spans="1:2">
      <c r="A12" s="296">
        <f>DDB(A5,A6,A7,2,1.5)</f>
        <v>337500</v>
      </c>
      <c r="B12" s="296" t="s">
        <v>1184</v>
      </c>
    </row>
    <row r="13" ht="28.5" spans="1:2">
      <c r="A13" s="296">
        <f>DDB(A5,A6,A7,6)</f>
        <v>37037.0370370372</v>
      </c>
      <c r="B13" s="296" t="s">
        <v>1185</v>
      </c>
    </row>
    <row r="14" ht="14.25" spans="1:2">
      <c r="A14" s="298" t="s">
        <v>1186</v>
      </c>
      <c r="B14" s="299"/>
    </row>
    <row r="17" spans="1:1">
      <c r="A17" s="300"/>
    </row>
  </sheetData>
  <mergeCells count="4">
    <mergeCell ref="A1:G1"/>
    <mergeCell ref="A2:G2"/>
    <mergeCell ref="B3:D3"/>
    <mergeCell ref="A14:B14"/>
  </mergeCells>
  <dataValidations count="1">
    <dataValidation type="list" allowBlank="1" showInputMessage="1" showErrorMessage="1" sqref="B2 C2">
      <formula1>函数!$C$1:$C$9</formula1>
    </dataValidation>
  </dataValidations>
  <hyperlinks>
    <hyperlink ref="B9" r:id="rId2" display="计算第一天的折旧值。WPS表格自动将factor设置为2。(1,643.84)" tooltip="http://www.wps.cn/"/>
    <hyperlink ref="B13" r:id="rId2" display="计算第六年的折旧值，WPS表格自动将factor设置为2(37,037.04)" tooltip="http://www.wps.cn/"/>
  </hyperlinks>
  <pageMargins left="0.75" right="0.75" top="1" bottom="1" header="0.511805555555556" footer="0.511805555555556"/>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showGridLines="0" workbookViewId="0">
      <pane ySplit="2" topLeftCell="A4" activePane="bottomLeft" state="frozen"/>
      <selection/>
      <selection pane="bottomLeft" activeCell="A1" sqref="A1:G1"/>
    </sheetView>
  </sheetViews>
  <sheetFormatPr defaultColWidth="9" defaultRowHeight="13.5" outlineLevelCol="6"/>
  <cols>
    <col min="1" max="1" width="17.625" customWidth="1"/>
    <col min="2" max="2" width="29.75" customWidth="1"/>
    <col min="3" max="3" width="17.25" customWidth="1"/>
    <col min="4" max="4" width="34.75" customWidth="1"/>
    <col min="5" max="5" width="32.375" customWidth="1"/>
    <col min="6" max="6" width="36.25" customWidth="1"/>
    <col min="7" max="7" width="24.5" customWidth="1"/>
  </cols>
  <sheetData>
    <row r="1" ht="26" customHeight="1" spans="1:7">
      <c r="A1" s="2" t="s">
        <v>1187</v>
      </c>
      <c r="B1" s="2"/>
      <c r="C1" s="2"/>
      <c r="D1" s="2"/>
      <c r="E1" s="2"/>
      <c r="F1" s="2"/>
      <c r="G1" s="2"/>
    </row>
    <row r="2" ht="201" customHeight="1" spans="1:7">
      <c r="A2" s="83" t="s">
        <v>1188</v>
      </c>
      <c r="B2" s="84"/>
      <c r="C2" s="84"/>
      <c r="D2" s="84"/>
      <c r="E2" s="84"/>
      <c r="F2" s="84"/>
      <c r="G2" s="84"/>
    </row>
    <row r="3" ht="21" customHeight="1" spans="1:4">
      <c r="A3" s="100" t="s">
        <v>553</v>
      </c>
      <c r="B3" s="101"/>
      <c r="C3" s="45"/>
      <c r="D3" s="45"/>
    </row>
    <row r="4" ht="20" customHeight="1" spans="1:2">
      <c r="A4" s="296" t="s">
        <v>582</v>
      </c>
      <c r="B4" s="296" t="s">
        <v>558</v>
      </c>
    </row>
    <row r="5" ht="19" customHeight="1" spans="1:2">
      <c r="A5" s="296">
        <v>1800000</v>
      </c>
      <c r="B5" s="296" t="s">
        <v>712</v>
      </c>
    </row>
    <row r="6" ht="19" customHeight="1" spans="1:2">
      <c r="A6" s="296">
        <v>200000</v>
      </c>
      <c r="B6" s="296" t="s">
        <v>844</v>
      </c>
    </row>
    <row r="7" ht="19" customHeight="1" spans="1:2">
      <c r="A7" s="296">
        <v>6</v>
      </c>
      <c r="B7" s="296" t="s">
        <v>845</v>
      </c>
    </row>
    <row r="8" ht="14.25" spans="1:2">
      <c r="A8" s="296" t="s">
        <v>560</v>
      </c>
      <c r="B8" s="296" t="s">
        <v>622</v>
      </c>
    </row>
    <row r="9" ht="14.25" spans="1:2">
      <c r="A9" s="296">
        <f>VDB(A5,A6,A7*365,0,1)</f>
        <v>1643.83561643836</v>
      </c>
      <c r="B9" s="296" t="s">
        <v>1189</v>
      </c>
    </row>
    <row r="10" ht="14.25" spans="1:2">
      <c r="A10" s="296">
        <f>VDB(A5,A6,A7*12,0,1)</f>
        <v>50000</v>
      </c>
      <c r="B10" s="296" t="s">
        <v>1190</v>
      </c>
    </row>
    <row r="11" ht="14.25" spans="1:2">
      <c r="A11" s="296">
        <f>VDB(A5,A6,A7,0,1)</f>
        <v>600000</v>
      </c>
      <c r="B11" s="296" t="s">
        <v>1191</v>
      </c>
    </row>
    <row r="12" ht="28.5" spans="1:2">
      <c r="A12" s="296">
        <f>VDB(A5,A6,A7*12,6,18)</f>
        <v>436020.197682645</v>
      </c>
      <c r="B12" s="296" t="s">
        <v>1192</v>
      </c>
    </row>
    <row r="13" ht="28.5" spans="1:2">
      <c r="A13" s="296">
        <f>VDB(A5,A6,A7*12,6,18,1.5)</f>
        <v>354168.564808122</v>
      </c>
      <c r="B13" s="296" t="s">
        <v>1193</v>
      </c>
    </row>
    <row r="14" ht="14.25" spans="1:2">
      <c r="A14" s="298" t="s">
        <v>1186</v>
      </c>
      <c r="B14" s="299"/>
    </row>
    <row r="17" spans="1:1">
      <c r="A17" s="300"/>
    </row>
  </sheetData>
  <mergeCells count="4">
    <mergeCell ref="A1:G1"/>
    <mergeCell ref="A2:G2"/>
    <mergeCell ref="B3:D3"/>
    <mergeCell ref="A14:B14"/>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2.875" customWidth="1"/>
    <col min="3" max="3" width="17.25" customWidth="1"/>
    <col min="4" max="4" width="34.75" customWidth="1"/>
    <col min="5" max="5" width="32.375" customWidth="1"/>
    <col min="6" max="6" width="36.25" customWidth="1"/>
    <col min="7" max="7" width="24.5" customWidth="1"/>
  </cols>
  <sheetData>
    <row r="1" ht="26" customHeight="1" spans="1:7">
      <c r="A1" s="2" t="s">
        <v>1194</v>
      </c>
      <c r="B1" s="2"/>
      <c r="C1" s="2"/>
      <c r="D1" s="2"/>
      <c r="E1" s="2"/>
      <c r="F1" s="2"/>
      <c r="G1" s="2"/>
    </row>
    <row r="2" ht="161" customHeight="1" spans="1:7">
      <c r="A2" s="83" t="s">
        <v>1195</v>
      </c>
      <c r="B2" s="84"/>
      <c r="C2" s="84"/>
      <c r="D2" s="84"/>
      <c r="E2" s="84"/>
      <c r="F2" s="84"/>
      <c r="G2" s="84"/>
    </row>
    <row r="3" ht="21" customHeight="1" spans="1:4">
      <c r="A3" s="100" t="s">
        <v>553</v>
      </c>
      <c r="B3" s="101"/>
      <c r="C3" s="45"/>
      <c r="D3" s="45"/>
    </row>
    <row r="4" ht="19" customHeight="1" spans="1:2">
      <c r="A4" s="267" t="s">
        <v>1196</v>
      </c>
      <c r="B4" s="267" t="s">
        <v>1197</v>
      </c>
    </row>
    <row r="5" ht="19" customHeight="1" spans="1:2">
      <c r="A5" s="86">
        <v>4</v>
      </c>
      <c r="B5" s="86">
        <v>0.2</v>
      </c>
    </row>
    <row r="6" ht="19" customHeight="1" spans="1:2">
      <c r="A6" s="86">
        <v>5</v>
      </c>
      <c r="B6" s="86">
        <v>0.4</v>
      </c>
    </row>
    <row r="7" ht="14.25" spans="1:2">
      <c r="A7" s="86">
        <v>6</v>
      </c>
      <c r="B7" s="86">
        <v>0.1</v>
      </c>
    </row>
    <row r="8" ht="14.25" spans="1:2">
      <c r="A8" s="86">
        <v>7</v>
      </c>
      <c r="B8" s="86">
        <v>0.3</v>
      </c>
    </row>
    <row r="9" ht="14.25" spans="1:2">
      <c r="A9" s="267" t="s">
        <v>560</v>
      </c>
      <c r="B9" s="267" t="s">
        <v>622</v>
      </c>
    </row>
    <row r="10" ht="14.25" spans="1:2">
      <c r="A10" s="86">
        <f>PROB(A5:A8,B5:B8,5)</f>
        <v>0.4</v>
      </c>
      <c r="B10" s="86" t="s">
        <v>1198</v>
      </c>
    </row>
    <row r="11" ht="14.25" spans="1:2">
      <c r="A11" s="86">
        <f>PROB(A5:A8,B5:B8,4,6)</f>
        <v>0.7</v>
      </c>
      <c r="B11" s="86" t="s">
        <v>1199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D11" sqref="D11"/>
    </sheetView>
  </sheetViews>
  <sheetFormatPr defaultColWidth="9" defaultRowHeight="13.5" outlineLevelCol="6"/>
  <cols>
    <col min="1" max="1" width="17.625" customWidth="1"/>
    <col min="2" max="2" width="32.875" customWidth="1"/>
    <col min="3" max="3" width="17.25" customWidth="1"/>
    <col min="4" max="4" width="34.75" customWidth="1"/>
    <col min="5" max="5" width="32.375" customWidth="1"/>
    <col min="6" max="6" width="36.25" customWidth="1"/>
    <col min="7" max="7" width="24.5" customWidth="1"/>
  </cols>
  <sheetData>
    <row r="1" ht="26" customHeight="1" spans="1:7">
      <c r="A1" s="2" t="s">
        <v>1200</v>
      </c>
      <c r="B1" s="2"/>
      <c r="C1" s="2"/>
      <c r="D1" s="2"/>
      <c r="E1" s="2"/>
      <c r="F1" s="2"/>
      <c r="G1" s="2"/>
    </row>
    <row r="2" ht="172" customHeight="1" spans="1:7">
      <c r="A2" s="83" t="s">
        <v>1023</v>
      </c>
      <c r="B2" s="84"/>
      <c r="C2" s="84"/>
      <c r="D2" s="84"/>
      <c r="E2" s="84"/>
      <c r="F2" s="84"/>
      <c r="G2" s="84"/>
    </row>
    <row r="3" ht="21" customHeight="1" spans="1:4">
      <c r="A3" s="100" t="s">
        <v>553</v>
      </c>
      <c r="B3" s="101"/>
      <c r="C3" s="45"/>
      <c r="D3" s="45"/>
    </row>
    <row r="4" ht="19" customHeight="1" spans="1:2">
      <c r="A4" s="86" t="s">
        <v>582</v>
      </c>
      <c r="B4" s="86" t="s">
        <v>558</v>
      </c>
    </row>
    <row r="5" ht="19" customHeight="1" spans="1:2">
      <c r="A5" s="86">
        <v>3</v>
      </c>
      <c r="B5" s="86" t="s">
        <v>1024</v>
      </c>
    </row>
    <row r="6" ht="19" customHeight="1" spans="1:2">
      <c r="A6" s="86">
        <v>7</v>
      </c>
      <c r="B6" s="86" t="s">
        <v>1025</v>
      </c>
    </row>
    <row r="7" ht="14.25" spans="1:2">
      <c r="A7" s="86">
        <v>10</v>
      </c>
      <c r="B7" s="86" t="s">
        <v>1025</v>
      </c>
    </row>
    <row r="8" ht="14.25" spans="1:2">
      <c r="A8" s="86">
        <v>1</v>
      </c>
      <c r="B8" s="86" t="s">
        <v>1026</v>
      </c>
    </row>
    <row r="9" ht="14.25" spans="1:2">
      <c r="A9" s="86">
        <v>4</v>
      </c>
      <c r="B9" s="86" t="s">
        <v>1027</v>
      </c>
    </row>
    <row r="10" ht="14.25" spans="1:2">
      <c r="A10" s="89" t="s">
        <v>560</v>
      </c>
      <c r="B10" s="89" t="s">
        <v>622</v>
      </c>
    </row>
    <row r="11" ht="28.5" spans="1:2">
      <c r="A11" s="86">
        <f>BETADIST(A5,A6,A7,A8,A9)</f>
        <v>0.984054511376139</v>
      </c>
      <c r="B11" s="86" t="s">
        <v>1028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showGridLines="0" workbookViewId="0">
      <pane ySplit="2" topLeftCell="A3" activePane="bottomLeft" state="frozen"/>
      <selection/>
      <selection pane="bottomLeft" activeCell="A3" sqref="A$1:G$1048576"/>
    </sheetView>
  </sheetViews>
  <sheetFormatPr defaultColWidth="9" defaultRowHeight="13.5" outlineLevelCol="6"/>
  <cols>
    <col min="1" max="1" width="17.625" customWidth="1"/>
    <col min="2" max="2" width="32.875" customWidth="1"/>
    <col min="3" max="3" width="17.25" customWidth="1"/>
    <col min="4" max="4" width="34.75" customWidth="1"/>
    <col min="5" max="5" width="32.375" customWidth="1"/>
    <col min="6" max="6" width="36.25" customWidth="1"/>
    <col min="7" max="7" width="24.5" customWidth="1"/>
  </cols>
  <sheetData>
    <row r="1" ht="26" customHeight="1" spans="1:7">
      <c r="A1" s="2" t="s">
        <v>1201</v>
      </c>
      <c r="B1" s="2"/>
      <c r="C1" s="2"/>
      <c r="D1" s="2"/>
      <c r="E1" s="2"/>
      <c r="F1" s="2"/>
      <c r="G1" s="2"/>
    </row>
    <row r="2" ht="144" customHeight="1" spans="1:7">
      <c r="A2" s="83" t="s">
        <v>1202</v>
      </c>
      <c r="B2" s="84"/>
      <c r="C2" s="84"/>
      <c r="D2" s="84"/>
      <c r="E2" s="84"/>
      <c r="F2" s="84"/>
      <c r="G2" s="84"/>
    </row>
    <row r="3" ht="21" customHeight="1" spans="1:4">
      <c r="A3" s="100" t="s">
        <v>553</v>
      </c>
      <c r="B3" s="101"/>
      <c r="C3" s="45"/>
      <c r="D3" s="45"/>
    </row>
    <row r="4" ht="19" customHeight="1" spans="1:2">
      <c r="A4" s="297" t="s">
        <v>1203</v>
      </c>
      <c r="B4" s="253"/>
    </row>
    <row r="5" ht="19" customHeight="1" spans="1:2">
      <c r="A5" s="295" t="s">
        <v>652</v>
      </c>
      <c r="B5" s="127"/>
    </row>
    <row r="6" ht="14.25" spans="1:2">
      <c r="A6" s="86">
        <v>1345</v>
      </c>
      <c r="B6" s="127"/>
    </row>
    <row r="7" ht="14.25" spans="1:2">
      <c r="A7" s="86">
        <v>1301</v>
      </c>
      <c r="B7" s="127"/>
    </row>
    <row r="8" ht="14.25" spans="1:2">
      <c r="A8" s="86">
        <v>1368</v>
      </c>
      <c r="B8" s="127"/>
    </row>
    <row r="9" ht="14.25" spans="1:2">
      <c r="A9" s="86">
        <v>1322</v>
      </c>
      <c r="B9" s="127"/>
    </row>
    <row r="10" ht="14.25" spans="1:2">
      <c r="A10" s="86">
        <v>1310</v>
      </c>
      <c r="B10" s="127"/>
    </row>
    <row r="11" ht="14.25" spans="1:2">
      <c r="A11" s="86">
        <v>1370</v>
      </c>
      <c r="B11" s="127"/>
    </row>
    <row r="12" ht="14.25" spans="1:2">
      <c r="A12" s="86">
        <v>1318</v>
      </c>
      <c r="B12" s="127"/>
    </row>
    <row r="13" ht="14.25" spans="1:2">
      <c r="A13" s="86">
        <v>1350</v>
      </c>
      <c r="B13" s="127"/>
    </row>
    <row r="14" ht="14.25" spans="1:2">
      <c r="A14" s="86">
        <v>1303</v>
      </c>
      <c r="B14" s="127"/>
    </row>
    <row r="15" ht="14.25" spans="1:2">
      <c r="A15" s="86">
        <v>1299</v>
      </c>
      <c r="B15" s="127"/>
    </row>
    <row r="16" ht="14.25" spans="1:2">
      <c r="A16" s="295" t="s">
        <v>560</v>
      </c>
      <c r="B16" s="295" t="s">
        <v>622</v>
      </c>
    </row>
    <row r="17" ht="14.25" spans="1:2">
      <c r="A17" s="86">
        <f>VAR(A6:A15)</f>
        <v>754.266666666667</v>
      </c>
      <c r="B17" s="86" t="s">
        <v>1204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8.375" customWidth="1"/>
    <col min="3" max="3" width="17.25" customWidth="1"/>
    <col min="4" max="4" width="34.75" customWidth="1"/>
    <col min="5" max="5" width="32.375" customWidth="1"/>
    <col min="6" max="6" width="36.25" customWidth="1"/>
    <col min="7" max="7" width="24.5" customWidth="1"/>
  </cols>
  <sheetData>
    <row r="1" ht="26" customHeight="1" spans="1:7">
      <c r="A1" s="2" t="s">
        <v>1205</v>
      </c>
      <c r="B1" s="2"/>
      <c r="C1" s="2"/>
      <c r="D1" s="2"/>
      <c r="E1" s="2"/>
      <c r="F1" s="2"/>
      <c r="G1" s="2"/>
    </row>
    <row r="2" ht="147" customHeight="1" spans="1:7">
      <c r="A2" s="83" t="s">
        <v>1206</v>
      </c>
      <c r="B2" s="84"/>
      <c r="C2" s="84"/>
      <c r="D2" s="84"/>
      <c r="E2" s="84"/>
      <c r="F2" s="84"/>
      <c r="G2" s="84"/>
    </row>
    <row r="3" ht="21" customHeight="1" spans="1:4">
      <c r="A3" s="100" t="s">
        <v>553</v>
      </c>
      <c r="B3" s="101"/>
      <c r="C3" s="45"/>
      <c r="D3" s="45"/>
    </row>
    <row r="4" ht="19" customHeight="1" spans="1:2">
      <c r="A4" s="295" t="s">
        <v>1207</v>
      </c>
      <c r="B4" s="295" t="s">
        <v>1208</v>
      </c>
    </row>
    <row r="5" ht="19" customHeight="1" spans="1:2">
      <c r="A5" s="86">
        <v>6</v>
      </c>
      <c r="B5" s="86">
        <v>20</v>
      </c>
    </row>
    <row r="6" ht="19" customHeight="1" spans="1:2">
      <c r="A6" s="86">
        <v>7</v>
      </c>
      <c r="B6" s="86">
        <v>26</v>
      </c>
    </row>
    <row r="7" ht="14.25" spans="1:2">
      <c r="A7" s="86">
        <v>8</v>
      </c>
      <c r="B7" s="86">
        <v>32</v>
      </c>
    </row>
    <row r="8" ht="14.25" spans="1:2">
      <c r="A8" s="86">
        <v>14</v>
      </c>
      <c r="B8" s="86">
        <v>38</v>
      </c>
    </row>
    <row r="9" ht="14.25" spans="1:2">
      <c r="A9" s="86">
        <v>20</v>
      </c>
      <c r="B9" s="86">
        <v>45</v>
      </c>
    </row>
    <row r="10" ht="14.25" spans="1:2">
      <c r="A10" s="127"/>
      <c r="B10" s="127"/>
    </row>
    <row r="11" ht="14.25" spans="1:2">
      <c r="A11" s="295" t="s">
        <v>560</v>
      </c>
      <c r="B11" s="295" t="s">
        <v>622</v>
      </c>
    </row>
    <row r="12" ht="29" customHeight="1" spans="1:2">
      <c r="A12" s="86">
        <f>FORECAST(30,A5:A9,B5:B9)</f>
        <v>9.747920997921</v>
      </c>
      <c r="B12" s="86" t="s">
        <v>1209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2.875" customWidth="1"/>
    <col min="3" max="3" width="17.25" customWidth="1"/>
    <col min="4" max="4" width="34.75" customWidth="1"/>
    <col min="5" max="5" width="32.375" customWidth="1"/>
    <col min="6" max="6" width="36.25" customWidth="1"/>
    <col min="7" max="7" width="24.5" customWidth="1"/>
  </cols>
  <sheetData>
    <row r="1" ht="26" customHeight="1" spans="1:7">
      <c r="A1" s="2" t="s">
        <v>1210</v>
      </c>
      <c r="B1" s="2"/>
      <c r="C1" s="2"/>
      <c r="D1" s="2"/>
      <c r="E1" s="2"/>
      <c r="F1" s="2"/>
      <c r="G1" s="2"/>
    </row>
    <row r="2" ht="142" customHeight="1" spans="1:7">
      <c r="A2" s="83" t="s">
        <v>1211</v>
      </c>
      <c r="B2" s="84"/>
      <c r="C2" s="84"/>
      <c r="D2" s="84"/>
      <c r="E2" s="84"/>
      <c r="F2" s="84"/>
      <c r="G2" s="84"/>
    </row>
    <row r="3" ht="21" customHeight="1" spans="1:4">
      <c r="A3" s="100" t="s">
        <v>553</v>
      </c>
      <c r="B3" s="101"/>
      <c r="C3" s="45"/>
      <c r="D3" s="45"/>
    </row>
    <row r="4" ht="19" customHeight="1" spans="1:2">
      <c r="A4" s="294" t="s">
        <v>1212</v>
      </c>
      <c r="B4" s="295" t="s">
        <v>880</v>
      </c>
    </row>
    <row r="5" ht="19" customHeight="1" spans="1:2">
      <c r="A5" s="296">
        <v>5</v>
      </c>
      <c r="B5" s="296">
        <v>8</v>
      </c>
    </row>
    <row r="6" ht="19" customHeight="1" spans="1:2">
      <c r="A6" s="296">
        <v>12</v>
      </c>
      <c r="B6" s="296">
        <v>67</v>
      </c>
    </row>
    <row r="7" ht="14.25" spans="1:2">
      <c r="A7" s="296">
        <v>4</v>
      </c>
      <c r="B7" s="296">
        <v>23</v>
      </c>
    </row>
    <row r="8" ht="14.25" spans="1:2">
      <c r="A8" s="294" t="s">
        <v>621</v>
      </c>
      <c r="B8" s="294" t="s">
        <v>622</v>
      </c>
    </row>
    <row r="9" ht="28.5" spans="1:2">
      <c r="A9" s="86">
        <f>COVAR(A5:A7,B5:B7)</f>
        <v>83.3333333333333</v>
      </c>
      <c r="B9" s="86" t="s">
        <v>1213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D8" sqref="D8"/>
    </sheetView>
  </sheetViews>
  <sheetFormatPr defaultColWidth="9" defaultRowHeight="13.5" outlineLevelRow="7" outlineLevelCol="6"/>
  <cols>
    <col min="1" max="1" width="17.625" customWidth="1"/>
    <col min="2" max="2" width="32.875" customWidth="1"/>
    <col min="3" max="3" width="17.25" customWidth="1"/>
    <col min="4" max="4" width="34.75" customWidth="1"/>
    <col min="5" max="5" width="32.375" customWidth="1"/>
    <col min="6" max="6" width="36.25" customWidth="1"/>
    <col min="7" max="7" width="24.5" customWidth="1"/>
  </cols>
  <sheetData>
    <row r="1" ht="26" customHeight="1" spans="1:7">
      <c r="A1" s="2" t="s">
        <v>1214</v>
      </c>
      <c r="B1" s="2"/>
      <c r="C1" s="2"/>
      <c r="D1" s="2"/>
      <c r="E1" s="2"/>
      <c r="F1" s="2"/>
      <c r="G1" s="2"/>
    </row>
    <row r="2" ht="148" customHeight="1" spans="1:7">
      <c r="A2" s="83" t="s">
        <v>1215</v>
      </c>
      <c r="B2" s="84"/>
      <c r="C2" s="84"/>
      <c r="D2" s="84"/>
      <c r="E2" s="84"/>
      <c r="F2" s="84"/>
      <c r="G2" s="84"/>
    </row>
    <row r="3" ht="21" customHeight="1" spans="1:4">
      <c r="A3" s="100" t="s">
        <v>553</v>
      </c>
      <c r="B3" s="101" t="s">
        <v>1216</v>
      </c>
      <c r="C3" s="45"/>
      <c r="D3" s="45"/>
    </row>
    <row r="4" ht="19" customHeight="1" spans="1:2">
      <c r="A4" s="288" t="s">
        <v>609</v>
      </c>
      <c r="B4" s="289"/>
    </row>
    <row r="5" ht="19" customHeight="1" spans="1:2">
      <c r="A5" s="86" t="s">
        <v>1217</v>
      </c>
      <c r="B5" s="86" t="s">
        <v>1218</v>
      </c>
    </row>
    <row r="6" ht="19" customHeight="1" spans="1:2">
      <c r="A6" s="86" t="s">
        <v>1219</v>
      </c>
      <c r="B6" s="86" t="s">
        <v>1220</v>
      </c>
    </row>
    <row r="7" ht="14.25" spans="1:2">
      <c r="A7" s="290" t="s">
        <v>1221</v>
      </c>
      <c r="B7" s="291"/>
    </row>
    <row r="8" ht="14.25" spans="1:2">
      <c r="A8" s="292" t="str">
        <f ca="1">PHONETIC(A5:B6)</f>
        <v>我们住在北京的金山上</v>
      </c>
      <c r="B8" s="293"/>
    </row>
  </sheetData>
  <mergeCells count="6">
    <mergeCell ref="A1:G1"/>
    <mergeCell ref="A2:G2"/>
    <mergeCell ref="B3:D3"/>
    <mergeCell ref="A4:B4"/>
    <mergeCell ref="A7:B7"/>
    <mergeCell ref="A8:B8"/>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36.625" customWidth="1"/>
    <col min="3" max="3" width="17.25" customWidth="1"/>
    <col min="4" max="4" width="34.75" customWidth="1"/>
    <col min="5" max="5" width="32.375" customWidth="1"/>
    <col min="6" max="6" width="36.25" customWidth="1"/>
    <col min="7" max="7" width="24.5" customWidth="1"/>
  </cols>
  <sheetData>
    <row r="1" ht="26" customHeight="1" spans="1:7">
      <c r="A1" s="2" t="s">
        <v>1222</v>
      </c>
      <c r="B1" s="2"/>
      <c r="C1" s="2"/>
      <c r="D1" s="2"/>
      <c r="E1" s="2"/>
      <c r="F1" s="2"/>
      <c r="G1" s="2"/>
    </row>
    <row r="2" ht="101" customHeight="1" spans="1:7">
      <c r="A2" s="83" t="s">
        <v>1223</v>
      </c>
      <c r="B2" s="84"/>
      <c r="C2" s="84"/>
      <c r="D2" s="84"/>
      <c r="E2" s="84"/>
      <c r="F2" s="84"/>
      <c r="G2" s="84"/>
    </row>
    <row r="3" ht="21" customHeight="1" spans="1:4">
      <c r="A3" s="100" t="s">
        <v>553</v>
      </c>
      <c r="B3" s="101"/>
      <c r="C3" s="45"/>
      <c r="D3" s="45"/>
    </row>
    <row r="4" ht="20" customHeight="1" spans="1:3">
      <c r="A4" s="106" t="s">
        <v>590</v>
      </c>
      <c r="B4" s="106" t="s">
        <v>558</v>
      </c>
      <c r="C4" s="106" t="s">
        <v>560</v>
      </c>
    </row>
    <row r="5" ht="19" customHeight="1" spans="1:3">
      <c r="A5" s="164">
        <f>FISHER(0.68)</f>
        <v>0.829114038301766</v>
      </c>
      <c r="B5" s="164" t="s">
        <v>1224</v>
      </c>
      <c r="C5" s="164" t="str">
        <f>_xlfn.FORMULATEXT(A5)</f>
        <v>=FISHER(0.68)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36.625" customWidth="1"/>
    <col min="3" max="3" width="17.25" customWidth="1"/>
    <col min="4" max="4" width="34.75" customWidth="1"/>
    <col min="5" max="5" width="32.375" customWidth="1"/>
    <col min="6" max="6" width="36.25" customWidth="1"/>
    <col min="7" max="7" width="24.5" customWidth="1"/>
  </cols>
  <sheetData>
    <row r="1" ht="26" customHeight="1" spans="1:7">
      <c r="A1" s="2" t="s">
        <v>1225</v>
      </c>
      <c r="B1" s="2"/>
      <c r="C1" s="2"/>
      <c r="D1" s="2"/>
      <c r="E1" s="2"/>
      <c r="F1" s="2"/>
      <c r="G1" s="2"/>
    </row>
    <row r="2" ht="284" customHeight="1" spans="1:7">
      <c r="A2" s="83" t="s">
        <v>1226</v>
      </c>
      <c r="B2" s="84"/>
      <c r="C2" s="84"/>
      <c r="D2" s="84"/>
      <c r="E2" s="84"/>
      <c r="F2" s="84"/>
      <c r="G2" s="84"/>
    </row>
    <row r="3" ht="21" customHeight="1" spans="1:4">
      <c r="A3" s="100" t="s">
        <v>553</v>
      </c>
      <c r="B3" s="101"/>
      <c r="C3" s="45"/>
      <c r="D3" s="45"/>
    </row>
    <row r="4" ht="20" customHeight="1" spans="1:3">
      <c r="A4" s="106"/>
      <c r="B4" s="106"/>
      <c r="C4" s="106"/>
    </row>
    <row r="5" ht="19" customHeight="1" spans="1:3">
      <c r="A5" s="164"/>
      <c r="B5" s="164"/>
      <c r="C5"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
  <sheetViews>
    <sheetView showGridLines="0" workbookViewId="0">
      <pane ySplit="2" topLeftCell="A3" activePane="bottomLeft" state="frozen"/>
      <selection/>
      <selection pane="bottomLeft" activeCell="A1" sqref="A1:I1"/>
    </sheetView>
  </sheetViews>
  <sheetFormatPr defaultColWidth="9" defaultRowHeight="13.5"/>
  <cols>
    <col min="1" max="1" width="9" customWidth="1"/>
    <col min="2" max="3" width="17.25" customWidth="1"/>
    <col min="4" max="4" width="20.625" customWidth="1"/>
    <col min="5" max="6" width="18.375" customWidth="1"/>
    <col min="7" max="8" width="15" customWidth="1"/>
    <col min="9" max="9" width="15.875" customWidth="1"/>
  </cols>
  <sheetData>
    <row r="1" ht="26" customHeight="1" spans="1:9">
      <c r="A1" s="2" t="s">
        <v>1227</v>
      </c>
      <c r="B1" s="2"/>
      <c r="C1" s="2"/>
      <c r="D1" s="2"/>
      <c r="E1" s="2"/>
      <c r="F1" s="2"/>
      <c r="G1" s="2"/>
      <c r="H1" s="2"/>
      <c r="I1" s="2"/>
    </row>
    <row r="2" ht="131" customHeight="1" spans="1:9">
      <c r="A2" s="83" t="s">
        <v>1228</v>
      </c>
      <c r="B2" s="84"/>
      <c r="C2" s="84"/>
      <c r="D2" s="84"/>
      <c r="E2" s="84"/>
      <c r="F2" s="84"/>
      <c r="G2" s="84"/>
      <c r="H2" s="84"/>
      <c r="I2" s="84"/>
    </row>
    <row r="3" ht="21" customHeight="1" spans="1:4">
      <c r="A3" s="100" t="s">
        <v>553</v>
      </c>
      <c r="B3" s="101"/>
      <c r="C3" s="45"/>
      <c r="D3" s="45"/>
    </row>
    <row r="5" spans="13:13">
      <c r="M5" s="280"/>
    </row>
    <row r="23" customFormat="1" ht="16.5" spans="2:4">
      <c r="B23" s="273" t="str">
        <f>HYPERLINK("c:/","打开C盘")</f>
        <v>打开C盘</v>
      </c>
      <c r="D23" s="274" t="s">
        <v>1229</v>
      </c>
    </row>
    <row r="24" customFormat="1" spans="2:4">
      <c r="B24" s="273" t="str">
        <f>HYPERLINK("D:/下载/","打开D盘下载文件夹")</f>
        <v>打开D盘下载文件夹</v>
      </c>
      <c r="D24" s="275" t="s">
        <v>1230</v>
      </c>
    </row>
    <row r="30" customFormat="1" spans="2:8">
      <c r="B30" s="273" t="str">
        <f>HYPERLINK("D:\下载\照片 018.jpg","打开D盘下载文件夹中照片 018")</f>
        <v>打开D盘下载文件夹中照片 018</v>
      </c>
      <c r="G30" s="275" t="s">
        <v>1231</v>
      </c>
      <c r="H30" s="275"/>
    </row>
    <row r="36" customFormat="1" spans="2:4">
      <c r="B36" s="273" t="str">
        <f>HYPERLINK("#K3","跳转单元格")</f>
        <v>跳转单元格</v>
      </c>
      <c r="D36" s="275" t="s">
        <v>1232</v>
      </c>
    </row>
    <row r="42" customFormat="1" spans="2:2">
      <c r="B42" t="s">
        <v>1233</v>
      </c>
    </row>
    <row r="44" customFormat="1" spans="2:2">
      <c r="B44" s="273" t="str">
        <f>HYPERLINK("#案例1!A1","跳转其他工作簿")</f>
        <v>跳转其他工作簿</v>
      </c>
    </row>
    <row r="50" ht="56" customHeight="1" spans="2:10">
      <c r="B50" s="276" t="s">
        <v>1234</v>
      </c>
      <c r="C50" s="276"/>
      <c r="D50" s="276"/>
      <c r="E50" s="276"/>
      <c r="F50" s="276"/>
      <c r="G50" s="276"/>
      <c r="H50" s="276"/>
      <c r="I50" s="276"/>
      <c r="J50" s="276"/>
    </row>
    <row r="52" customFormat="1" ht="16.5" spans="2:2">
      <c r="B52" s="277" t="str">
        <f>HYPERLINK("[F:\学习资料\公众号素材.xlsx]sheet2!F1","跳至公众号素材sheet2的F1")</f>
        <v>跳至公众号素材sheet2的F1</v>
      </c>
    </row>
    <row r="58" customFormat="1" spans="2:4">
      <c r="B58" s="273" t="str">
        <f>HYPERLINK("http://www.baidu.com","链接到百度")</f>
        <v>链接到百度</v>
      </c>
      <c r="D58" t="s">
        <v>1235</v>
      </c>
    </row>
    <row r="64" customFormat="1" spans="2:6">
      <c r="B64" s="278" t="s">
        <v>1236</v>
      </c>
      <c r="C64" s="278" t="s">
        <v>1237</v>
      </c>
      <c r="D64" s="278" t="s">
        <v>1238</v>
      </c>
      <c r="E64" s="278" t="s">
        <v>1239</v>
      </c>
      <c r="F64" s="279"/>
    </row>
    <row r="65" customFormat="1" ht="16.5" spans="2:6">
      <c r="B65" s="281" t="s">
        <v>1240</v>
      </c>
      <c r="C65" s="282" t="s">
        <v>1241</v>
      </c>
      <c r="D65" s="283" t="s">
        <v>1242</v>
      </c>
      <c r="E65" s="284" t="str">
        <f>HYPERLINK("#"&amp;B65&amp;"!A1","点这里查看“"&amp;C65&amp;"”")</f>
        <v>点这里查看“从身份证计算出岁数、生日、性别”</v>
      </c>
      <c r="F65" s="285"/>
    </row>
    <row r="66" customFormat="1" ht="16.5" spans="2:6">
      <c r="B66" s="281" t="s">
        <v>1243</v>
      </c>
      <c r="C66" s="282" t="s">
        <v>1244</v>
      </c>
      <c r="D66" s="283" t="s">
        <v>1245</v>
      </c>
      <c r="E66" s="284" t="str">
        <f>HYPERLINK("#"&amp;B66&amp;"!A1","点这里查看“"&amp;C66&amp;"”")</f>
        <v>点这里查看“提取QQ号码”</v>
      </c>
      <c r="F66" s="285"/>
    </row>
    <row r="72" ht="97" customHeight="1" spans="2:10">
      <c r="B72" s="276" t="s">
        <v>1246</v>
      </c>
      <c r="C72" s="35"/>
      <c r="D72" s="35"/>
      <c r="E72" s="35"/>
      <c r="F72" s="35"/>
      <c r="G72" s="35"/>
      <c r="H72" s="35"/>
      <c r="I72" s="35"/>
      <c r="J72" s="35"/>
    </row>
    <row r="76" spans="12:12">
      <c r="L76" s="35"/>
    </row>
    <row r="77" ht="45" customHeight="1" spans="2:10">
      <c r="B77" s="276" t="s">
        <v>1247</v>
      </c>
      <c r="C77" s="35"/>
      <c r="D77" s="35"/>
      <c r="E77" s="35"/>
      <c r="F77" s="35"/>
      <c r="G77" s="35"/>
      <c r="H77" s="35"/>
      <c r="I77" s="35"/>
      <c r="J77" s="35"/>
    </row>
    <row r="80" ht="72" customHeight="1" spans="2:10">
      <c r="B80" s="286" t="s">
        <v>1248</v>
      </c>
      <c r="C80" s="287"/>
      <c r="D80" s="287"/>
      <c r="E80" s="287"/>
      <c r="F80" s="287"/>
      <c r="G80" s="287"/>
      <c r="H80" s="287"/>
      <c r="I80" s="287"/>
      <c r="J80" s="287"/>
    </row>
  </sheetData>
  <mergeCells count="7">
    <mergeCell ref="A1:I1"/>
    <mergeCell ref="A2:I2"/>
    <mergeCell ref="B3:D3"/>
    <mergeCell ref="B50:J50"/>
    <mergeCell ref="B72:J72"/>
    <mergeCell ref="B77:J77"/>
    <mergeCell ref="B80:J80"/>
  </mergeCells>
  <dataValidations count="1">
    <dataValidation type="list" allowBlank="1" showInputMessage="1" showErrorMessage="1" sqref="B2 C2">
      <formula1>函数!$C$1:$C$9</formula1>
    </dataValidation>
  </dataValidations>
  <hyperlinks>
    <hyperlink ref="C65" location="案例1!A1" display="从身份证计算出岁数、生日、性别"/>
    <hyperlink ref="C66" location="案例2!A1" display="提取QQ号码"/>
  </hyperlinks>
  <pageMargins left="0.75" right="0.75" top="1" bottom="1" header="0.511805555555556" footer="0.511805555555556"/>
  <headerFooter/>
  <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17.25" customWidth="1"/>
    <col min="3" max="3" width="21" customWidth="1"/>
    <col min="4" max="4" width="34.75" customWidth="1"/>
    <col min="5" max="5" width="32.375" customWidth="1"/>
    <col min="6" max="6" width="36.25" customWidth="1"/>
    <col min="7" max="7" width="24.5" customWidth="1"/>
  </cols>
  <sheetData>
    <row r="1" ht="26" customHeight="1" spans="1:7">
      <c r="A1" s="2" t="s">
        <v>1249</v>
      </c>
      <c r="B1" s="2"/>
      <c r="C1" s="2"/>
      <c r="D1" s="2"/>
      <c r="E1" s="2"/>
      <c r="F1" s="2"/>
      <c r="G1" s="2"/>
    </row>
    <row r="2" ht="90" customHeight="1" spans="1:7">
      <c r="A2" s="83" t="s">
        <v>1250</v>
      </c>
      <c r="B2" s="84"/>
      <c r="C2" s="84"/>
      <c r="D2" s="84"/>
      <c r="E2" s="84"/>
      <c r="F2" s="84"/>
      <c r="G2" s="84"/>
    </row>
    <row r="3" ht="21" customHeight="1" spans="1:4">
      <c r="A3" s="100" t="s">
        <v>553</v>
      </c>
      <c r="B3" s="101" t="s">
        <v>1251</v>
      </c>
      <c r="C3" s="45"/>
      <c r="D3" s="45"/>
    </row>
    <row r="4" ht="20" customHeight="1" spans="1:4">
      <c r="A4" s="106" t="s">
        <v>594</v>
      </c>
      <c r="B4" s="106" t="s">
        <v>1252</v>
      </c>
      <c r="C4" s="106" t="s">
        <v>1253</v>
      </c>
      <c r="D4" s="106" t="s">
        <v>560</v>
      </c>
    </row>
    <row r="5" ht="19" customHeight="1" spans="1:4">
      <c r="A5" s="269" t="s">
        <v>1254</v>
      </c>
      <c r="B5" s="368" t="s">
        <v>1255</v>
      </c>
      <c r="C5" s="164" t="str">
        <f>IF(ISODD(MID(B5,17,1)),"男","女")</f>
        <v>男</v>
      </c>
      <c r="D5" s="127" t="str">
        <f>_xlfn.FORMULATEXT(C5)</f>
        <v>=IF(ISODD(MID(B5,17,1)),"男","女")</v>
      </c>
    </row>
    <row r="6" ht="19" customHeight="1" spans="1:4">
      <c r="A6" s="269" t="s">
        <v>1256</v>
      </c>
      <c r="B6" s="368" t="s">
        <v>1257</v>
      </c>
      <c r="C6" s="164" t="str">
        <f>IF(ISODD(MID(B6,17,1)),"男","女")</f>
        <v>女</v>
      </c>
      <c r="D6" s="127"/>
    </row>
    <row r="7" ht="19" customHeight="1" spans="1:4">
      <c r="A7" s="270" t="s">
        <v>1258</v>
      </c>
      <c r="B7" s="271"/>
      <c r="C7" s="271"/>
      <c r="D7" s="272"/>
    </row>
  </sheetData>
  <mergeCells count="4">
    <mergeCell ref="A1:G1"/>
    <mergeCell ref="A2:G2"/>
    <mergeCell ref="B3:D3"/>
    <mergeCell ref="A7:D7"/>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17.25" customWidth="1"/>
    <col min="3" max="3" width="21" customWidth="1"/>
    <col min="4" max="4" width="34.75" customWidth="1"/>
    <col min="5" max="5" width="32.375" customWidth="1"/>
    <col min="6" max="6" width="36.25" customWidth="1"/>
    <col min="7" max="7" width="24.5" customWidth="1"/>
  </cols>
  <sheetData>
    <row r="1" ht="26" customHeight="1" spans="1:7">
      <c r="A1" s="2" t="s">
        <v>1259</v>
      </c>
      <c r="B1" s="2"/>
      <c r="C1" s="2"/>
      <c r="D1" s="2"/>
      <c r="E1" s="2"/>
      <c r="F1" s="2"/>
      <c r="G1" s="2"/>
    </row>
    <row r="2" ht="103" customHeight="1" spans="1:7">
      <c r="A2" s="83" t="s">
        <v>1260</v>
      </c>
      <c r="B2" s="84"/>
      <c r="C2" s="84"/>
      <c r="D2" s="84"/>
      <c r="E2" s="84"/>
      <c r="F2" s="84"/>
      <c r="G2" s="84"/>
    </row>
    <row r="3" ht="21" customHeight="1" spans="1:4">
      <c r="A3" s="100" t="s">
        <v>553</v>
      </c>
      <c r="B3" s="101"/>
      <c r="C3" s="45"/>
      <c r="D3" s="45"/>
    </row>
    <row r="4" ht="20" customHeight="1" spans="1:4">
      <c r="A4" s="267" t="s">
        <v>1261</v>
      </c>
      <c r="B4" s="267" t="s">
        <v>1262</v>
      </c>
      <c r="C4" s="69"/>
      <c r="D4" s="69"/>
    </row>
    <row r="5" ht="19" customHeight="1" spans="1:4">
      <c r="A5" s="86">
        <v>5</v>
      </c>
      <c r="B5" s="86">
        <v>9</v>
      </c>
      <c r="C5" s="69"/>
      <c r="D5" s="69"/>
    </row>
    <row r="6" ht="19" customHeight="1" spans="1:4">
      <c r="A6" s="86">
        <v>6</v>
      </c>
      <c r="B6" s="86">
        <v>0</v>
      </c>
      <c r="C6" s="69"/>
      <c r="D6" s="69"/>
    </row>
    <row r="7" ht="14.25" spans="1:4">
      <c r="A7" s="86">
        <v>1</v>
      </c>
      <c r="B7" s="268">
        <v>2</v>
      </c>
      <c r="C7" s="69"/>
      <c r="D7" s="69"/>
    </row>
    <row r="8" ht="14.25" spans="1:4">
      <c r="A8" s="267" t="s">
        <v>621</v>
      </c>
      <c r="B8" s="267" t="s">
        <v>622</v>
      </c>
      <c r="C8" s="267"/>
      <c r="D8" s="144" t="s">
        <v>560</v>
      </c>
    </row>
    <row r="9" ht="14.25" spans="1:4">
      <c r="A9" s="86">
        <f>SUMX2MY2({5,6,1},{9,0,2})</f>
        <v>-23</v>
      </c>
      <c r="B9" s="86" t="s">
        <v>1263</v>
      </c>
      <c r="C9" s="86"/>
      <c r="D9" s="127" t="str">
        <f>_xlfn.FORMULATEXT(A9)</f>
        <v>=SUMX2MY2({5,6,1},{9,0,2})</v>
      </c>
    </row>
    <row r="10" ht="14.25" spans="1:4">
      <c r="A10" s="86">
        <f>SUMX2MY2(A5:A7,B5:B7)</f>
        <v>-23</v>
      </c>
      <c r="B10" s="86" t="s">
        <v>1264</v>
      </c>
      <c r="C10" s="86"/>
      <c r="D10" s="127" t="str">
        <f>_xlfn.FORMULATEXT(A10)</f>
        <v>=SUMX2MY2(A5:A7,B5:B7)</v>
      </c>
    </row>
  </sheetData>
  <mergeCells count="6">
    <mergeCell ref="A1:G1"/>
    <mergeCell ref="A2:G2"/>
    <mergeCell ref="B3:D3"/>
    <mergeCell ref="B8:C8"/>
    <mergeCell ref="B9:C9"/>
    <mergeCell ref="B10:C10"/>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17.25" customWidth="1"/>
    <col min="3" max="3" width="21" customWidth="1"/>
    <col min="4" max="4" width="34.75" customWidth="1"/>
    <col min="5" max="5" width="32.375" customWidth="1"/>
    <col min="6" max="6" width="36.25" customWidth="1"/>
    <col min="7" max="7" width="24.5" customWidth="1"/>
  </cols>
  <sheetData>
    <row r="1" ht="26" customHeight="1" spans="1:7">
      <c r="A1" s="2" t="s">
        <v>1265</v>
      </c>
      <c r="B1" s="2"/>
      <c r="C1" s="2"/>
      <c r="D1" s="2"/>
      <c r="E1" s="2"/>
      <c r="F1" s="2"/>
      <c r="G1" s="2"/>
    </row>
    <row r="2" ht="103" customHeight="1" spans="1:7">
      <c r="A2" s="83" t="s">
        <v>1266</v>
      </c>
      <c r="B2" s="84"/>
      <c r="C2" s="84"/>
      <c r="D2" s="84"/>
      <c r="E2" s="84"/>
      <c r="F2" s="84"/>
      <c r="G2" s="84"/>
    </row>
    <row r="3" ht="21" customHeight="1" spans="1:4">
      <c r="A3" s="100" t="s">
        <v>553</v>
      </c>
      <c r="B3" s="101"/>
      <c r="C3" s="45"/>
      <c r="D3" s="45"/>
    </row>
    <row r="4" ht="20" customHeight="1" spans="1:4">
      <c r="A4" s="267" t="s">
        <v>1261</v>
      </c>
      <c r="B4" s="267" t="s">
        <v>1262</v>
      </c>
      <c r="C4" s="69"/>
      <c r="D4" s="69"/>
    </row>
    <row r="5" ht="19" customHeight="1" spans="1:4">
      <c r="A5" s="86">
        <v>5</v>
      </c>
      <c r="B5" s="86">
        <v>9</v>
      </c>
      <c r="C5" s="69"/>
      <c r="D5" s="69"/>
    </row>
    <row r="6" ht="19" customHeight="1" spans="1:4">
      <c r="A6" s="86">
        <v>6</v>
      </c>
      <c r="B6" s="86">
        <v>0</v>
      </c>
      <c r="C6" s="69"/>
      <c r="D6" s="69"/>
    </row>
    <row r="7" ht="14.25" spans="1:4">
      <c r="A7" s="86">
        <v>1</v>
      </c>
      <c r="B7" s="268">
        <v>2</v>
      </c>
      <c r="C7" s="69"/>
      <c r="D7" s="69"/>
    </row>
    <row r="8" ht="14.25" spans="1:4">
      <c r="A8" s="267" t="s">
        <v>621</v>
      </c>
      <c r="B8" s="267" t="s">
        <v>622</v>
      </c>
      <c r="C8" s="267"/>
      <c r="D8" s="144" t="s">
        <v>560</v>
      </c>
    </row>
    <row r="9" ht="14.25" spans="1:4">
      <c r="A9" s="86">
        <f>SUMX2PY2({5,6,1},{9,0,2})</f>
        <v>147</v>
      </c>
      <c r="B9" s="86" t="s">
        <v>1267</v>
      </c>
      <c r="C9" s="86"/>
      <c r="D9" s="127" t="str">
        <f>_xlfn.FORMULATEXT(A9)</f>
        <v>=SUMX2PY2({5,6,1},{9,0,2})</v>
      </c>
    </row>
    <row r="10" ht="14.25" spans="1:4">
      <c r="A10" s="86">
        <f>SUMX2PY2(A5:A7,B5:B7)</f>
        <v>147</v>
      </c>
      <c r="B10" s="86" t="s">
        <v>1268</v>
      </c>
      <c r="C10" s="86"/>
      <c r="D10" s="127" t="str">
        <f>_xlfn.FORMULATEXT(A10)</f>
        <v>=SUMX2PY2(A5:A7,B5:B7)</v>
      </c>
    </row>
  </sheetData>
  <mergeCells count="6">
    <mergeCell ref="A1:G1"/>
    <mergeCell ref="A2:G2"/>
    <mergeCell ref="B3:D3"/>
    <mergeCell ref="B8:C8"/>
    <mergeCell ref="B9:C9"/>
    <mergeCell ref="B10:C10"/>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17.25" customWidth="1"/>
    <col min="3" max="3" width="21" customWidth="1"/>
    <col min="4" max="4" width="34.75" customWidth="1"/>
    <col min="5" max="5" width="32.375" customWidth="1"/>
    <col min="6" max="6" width="36.25" customWidth="1"/>
    <col min="7" max="7" width="24.5" customWidth="1"/>
  </cols>
  <sheetData>
    <row r="1" ht="26" customHeight="1" spans="1:7">
      <c r="A1" s="2" t="s">
        <v>1269</v>
      </c>
      <c r="B1" s="2"/>
      <c r="C1" s="2"/>
      <c r="D1" s="2"/>
      <c r="E1" s="2"/>
      <c r="F1" s="2"/>
      <c r="G1" s="2"/>
    </row>
    <row r="2" ht="114" customHeight="1" spans="1:7">
      <c r="A2" s="83" t="s">
        <v>1270</v>
      </c>
      <c r="B2" s="84"/>
      <c r="C2" s="84"/>
      <c r="D2" s="84"/>
      <c r="E2" s="84"/>
      <c r="F2" s="84"/>
      <c r="G2" s="84"/>
    </row>
    <row r="3" ht="21" customHeight="1" spans="1:4">
      <c r="A3" s="100" t="s">
        <v>553</v>
      </c>
      <c r="B3" s="101"/>
      <c r="C3" s="45"/>
      <c r="D3" s="45"/>
    </row>
    <row r="4" ht="20" customHeight="1" spans="1:4">
      <c r="A4" s="267" t="s">
        <v>1261</v>
      </c>
      <c r="B4" s="267" t="s">
        <v>1262</v>
      </c>
      <c r="C4" s="69"/>
      <c r="D4" s="69"/>
    </row>
    <row r="5" ht="19" customHeight="1" spans="1:4">
      <c r="A5" s="86">
        <v>5</v>
      </c>
      <c r="B5" s="86">
        <v>9</v>
      </c>
      <c r="C5" s="69"/>
      <c r="D5" s="69"/>
    </row>
    <row r="6" ht="19" customHeight="1" spans="1:4">
      <c r="A6" s="86">
        <v>6</v>
      </c>
      <c r="B6" s="86">
        <v>0</v>
      </c>
      <c r="C6" s="69"/>
      <c r="D6" s="69"/>
    </row>
    <row r="7" ht="14.25" spans="1:4">
      <c r="A7" s="86">
        <v>1</v>
      </c>
      <c r="B7" s="268">
        <v>2</v>
      </c>
      <c r="C7" s="69"/>
      <c r="D7" s="69"/>
    </row>
    <row r="8" ht="14.25" spans="1:4">
      <c r="A8" s="267" t="s">
        <v>621</v>
      </c>
      <c r="B8" s="267" t="s">
        <v>622</v>
      </c>
      <c r="C8" s="267"/>
      <c r="D8" s="144" t="s">
        <v>560</v>
      </c>
    </row>
    <row r="9" ht="14.25" spans="1:4">
      <c r="A9" s="86">
        <f>SUMXMY2({5,6,1},{9,0,2})</f>
        <v>53</v>
      </c>
      <c r="B9" s="86" t="s">
        <v>1271</v>
      </c>
      <c r="C9" s="86"/>
      <c r="D9" s="127" t="str">
        <f>_xlfn.FORMULATEXT(A9)</f>
        <v>=SUMXMY2({5,6,1},{9,0,2})</v>
      </c>
    </row>
    <row r="10" ht="14.25" spans="1:4">
      <c r="A10" s="86">
        <f>SUMXMY2(A5:A7,B5:B7)</f>
        <v>53</v>
      </c>
      <c r="B10" s="86" t="s">
        <v>1272</v>
      </c>
      <c r="C10" s="86"/>
      <c r="D10" s="127" t="str">
        <f>_xlfn.FORMULATEXT(A10)</f>
        <v>=SUMXMY2(A5:A7,B5:B7)</v>
      </c>
    </row>
  </sheetData>
  <mergeCells count="6">
    <mergeCell ref="A1:G1"/>
    <mergeCell ref="A2:G2"/>
    <mergeCell ref="B3:D3"/>
    <mergeCell ref="B8:C8"/>
    <mergeCell ref="B9:C9"/>
    <mergeCell ref="B10:C10"/>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3" sqref="A$1:G$1048576"/>
    </sheetView>
  </sheetViews>
  <sheetFormatPr defaultColWidth="9" defaultRowHeight="13.5" outlineLevelRow="5" outlineLevelCol="6"/>
  <cols>
    <col min="1" max="1" width="17.625" customWidth="1"/>
    <col min="2" max="2" width="42" customWidth="1"/>
    <col min="3" max="3" width="21" customWidth="1"/>
    <col min="4" max="4" width="34.75" customWidth="1"/>
    <col min="5" max="5" width="32.375" customWidth="1"/>
    <col min="6" max="6" width="36.25" customWidth="1"/>
    <col min="7" max="7" width="24.5" customWidth="1"/>
  </cols>
  <sheetData>
    <row r="1" ht="26" customHeight="1" spans="1:7">
      <c r="A1" s="2" t="s">
        <v>1273</v>
      </c>
      <c r="B1" s="2"/>
      <c r="C1" s="2"/>
      <c r="D1" s="2"/>
      <c r="E1" s="2"/>
      <c r="F1" s="2"/>
      <c r="G1" s="2"/>
    </row>
    <row r="2" ht="90" customHeight="1" spans="1:7">
      <c r="A2" s="83" t="s">
        <v>1274</v>
      </c>
      <c r="B2" s="84"/>
      <c r="C2" s="84"/>
      <c r="D2" s="84"/>
      <c r="E2" s="84"/>
      <c r="F2" s="84"/>
      <c r="G2" s="84"/>
    </row>
    <row r="3" ht="21" customHeight="1" spans="1:4">
      <c r="A3" s="100" t="s">
        <v>553</v>
      </c>
      <c r="B3" s="101" t="s">
        <v>1251</v>
      </c>
      <c r="C3" s="45"/>
      <c r="D3" s="45"/>
    </row>
    <row r="4" ht="20" customHeight="1" spans="1:3">
      <c r="A4" s="106" t="s">
        <v>590</v>
      </c>
      <c r="B4" s="106" t="s">
        <v>558</v>
      </c>
      <c r="C4" s="106" t="s">
        <v>560</v>
      </c>
    </row>
    <row r="5" ht="19" customHeight="1" spans="1:3">
      <c r="A5" s="266">
        <f>EXP(1)</f>
        <v>2.71828182845904</v>
      </c>
      <c r="B5" s="164" t="s">
        <v>1275</v>
      </c>
      <c r="C5" s="164" t="str">
        <f>_xlfn.FORMULATEXT(A5)</f>
        <v>=EXP(1)</v>
      </c>
    </row>
    <row r="6" ht="19" customHeight="1" spans="1:3">
      <c r="A6" s="266">
        <f>EXP(2)</f>
        <v>7.38905609893065</v>
      </c>
      <c r="B6" s="164" t="s">
        <v>1276</v>
      </c>
      <c r="C6" s="164" t="str">
        <f>_xlfn.FORMULATEXT(A6)</f>
        <v>=EXP(2)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1277</v>
      </c>
      <c r="B1" s="2"/>
      <c r="C1" s="2"/>
      <c r="D1" s="2"/>
      <c r="E1" s="2"/>
      <c r="F1" s="2"/>
      <c r="G1" s="2"/>
    </row>
    <row r="2" ht="57" customHeight="1" spans="1:7">
      <c r="A2" s="83" t="s">
        <v>1278</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266">
        <f>ACOSH(1)</f>
        <v>0</v>
      </c>
      <c r="B5" s="164" t="s">
        <v>1279</v>
      </c>
      <c r="C5" s="164" t="str">
        <f>_xlfn.FORMULATEXT(A5)</f>
        <v>=ACOSH(1)</v>
      </c>
      <c r="D5" s="127"/>
    </row>
    <row r="6" ht="28.5" spans="1:4">
      <c r="A6" s="266">
        <f>ACOSH(15)</f>
        <v>3.40008441411334</v>
      </c>
      <c r="B6" s="164" t="s">
        <v>1280</v>
      </c>
      <c r="C6" s="164" t="str">
        <f>_xlfn.FORMULATEXT(A6)</f>
        <v>=ACOSH(15)</v>
      </c>
      <c r="D6"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D21" sqref="D21"/>
    </sheetView>
  </sheetViews>
  <sheetFormatPr defaultColWidth="9" defaultRowHeight="13.5" outlineLevelRow="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1281</v>
      </c>
      <c r="B1" s="2"/>
      <c r="C1" s="2"/>
      <c r="D1" s="2"/>
      <c r="E1" s="2"/>
      <c r="F1" s="2"/>
      <c r="G1" s="2"/>
    </row>
    <row r="2" ht="73" customHeight="1" spans="1:7">
      <c r="A2" s="83" t="s">
        <v>1282</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266">
        <f>ACOS(-0.5)</f>
        <v>2.0943951023932</v>
      </c>
      <c r="B5" s="164" t="s">
        <v>1283</v>
      </c>
      <c r="C5" s="164" t="str">
        <f>_xlfn.FORMULATEXT(A5)</f>
        <v>=ACOS(-0.5)</v>
      </c>
      <c r="D5" s="127"/>
    </row>
    <row r="6" ht="28.5" spans="1:4">
      <c r="A6" s="266">
        <f>ACOS(-0.5)*180/PI()</f>
        <v>120</v>
      </c>
      <c r="B6" s="164" t="s">
        <v>1284</v>
      </c>
      <c r="C6" s="164" t="str">
        <f>_xlfn.FORMULATEXT(A6)</f>
        <v>=ACOS(-0.5)*180/PI()</v>
      </c>
      <c r="D6"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B20" sqref="B20"/>
    </sheetView>
  </sheetViews>
  <sheetFormatPr defaultColWidth="9" defaultRowHeight="13.5" outlineLevelRow="6"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1285</v>
      </c>
      <c r="B1" s="2"/>
      <c r="C1" s="2"/>
      <c r="D1" s="2"/>
      <c r="E1" s="2"/>
      <c r="F1" s="2"/>
      <c r="G1" s="2"/>
    </row>
    <row r="2" ht="72" customHeight="1" spans="1:7">
      <c r="A2" s="83" t="s">
        <v>1286</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ASIN(-0.5)</f>
        <v>-0.523598775598299</v>
      </c>
      <c r="B5" s="164" t="s">
        <v>1287</v>
      </c>
      <c r="C5" s="164" t="str">
        <f>_xlfn.FORMULATEXT(A5)</f>
        <v>=ASIN(-0.5)</v>
      </c>
      <c r="D5" s="164"/>
    </row>
    <row r="6" ht="14.25" spans="1:4">
      <c r="A6" s="164">
        <f>ASIN(-0.5)*180/PI()</f>
        <v>-30</v>
      </c>
      <c r="B6" s="164" t="s">
        <v>1288</v>
      </c>
      <c r="C6" s="164" t="str">
        <f>_xlfn.FORMULATEXT(A6)</f>
        <v>=ASIN(-0.5)*180/PI()</v>
      </c>
      <c r="D6" s="164"/>
    </row>
    <row r="7" ht="14.25" spans="1:4">
      <c r="A7" s="164">
        <f>DEGREES(ASIN(-0.5))</f>
        <v>-30</v>
      </c>
      <c r="B7" s="164" t="s">
        <v>1288</v>
      </c>
      <c r="C7" s="164" t="str">
        <f>_xlfn.FORMULATEXT(A7)</f>
        <v>=DEGREES(ASIN(-0.5))</v>
      </c>
      <c r="D7"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1289</v>
      </c>
      <c r="B1" s="2"/>
      <c r="C1" s="2"/>
      <c r="D1" s="2"/>
      <c r="E1" s="2"/>
      <c r="F1" s="2"/>
      <c r="G1" s="2"/>
    </row>
    <row r="2" ht="60" customHeight="1" spans="1:7">
      <c r="A2" s="83" t="s">
        <v>1290</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ASINH(3)</f>
        <v>1.81844645923207</v>
      </c>
      <c r="B5" s="164" t="s">
        <v>1291</v>
      </c>
      <c r="C5" s="164" t="str">
        <f>_xlfn.FORMULATEXT(A5)</f>
        <v>=ASINH(3)</v>
      </c>
      <c r="D5" s="164"/>
    </row>
    <row r="6" ht="28.5" spans="1:4">
      <c r="A6" s="164">
        <f>ASINH(-1.7)</f>
        <v>-1.30082042684065</v>
      </c>
      <c r="B6" s="164" t="s">
        <v>1292</v>
      </c>
      <c r="C6" s="164" t="str">
        <f>_xlfn.FORMULATEXT(A6)</f>
        <v>=ASINH(-1.7)</v>
      </c>
      <c r="D6"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B13" sqref="B13"/>
    </sheetView>
  </sheetViews>
  <sheetFormatPr defaultColWidth="9" defaultRowHeight="13.5" outlineLevelRow="6"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1293</v>
      </c>
      <c r="B1" s="2"/>
      <c r="C1" s="2"/>
      <c r="D1" s="2"/>
      <c r="E1" s="2"/>
      <c r="F1" s="2"/>
      <c r="G1" s="2"/>
    </row>
    <row r="2" ht="72" customHeight="1" spans="1:7">
      <c r="A2" s="83" t="s">
        <v>1294</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ATAN(1)</f>
        <v>0.785398163397448</v>
      </c>
      <c r="B5" s="164" t="s">
        <v>1295</v>
      </c>
      <c r="C5" s="164" t="str">
        <f>_xlfn.FORMULATEXT(A5)</f>
        <v>=ATAN(1)</v>
      </c>
      <c r="D5" s="164"/>
    </row>
    <row r="6" ht="14.25" spans="1:4">
      <c r="A6" s="164">
        <f>ATAN(1)*180/PI()</f>
        <v>45</v>
      </c>
      <c r="B6" s="164" t="s">
        <v>1296</v>
      </c>
      <c r="C6" s="164" t="str">
        <f>_xlfn.FORMULATEXT(A6)</f>
        <v>=ATAN(1)*180/PI()</v>
      </c>
      <c r="D6" s="164"/>
    </row>
    <row r="7" ht="14.25" spans="1:4">
      <c r="A7" s="164">
        <f>DEGREES(ATAN(1))</f>
        <v>45</v>
      </c>
      <c r="B7" s="164" t="s">
        <v>1296</v>
      </c>
      <c r="C7" s="164" t="str">
        <f>_xlfn.FORMULATEXT(A7)</f>
        <v>=DEGREES(ATAN(1))</v>
      </c>
      <c r="D7"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1297</v>
      </c>
      <c r="B1" s="2"/>
      <c r="C1" s="2"/>
      <c r="D1" s="2"/>
      <c r="E1" s="2"/>
      <c r="F1" s="2"/>
      <c r="G1" s="2"/>
    </row>
    <row r="2" ht="129" customHeight="1" spans="1:7">
      <c r="A2" s="83" t="s">
        <v>1298</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ATAN2(1,1)</f>
        <v>0.785398163397448</v>
      </c>
      <c r="B5" s="164" t="s">
        <v>1299</v>
      </c>
      <c r="C5" s="164" t="str">
        <f t="shared" ref="C5:C7" si="0">_xlfn.FORMULATEXT(A5)</f>
        <v>=ATAN2(1,1)</v>
      </c>
      <c r="D5" s="164"/>
    </row>
    <row r="6" ht="28.5" spans="1:4">
      <c r="A6" s="164">
        <f>ATAN2(-1,-1)</f>
        <v>-2.35619449019234</v>
      </c>
      <c r="B6" s="164" t="s">
        <v>1300</v>
      </c>
      <c r="C6" s="164" t="str">
        <f t="shared" si="0"/>
        <v>=ATAN2(-1,-1)</v>
      </c>
      <c r="D6" s="164"/>
    </row>
    <row r="7" ht="28.5" spans="1:4">
      <c r="A7" s="164">
        <f>ATAN2(-1,-1)*180/PI()</f>
        <v>-135</v>
      </c>
      <c r="B7" s="164" t="s">
        <v>1301</v>
      </c>
      <c r="C7" s="164" t="str">
        <f t="shared" si="0"/>
        <v>=ATAN2(-1,-1)*180/PI()</v>
      </c>
      <c r="D7"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1302</v>
      </c>
      <c r="B1" s="2"/>
      <c r="C1" s="2"/>
      <c r="D1" s="2"/>
      <c r="E1" s="2"/>
      <c r="F1" s="2"/>
      <c r="G1" s="2"/>
    </row>
    <row r="2" ht="58" customHeight="1" spans="1:7">
      <c r="A2" s="83" t="s">
        <v>1303</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ATAN2(1,1)</f>
        <v>0.785398163397448</v>
      </c>
      <c r="B5" s="164" t="s">
        <v>1299</v>
      </c>
      <c r="C5" s="164" t="str">
        <f t="shared" ref="C5:C7" si="0">_xlfn.FORMULATEXT(A5)</f>
        <v>=ATAN2(1,1)</v>
      </c>
      <c r="D5" s="164"/>
    </row>
    <row r="6" ht="28.5" spans="1:4">
      <c r="A6" s="164">
        <f>ATAN2(-1,-1)</f>
        <v>-2.35619449019234</v>
      </c>
      <c r="B6" s="164" t="s">
        <v>1300</v>
      </c>
      <c r="C6" s="164" t="str">
        <f t="shared" si="0"/>
        <v>=ATAN2(-1,-1)</v>
      </c>
      <c r="D6" s="164"/>
    </row>
    <row r="7" ht="28.5" spans="1:4">
      <c r="A7" s="164">
        <f>ATAN2(-1,-1)*180/PI()</f>
        <v>-135</v>
      </c>
      <c r="B7" s="164" t="s">
        <v>1301</v>
      </c>
      <c r="C7" s="164" t="str">
        <f t="shared" si="0"/>
        <v>=ATAN2(-1,-1)*180/PI()</v>
      </c>
      <c r="D7"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1304</v>
      </c>
      <c r="B1" s="2"/>
      <c r="C1" s="2"/>
      <c r="D1" s="2"/>
      <c r="E1" s="2"/>
      <c r="F1" s="2"/>
      <c r="G1" s="2"/>
    </row>
    <row r="2" ht="82" customHeight="1" spans="1:7">
      <c r="A2" s="83" t="s">
        <v>1305</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COSH(4)</f>
        <v>27.3082328360165</v>
      </c>
      <c r="B5" s="164" t="s">
        <v>1306</v>
      </c>
      <c r="C5" s="164" t="str">
        <f>_xlfn.FORMULATEXT(A5)</f>
        <v>=COSH(4)</v>
      </c>
      <c r="D5" s="164"/>
    </row>
    <row r="6" ht="28.5" spans="1:4">
      <c r="A6" s="164">
        <f>COSH(EXP(1))</f>
        <v>7.61012513866229</v>
      </c>
      <c r="B6" s="164" t="s">
        <v>1307</v>
      </c>
      <c r="C6" s="164" t="str">
        <f>_xlfn.FORMULATEXT(A6)</f>
        <v>=COSH(EXP(1))</v>
      </c>
      <c r="D6"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showGridLines="0"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1308</v>
      </c>
      <c r="B1" s="2"/>
      <c r="C1" s="2"/>
      <c r="D1" s="2"/>
      <c r="E1" s="2"/>
      <c r="F1" s="2"/>
      <c r="G1" s="2"/>
    </row>
    <row r="2" ht="82" customHeight="1" spans="1:7">
      <c r="A2" s="83" t="s">
        <v>1309</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164">
        <f>SINH(1)</f>
        <v>1.1752011936438</v>
      </c>
      <c r="B5" s="164" t="s">
        <v>1310</v>
      </c>
      <c r="C5" s="164" t="str">
        <f>_xlfn.FORMULATEXT(A5)</f>
        <v>=SINH(1)</v>
      </c>
      <c r="D5" s="164"/>
    </row>
    <row r="6" ht="14.25" spans="1:4">
      <c r="A6" s="164">
        <f>SINH(-1)</f>
        <v>-1.1752011936438</v>
      </c>
      <c r="B6" s="164" t="s">
        <v>1311</v>
      </c>
      <c r="C6" s="164" t="str">
        <f>_xlfn.FORMULATEXT(A6)</f>
        <v>=SINH(-1)</v>
      </c>
      <c r="D6"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1312</v>
      </c>
      <c r="B1" s="2"/>
      <c r="C1" s="2"/>
      <c r="D1" s="2"/>
      <c r="E1" s="2"/>
      <c r="F1" s="2"/>
      <c r="G1" s="2"/>
    </row>
    <row r="2" ht="61" customHeight="1" spans="1:7">
      <c r="A2" s="83" t="s">
        <v>1313</v>
      </c>
      <c r="B2" s="84"/>
      <c r="C2" s="84"/>
      <c r="D2" s="84"/>
      <c r="E2" s="84"/>
      <c r="F2" s="84"/>
      <c r="G2" s="84"/>
    </row>
    <row r="3" ht="21" customHeight="1" spans="1:4">
      <c r="A3" s="100" t="s">
        <v>553</v>
      </c>
      <c r="B3" s="101"/>
      <c r="C3" s="45"/>
      <c r="D3" s="45"/>
    </row>
    <row r="4" ht="20" customHeight="1" spans="1:4">
      <c r="A4" s="106"/>
      <c r="B4" s="106"/>
      <c r="C4" s="106"/>
      <c r="D4" s="106"/>
    </row>
    <row r="5" ht="14.25" spans="1:4">
      <c r="A5" s="164"/>
      <c r="B5" s="164"/>
      <c r="C5" s="164"/>
      <c r="D5" s="164"/>
    </row>
    <row r="6" ht="14.25" spans="1:4">
      <c r="A6" s="164"/>
      <c r="B6" s="164"/>
      <c r="C6" s="164"/>
      <c r="D6" s="164"/>
    </row>
    <row r="11" spans="1:1">
      <c r="A11" t="s">
        <v>1314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B22" sqref="B22"/>
    </sheetView>
  </sheetViews>
  <sheetFormatPr defaultColWidth="9" defaultRowHeight="13.5"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1315</v>
      </c>
      <c r="B1" s="2"/>
      <c r="C1" s="2"/>
      <c r="D1" s="2"/>
      <c r="E1" s="2"/>
      <c r="F1" s="2"/>
      <c r="G1" s="2"/>
    </row>
    <row r="2" ht="58" customHeight="1" spans="1:7">
      <c r="A2" s="83" t="s">
        <v>1316</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27" customHeight="1" spans="1:4">
      <c r="A5" s="164">
        <f>FACT(5)</f>
        <v>120</v>
      </c>
      <c r="B5" s="164" t="s">
        <v>1317</v>
      </c>
      <c r="C5" s="164" t="str">
        <f>_xlfn.FORMULATEXT(A5)</f>
        <v>=FACT(5)</v>
      </c>
      <c r="D5" s="164"/>
    </row>
    <row r="6" ht="14.25" spans="1:4">
      <c r="A6" s="164">
        <f>FACT(1.9)</f>
        <v>1</v>
      </c>
      <c r="B6" s="164" t="s">
        <v>1318</v>
      </c>
      <c r="C6" s="164" t="str">
        <f>_xlfn.FORMULATEXT(A6)</f>
        <v>=FACT(1.9)</v>
      </c>
      <c r="D6" s="164"/>
    </row>
    <row r="7" ht="14.25" spans="1:4">
      <c r="A7" s="164">
        <f>FACT(0)</f>
        <v>1</v>
      </c>
      <c r="B7" s="164" t="s">
        <v>1319</v>
      </c>
      <c r="C7" s="164" t="str">
        <f>_xlfn.FORMULATEXT(A7)</f>
        <v>=FACT(0)</v>
      </c>
      <c r="D7" s="164"/>
    </row>
    <row r="8" ht="14.25" spans="1:4">
      <c r="A8" s="164" t="e">
        <f>FACT(-1)</f>
        <v>#NUM!</v>
      </c>
      <c r="B8" s="164" t="s">
        <v>1320</v>
      </c>
      <c r="C8" s="164" t="str">
        <f>_xlfn.FORMULATEXT(A8)</f>
        <v>=FACT(-1)</v>
      </c>
      <c r="D8" s="164"/>
    </row>
    <row r="9" ht="14.25" spans="1:4">
      <c r="A9" s="164">
        <f>FACT(1)</f>
        <v>1</v>
      </c>
      <c r="B9" s="164" t="s">
        <v>1321</v>
      </c>
      <c r="C9" s="164" t="str">
        <f>_xlfn.FORMULATEXT(A9)</f>
        <v>=FACT(1)</v>
      </c>
      <c r="D9"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showGridLines="0" workbookViewId="0">
      <pane ySplit="2" topLeftCell="A3" activePane="bottomLeft" state="frozen"/>
      <selection/>
      <selection pane="bottomLeft" activeCell="E11" sqref="E11"/>
    </sheetView>
  </sheetViews>
  <sheetFormatPr defaultColWidth="9" defaultRowHeight="13.5" outlineLevelRow="4"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1322</v>
      </c>
      <c r="B1" s="2"/>
      <c r="C1" s="2"/>
      <c r="D1" s="2"/>
      <c r="E1" s="2"/>
      <c r="F1" s="2"/>
      <c r="G1" s="2"/>
    </row>
    <row r="2" ht="57" customHeight="1" spans="1:7">
      <c r="A2" s="83" t="s">
        <v>1323</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164">
        <f>DEGREES(PI())</f>
        <v>180</v>
      </c>
      <c r="B5" s="164" t="s">
        <v>1324</v>
      </c>
      <c r="C5" s="164" t="str">
        <f>_xlfn.FORMULATEXT(A5)</f>
        <v>=DEGREES(PI())</v>
      </c>
      <c r="D5" s="16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B12" sqref="B12"/>
    </sheetView>
  </sheetViews>
  <sheetFormatPr defaultColWidth="9" defaultRowHeight="13.5" outlineLevelRow="6" outlineLevelCol="6"/>
  <cols>
    <col min="1" max="1" width="17.625" customWidth="1"/>
    <col min="2" max="2" width="22.25" customWidth="1"/>
    <col min="3" max="3" width="17.25" customWidth="1"/>
    <col min="4" max="4" width="34.75" customWidth="1"/>
    <col min="5" max="5" width="32.375" customWidth="1"/>
    <col min="6" max="6" width="36.25" customWidth="1"/>
    <col min="7" max="7" width="24.5" customWidth="1"/>
  </cols>
  <sheetData>
    <row r="1" ht="26" customHeight="1" spans="1:7">
      <c r="A1" s="2" t="s">
        <v>1325</v>
      </c>
      <c r="B1" s="2"/>
      <c r="C1" s="2"/>
      <c r="D1" s="2"/>
      <c r="E1" s="2"/>
      <c r="F1" s="2"/>
      <c r="G1" s="2"/>
    </row>
    <row r="2" ht="73" customHeight="1" spans="1:7">
      <c r="A2" s="83" t="s">
        <v>1326</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127">
        <f>COS(1.047)</f>
        <v>0.50017107459707</v>
      </c>
      <c r="B5" s="127" t="s">
        <v>1327</v>
      </c>
      <c r="C5" s="127" t="str">
        <f>_xlfn.FORMULATEXT(A5)</f>
        <v>=COS(1.047)</v>
      </c>
      <c r="D5" s="127"/>
    </row>
    <row r="6" ht="14.25" spans="1:4">
      <c r="A6" s="127">
        <f>COS(60*PI()/180)</f>
        <v>0.5</v>
      </c>
      <c r="B6" s="127" t="s">
        <v>1328</v>
      </c>
      <c r="C6" s="127" t="str">
        <f>_xlfn.FORMULATEXT(A6)</f>
        <v>=COS(60*PI()/180)</v>
      </c>
      <c r="D6" s="127"/>
    </row>
    <row r="7" ht="14.25" spans="1:4">
      <c r="A7" s="127">
        <f>COS(RADIANS(60))</f>
        <v>0.5</v>
      </c>
      <c r="B7" s="127" t="s">
        <v>1328</v>
      </c>
      <c r="C7" s="127" t="str">
        <f>_xlfn.FORMULATEXT(A7)</f>
        <v>=COS(RADIANS(60))</v>
      </c>
      <c r="D7"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37.125" customWidth="1"/>
    <col min="3" max="3" width="17.25" customWidth="1"/>
    <col min="4" max="4" width="34.75" customWidth="1"/>
    <col min="5" max="5" width="32.375" customWidth="1"/>
    <col min="6" max="6" width="36.25" customWidth="1"/>
    <col min="7" max="7" width="24.5" customWidth="1"/>
  </cols>
  <sheetData>
    <row r="1" ht="26" customHeight="1" spans="1:7">
      <c r="A1" s="2" t="s">
        <v>1329</v>
      </c>
      <c r="B1" s="2"/>
      <c r="C1" s="2"/>
      <c r="D1" s="2"/>
      <c r="E1" s="2"/>
      <c r="F1" s="2"/>
      <c r="G1" s="2"/>
    </row>
    <row r="2" ht="57" customHeight="1" spans="1:7">
      <c r="A2" s="83" t="s">
        <v>1330</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127">
        <f>RADIANS(270)</f>
        <v>4.71238898038469</v>
      </c>
      <c r="B5" s="127" t="s">
        <v>1331</v>
      </c>
      <c r="C5" s="127" t="str">
        <f>_xlfn.FORMULATEXT(A5)</f>
        <v>=RADIANS(270)</v>
      </c>
      <c r="D5"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7.125" customWidth="1"/>
    <col min="3" max="3" width="17.25" customWidth="1"/>
    <col min="4" max="4" width="34.75" customWidth="1"/>
    <col min="5" max="5" width="32.375" customWidth="1"/>
    <col min="6" max="6" width="36.25" customWidth="1"/>
    <col min="7" max="7" width="24.5" customWidth="1"/>
  </cols>
  <sheetData>
    <row r="1" ht="26" customHeight="1" spans="1:7">
      <c r="A1" s="2" t="s">
        <v>1332</v>
      </c>
      <c r="B1" s="2"/>
      <c r="C1" s="2"/>
      <c r="D1" s="2"/>
      <c r="E1" s="2"/>
      <c r="F1" s="2"/>
      <c r="G1" s="2"/>
    </row>
    <row r="2" ht="189" customHeight="1" spans="1:7">
      <c r="A2" s="83" t="s">
        <v>1333</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4.25" spans="1:4">
      <c r="A5" s="259" t="s">
        <v>1334</v>
      </c>
      <c r="B5" s="260"/>
      <c r="C5" s="260"/>
      <c r="D5" s="261"/>
    </row>
    <row r="6" ht="14.25" spans="1:4">
      <c r="A6" s="262" t="s">
        <v>1335</v>
      </c>
      <c r="B6" s="263"/>
      <c r="C6" s="263"/>
      <c r="D6" s="264"/>
    </row>
    <row r="7" ht="14.25" spans="1:4">
      <c r="A7" s="265">
        <v>0.05</v>
      </c>
      <c r="B7" s="86" t="s">
        <v>1336</v>
      </c>
      <c r="C7" s="135"/>
      <c r="D7" s="135"/>
    </row>
    <row r="8" ht="14.25" spans="1:4">
      <c r="A8" s="86">
        <v>2.5</v>
      </c>
      <c r="B8" s="86" t="s">
        <v>1337</v>
      </c>
      <c r="C8" s="135"/>
      <c r="D8" s="135"/>
    </row>
    <row r="9" ht="14.25" spans="1:4">
      <c r="A9" s="86">
        <v>50</v>
      </c>
      <c r="B9" s="86" t="s">
        <v>1338</v>
      </c>
      <c r="C9" s="135"/>
      <c r="D9" s="135"/>
    </row>
    <row r="10" ht="14.25" spans="1:4">
      <c r="A10" s="86" t="s">
        <v>621</v>
      </c>
      <c r="B10" s="86" t="s">
        <v>622</v>
      </c>
      <c r="C10" s="135"/>
      <c r="D10" s="135"/>
    </row>
    <row r="11" ht="42.75" spans="1:4">
      <c r="A11" s="86">
        <f>CONFIDENCE(A7,A8,A9)</f>
        <v>0.692951912174839</v>
      </c>
      <c r="B11" s="86" t="s">
        <v>1339</v>
      </c>
      <c r="C11" s="135">
        <f>CONFIDENCE(0.05,2.5,50)</f>
        <v>0.692951912174839</v>
      </c>
      <c r="D11" s="135"/>
    </row>
  </sheetData>
  <mergeCells count="5">
    <mergeCell ref="A1:G1"/>
    <mergeCell ref="A2:G2"/>
    <mergeCell ref="B3:D3"/>
    <mergeCell ref="A5:D5"/>
    <mergeCell ref="A6:D6"/>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showGridLines="0" workbookViewId="0">
      <pane ySplit="2" topLeftCell="A6" activePane="bottomLeft" state="frozen"/>
      <selection/>
      <selection pane="bottomLeft" activeCell="A1" sqref="A1:G1"/>
    </sheetView>
  </sheetViews>
  <sheetFormatPr defaultColWidth="9" defaultRowHeight="13.5" outlineLevelRow="6" outlineLevelCol="6"/>
  <cols>
    <col min="1" max="1" width="17.625" customWidth="1"/>
    <col min="2" max="2" width="37.125" customWidth="1"/>
    <col min="3" max="3" width="17.25" customWidth="1"/>
    <col min="4" max="4" width="34.75" customWidth="1"/>
    <col min="5" max="5" width="32.375" customWidth="1"/>
    <col min="6" max="6" width="36.25" customWidth="1"/>
    <col min="7" max="7" width="24.5" customWidth="1"/>
  </cols>
  <sheetData>
    <row r="1" ht="26" customHeight="1" spans="1:7">
      <c r="A1" s="2" t="s">
        <v>1329</v>
      </c>
      <c r="B1" s="2"/>
      <c r="C1" s="2"/>
      <c r="D1" s="2"/>
      <c r="E1" s="2"/>
      <c r="F1" s="2"/>
      <c r="G1" s="2"/>
    </row>
    <row r="2" ht="85" customHeight="1" spans="1:7">
      <c r="A2" s="83" t="s">
        <v>1340</v>
      </c>
      <c r="B2" s="84"/>
      <c r="C2" s="84"/>
      <c r="D2" s="84"/>
      <c r="E2" s="84"/>
      <c r="F2" s="84"/>
      <c r="G2" s="84"/>
    </row>
    <row r="3" ht="21" customHeight="1" spans="1:4">
      <c r="A3" s="100" t="s">
        <v>553</v>
      </c>
      <c r="B3" s="101"/>
      <c r="C3" s="45"/>
      <c r="D3" s="45"/>
    </row>
    <row r="5" spans="1:1">
      <c r="A5" s="256"/>
    </row>
    <row r="6" spans="1:1">
      <c r="A6" s="256"/>
    </row>
    <row r="7" spans="1:1">
      <c r="A7" s="258" t="s">
        <v>558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pane ySplit="2" topLeftCell="A3" activePane="bottomLeft" state="frozen"/>
      <selection/>
      <selection pane="bottomLeft" activeCell="B8" sqref="B8"/>
    </sheetView>
  </sheetViews>
  <sheetFormatPr defaultColWidth="9" defaultRowHeight="13.5" outlineLevelRow="7" outlineLevelCol="6"/>
  <cols>
    <col min="1" max="1" width="17.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1341</v>
      </c>
      <c r="B1" s="2"/>
      <c r="C1" s="2"/>
      <c r="D1" s="2"/>
      <c r="E1" s="2"/>
      <c r="F1" s="2"/>
      <c r="G1" s="2"/>
    </row>
    <row r="2" ht="102" customHeight="1" spans="1:7">
      <c r="A2" s="83" t="s">
        <v>1342</v>
      </c>
      <c r="B2" s="84"/>
      <c r="C2" s="84"/>
      <c r="D2" s="84"/>
      <c r="E2" s="84"/>
      <c r="F2" s="84"/>
      <c r="G2" s="84"/>
    </row>
    <row r="3" ht="21" customHeight="1" spans="1:4">
      <c r="A3" s="100" t="s">
        <v>553</v>
      </c>
      <c r="B3" s="101"/>
      <c r="C3" s="45"/>
      <c r="D3" s="45"/>
    </row>
    <row r="4" ht="20" customHeight="1" spans="1:4">
      <c r="A4" s="106" t="s">
        <v>582</v>
      </c>
      <c r="B4" s="106" t="s">
        <v>558</v>
      </c>
      <c r="C4" s="106" t="s">
        <v>590</v>
      </c>
      <c r="D4" s="106" t="s">
        <v>560</v>
      </c>
    </row>
    <row r="5" ht="19" customHeight="1" spans="1:4">
      <c r="A5" s="127" t="s">
        <v>1343</v>
      </c>
      <c r="B5" s="127" t="s">
        <v>1344</v>
      </c>
      <c r="C5" s="127" t="str">
        <f>SUBSTITUTE(A5,"销售","成本")</f>
        <v>成本数据</v>
      </c>
      <c r="D5" s="127" t="str">
        <f>_xlfn.FORMULATEXT(C5)</f>
        <v>=SUBSTITUTE(A5,"销售","成本")</v>
      </c>
    </row>
    <row r="6" ht="19" customHeight="1" spans="1:4">
      <c r="A6" s="127" t="s">
        <v>1345</v>
      </c>
      <c r="B6" s="127" t="s">
        <v>1346</v>
      </c>
      <c r="C6" s="127" t="str">
        <f>SUBSTITUTE(A6,"一","二",1)</f>
        <v>2008 年第二季度</v>
      </c>
      <c r="D6" s="127" t="str">
        <f>_xlfn.FORMULATEXT(C6)</f>
        <v>=SUBSTITUTE(A6,"一","二",1)</v>
      </c>
    </row>
    <row r="7" ht="19" customHeight="1" spans="1:4">
      <c r="A7" s="127" t="s">
        <v>1347</v>
      </c>
      <c r="B7" s="127" t="s">
        <v>1348</v>
      </c>
      <c r="C7" s="127" t="str">
        <f>SUBSTITUTE(A7,"1","2",2)</f>
        <v>2012 年第一季度</v>
      </c>
      <c r="D7" s="127" t="str">
        <f>_xlfn.FORMULATEXT(C7)</f>
        <v>=SUBSTITUTE(A7,"1","2",2)</v>
      </c>
    </row>
    <row r="8" spans="1:1">
      <c r="A8" s="28"/>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5" customWidth="1"/>
    <col min="2" max="2" width="14.625" customWidth="1"/>
    <col min="3" max="3" width="17.25" customWidth="1"/>
    <col min="4" max="4" width="34.75" customWidth="1"/>
    <col min="5" max="5" width="32.375" customWidth="1"/>
    <col min="6" max="6" width="36.25" customWidth="1"/>
    <col min="7" max="7" width="24.5" customWidth="1"/>
  </cols>
  <sheetData>
    <row r="1" ht="26" customHeight="1" spans="1:7">
      <c r="A1" s="2" t="s">
        <v>1349</v>
      </c>
      <c r="B1" s="2"/>
      <c r="C1" s="2"/>
      <c r="D1" s="2"/>
      <c r="E1" s="2"/>
      <c r="F1" s="2"/>
      <c r="G1" s="2"/>
    </row>
    <row r="2" ht="115" customHeight="1" spans="1:7">
      <c r="A2" s="83" t="s">
        <v>1350</v>
      </c>
      <c r="B2" s="84"/>
      <c r="C2" s="84"/>
      <c r="D2" s="84"/>
      <c r="E2" s="84"/>
      <c r="F2" s="84"/>
      <c r="G2" s="84"/>
    </row>
    <row r="3" ht="21" customHeight="1" spans="1:4">
      <c r="A3" s="100" t="s">
        <v>553</v>
      </c>
      <c r="B3" s="101"/>
      <c r="C3" s="45"/>
      <c r="D3" s="45"/>
    </row>
    <row r="4" ht="20" customHeight="1" spans="1:4">
      <c r="A4" s="114" t="s">
        <v>582</v>
      </c>
      <c r="B4" s="116"/>
      <c r="C4" s="106" t="s">
        <v>590</v>
      </c>
      <c r="D4" s="106" t="s">
        <v>560</v>
      </c>
    </row>
    <row r="5" ht="14.25" spans="1:4">
      <c r="A5" s="127">
        <v>3</v>
      </c>
      <c r="B5" s="127">
        <v>4</v>
      </c>
      <c r="C5" s="127">
        <f>LARGE($A$5:$B$9,3)</f>
        <v>5</v>
      </c>
      <c r="D5" s="127" t="str">
        <f>_xlfn.FORMULATEXT(C5)</f>
        <v>=LARGE($A$5:$B$9,3)</v>
      </c>
    </row>
    <row r="6" ht="14.25" spans="1:4">
      <c r="A6" s="127">
        <v>5</v>
      </c>
      <c r="B6" s="127">
        <v>2</v>
      </c>
      <c r="C6" s="127">
        <f>LARGE($A$5:$B$9,4)</f>
        <v>5</v>
      </c>
      <c r="D6" s="127" t="str">
        <f>_xlfn.FORMULATEXT(C6)</f>
        <v>=LARGE($A$5:$B$9,4)</v>
      </c>
    </row>
    <row r="7" ht="14.25" spans="1:4">
      <c r="A7" s="127">
        <v>3</v>
      </c>
      <c r="B7" s="127">
        <v>4</v>
      </c>
      <c r="C7" s="127">
        <f>LARGE($A$5:$B$9,5)</f>
        <v>4</v>
      </c>
      <c r="D7" s="127" t="str">
        <f>_xlfn.FORMULATEXT(C7)</f>
        <v>=LARGE($A$5:$B$9,5)</v>
      </c>
    </row>
    <row r="8" ht="14.25" spans="1:2">
      <c r="A8" s="127">
        <v>5</v>
      </c>
      <c r="B8" s="127">
        <v>6</v>
      </c>
    </row>
    <row r="9" ht="14.25" spans="1:2">
      <c r="A9" s="127">
        <v>4</v>
      </c>
      <c r="B9" s="127">
        <v>7</v>
      </c>
    </row>
  </sheetData>
  <mergeCells count="4">
    <mergeCell ref="A1:G1"/>
    <mergeCell ref="A2:G2"/>
    <mergeCell ref="B3:D3"/>
    <mergeCell ref="A4:B4"/>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showGridLines="0" workbookViewId="0">
      <pane ySplit="2" topLeftCell="A3" activePane="bottomLeft" state="frozen"/>
      <selection/>
      <selection pane="bottomLeft" activeCell="D18" sqref="D18"/>
    </sheetView>
  </sheetViews>
  <sheetFormatPr defaultColWidth="9" defaultRowHeight="13.5" outlineLevelCol="6"/>
  <cols>
    <col min="1" max="1" width="15" customWidth="1"/>
    <col min="2" max="2" width="14.625" customWidth="1"/>
    <col min="3" max="3" width="17.25" customWidth="1"/>
    <col min="4" max="4" width="34.75" customWidth="1"/>
    <col min="5" max="5" width="32.375" customWidth="1"/>
    <col min="6" max="6" width="36.25" customWidth="1"/>
    <col min="7" max="7" width="24.5" customWidth="1"/>
  </cols>
  <sheetData>
    <row r="1" ht="26" customHeight="1" spans="1:7">
      <c r="A1" s="2" t="s">
        <v>1351</v>
      </c>
      <c r="B1" s="2"/>
      <c r="C1" s="2"/>
      <c r="D1" s="2"/>
      <c r="E1" s="2"/>
      <c r="F1" s="2"/>
      <c r="G1" s="2"/>
    </row>
    <row r="2" ht="115" customHeight="1" spans="1:7">
      <c r="A2" s="83" t="s">
        <v>1352</v>
      </c>
      <c r="B2" s="84"/>
      <c r="C2" s="84"/>
      <c r="D2" s="84"/>
      <c r="E2" s="84"/>
      <c r="F2" s="84"/>
      <c r="G2" s="84"/>
    </row>
    <row r="3" ht="21" customHeight="1" spans="1:4">
      <c r="A3" s="100" t="s">
        <v>553</v>
      </c>
      <c r="B3" s="101"/>
      <c r="C3" s="45"/>
      <c r="D3" s="45"/>
    </row>
    <row r="4" ht="20" customHeight="1" spans="1:4">
      <c r="A4" s="114" t="s">
        <v>582</v>
      </c>
      <c r="B4" s="116"/>
      <c r="C4" s="106" t="s">
        <v>590</v>
      </c>
      <c r="D4" s="106" t="s">
        <v>560</v>
      </c>
    </row>
    <row r="5" ht="14.25" spans="1:4">
      <c r="A5" s="127">
        <v>3</v>
      </c>
      <c r="B5" s="127">
        <v>1</v>
      </c>
      <c r="C5" s="127">
        <f>SMALL(A5:A13,4)</f>
        <v>4</v>
      </c>
      <c r="D5" s="127" t="str">
        <f>_xlfn.FORMULATEXT(C5)</f>
        <v>=SMALL(A5:A13,4)</v>
      </c>
    </row>
    <row r="6" ht="14.25" spans="1:4">
      <c r="A6" s="127">
        <v>4</v>
      </c>
      <c r="B6" s="127">
        <v>4</v>
      </c>
      <c r="C6" s="127">
        <f>SMALL(B5:B13,2)</f>
        <v>3</v>
      </c>
      <c r="D6" s="127" t="str">
        <f t="shared" ref="D5:D7" si="0">_xlfn.FORMULATEXT(C6)</f>
        <v>=SMALL(B5:B13,2)</v>
      </c>
    </row>
    <row r="7" ht="14.25" spans="1:4">
      <c r="A7" s="127">
        <v>5</v>
      </c>
      <c r="B7" s="127">
        <v>8</v>
      </c>
      <c r="C7" s="127"/>
      <c r="D7" s="127"/>
    </row>
    <row r="8" ht="14.25" spans="1:2">
      <c r="A8" s="127">
        <v>2</v>
      </c>
      <c r="B8" s="127">
        <v>3</v>
      </c>
    </row>
    <row r="9" ht="14.25" spans="1:2">
      <c r="A9" s="127">
        <v>3</v>
      </c>
      <c r="B9" s="127">
        <v>7</v>
      </c>
    </row>
    <row r="10" ht="14.25" spans="1:2">
      <c r="A10" s="127">
        <v>4</v>
      </c>
      <c r="B10" s="127">
        <v>12</v>
      </c>
    </row>
    <row r="11" ht="14.25" spans="1:2">
      <c r="A11" s="127">
        <v>6</v>
      </c>
      <c r="B11" s="127">
        <v>54</v>
      </c>
    </row>
    <row r="12" ht="14.25" spans="1:2">
      <c r="A12" s="127">
        <v>44</v>
      </c>
      <c r="B12" s="127">
        <v>8</v>
      </c>
    </row>
    <row r="13" ht="14.25" spans="1:2">
      <c r="A13" s="127">
        <v>7</v>
      </c>
      <c r="B13" s="127">
        <v>23</v>
      </c>
    </row>
  </sheetData>
  <mergeCells count="4">
    <mergeCell ref="A1:G1"/>
    <mergeCell ref="A2:G2"/>
    <mergeCell ref="B3:D3"/>
    <mergeCell ref="A4:B4"/>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pane ySplit="2" topLeftCell="A3" activePane="bottomLeft" state="frozen"/>
      <selection/>
      <selection pane="bottomLeft" activeCell="A1" sqref="A1:G1"/>
    </sheetView>
  </sheetViews>
  <sheetFormatPr defaultColWidth="9" defaultRowHeight="13.5" outlineLevelCol="6"/>
  <cols>
    <col min="1" max="1" width="13.5" customWidth="1"/>
    <col min="2" max="2" width="15.375" customWidth="1"/>
    <col min="3" max="3" width="21.25" customWidth="1"/>
    <col min="4" max="4" width="17.25" customWidth="1"/>
    <col min="5" max="5" width="32.375" customWidth="1"/>
    <col min="6" max="6" width="36.25" customWidth="1"/>
    <col min="7" max="7" width="24.5" customWidth="1"/>
  </cols>
  <sheetData>
    <row r="1" ht="26" customHeight="1" spans="1:7">
      <c r="A1" s="2" t="s">
        <v>1353</v>
      </c>
      <c r="B1" s="2"/>
      <c r="C1" s="2"/>
      <c r="D1" s="2"/>
      <c r="E1" s="2"/>
      <c r="F1" s="2"/>
      <c r="G1" s="2"/>
    </row>
    <row r="2" ht="128" customHeight="1" spans="1:7">
      <c r="A2" s="83" t="s">
        <v>1354</v>
      </c>
      <c r="B2" s="84"/>
      <c r="C2" s="84"/>
      <c r="D2" s="84"/>
      <c r="E2" s="84"/>
      <c r="F2" s="84"/>
      <c r="G2" s="84"/>
    </row>
    <row r="3" ht="21" customHeight="1" spans="1:4">
      <c r="A3" s="100" t="s">
        <v>553</v>
      </c>
      <c r="B3" s="101"/>
      <c r="C3" s="45"/>
      <c r="D3" s="45"/>
    </row>
    <row r="4" ht="20" customHeight="1" spans="1:4">
      <c r="A4" s="257" t="s">
        <v>582</v>
      </c>
      <c r="B4" s="257" t="s">
        <v>1355</v>
      </c>
      <c r="C4" s="257" t="s">
        <v>560</v>
      </c>
      <c r="D4" s="257"/>
    </row>
    <row r="5" ht="14.25" spans="1:4">
      <c r="A5" s="127">
        <v>7</v>
      </c>
      <c r="B5" s="127">
        <f>RANK(A5,$A$5:$A$9,1)</f>
        <v>5</v>
      </c>
      <c r="C5" s="127" t="str">
        <f>_xlfn.FORMULATEXT(B5)</f>
        <v>=RANK(A5,$A$5:$A$9,1)</v>
      </c>
      <c r="D5" s="127" t="s">
        <v>1356</v>
      </c>
    </row>
    <row r="6" ht="14.25" spans="1:4">
      <c r="A6" s="127">
        <v>3.5</v>
      </c>
      <c r="B6" s="127">
        <f>RANK(A6,$A$5:$A$9,1)</f>
        <v>3</v>
      </c>
      <c r="C6" s="127"/>
      <c r="D6" s="127"/>
    </row>
    <row r="7" ht="14.25" spans="1:4">
      <c r="A7" s="127">
        <v>3.5</v>
      </c>
      <c r="B7" s="127">
        <f>RANK(A7,$A$5:$A$9,1)</f>
        <v>3</v>
      </c>
      <c r="C7" s="127"/>
      <c r="D7" s="127"/>
    </row>
    <row r="8" ht="14.25" spans="1:4">
      <c r="A8" s="127">
        <v>1</v>
      </c>
      <c r="B8" s="127">
        <f>RANK(A8,$A$5:$A$9,1)</f>
        <v>1</v>
      </c>
      <c r="C8" s="127"/>
      <c r="D8" s="127"/>
    </row>
    <row r="9" ht="14.25" spans="1:4">
      <c r="A9" s="127">
        <v>2</v>
      </c>
      <c r="B9" s="127">
        <f>RANK(A9,$A$5:$A$9,1)</f>
        <v>2</v>
      </c>
      <c r="C9" s="127"/>
      <c r="D9"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F20" sqref="F20"/>
    </sheetView>
  </sheetViews>
  <sheetFormatPr defaultColWidth="9" defaultRowHeight="13.5" outlineLevelCol="6"/>
  <cols>
    <col min="1" max="1" width="13.5" customWidth="1"/>
    <col min="2" max="2" width="15.375" customWidth="1"/>
    <col min="3" max="3" width="16.625" customWidth="1"/>
    <col min="4" max="4" width="17.25" customWidth="1"/>
    <col min="5" max="5" width="18.125" customWidth="1"/>
    <col min="6" max="6" width="36.25" customWidth="1"/>
    <col min="7" max="7" width="24.5" customWidth="1"/>
  </cols>
  <sheetData>
    <row r="1" ht="26" customHeight="1" spans="1:7">
      <c r="A1" s="2" t="s">
        <v>1357</v>
      </c>
      <c r="B1" s="2"/>
      <c r="C1" s="2"/>
      <c r="D1" s="2"/>
      <c r="E1" s="2"/>
      <c r="F1" s="2"/>
      <c r="G1" s="2"/>
    </row>
    <row r="2" ht="102" customHeight="1" spans="1:7">
      <c r="A2" s="83" t="s">
        <v>1358</v>
      </c>
      <c r="B2" s="84"/>
      <c r="C2" s="84"/>
      <c r="D2" s="84"/>
      <c r="E2" s="84"/>
      <c r="F2" s="84"/>
      <c r="G2" s="84"/>
    </row>
    <row r="3" ht="21" customHeight="1" spans="1:4">
      <c r="A3" s="100" t="s">
        <v>553</v>
      </c>
      <c r="B3" s="101" t="s">
        <v>1359</v>
      </c>
      <c r="C3" s="45"/>
      <c r="D3" s="45"/>
    </row>
    <row r="4" ht="20" customHeight="1" spans="1:5">
      <c r="A4" s="257" t="s">
        <v>582</v>
      </c>
      <c r="B4" s="257" t="s">
        <v>1360</v>
      </c>
      <c r="C4" s="257" t="s">
        <v>1361</v>
      </c>
      <c r="D4" s="257" t="s">
        <v>1362</v>
      </c>
      <c r="E4" s="257" t="s">
        <v>1363</v>
      </c>
    </row>
    <row r="5" ht="14.25" spans="1:5">
      <c r="A5" s="127">
        <v>7</v>
      </c>
      <c r="B5" s="127">
        <f>RANK(A5,$A$5:$A$9,0)</f>
        <v>1</v>
      </c>
      <c r="C5" s="127">
        <f>RANK(A5,$A$5:$A$9,1)</f>
        <v>5</v>
      </c>
      <c r="D5" s="127">
        <f>_xlfn.RANK.EQ(A5,$A$5:$A$9,0)</f>
        <v>1</v>
      </c>
      <c r="E5" s="127">
        <f>_xlfn.RANK.AVG(A5,$A$5:$A$9,0)</f>
        <v>1</v>
      </c>
    </row>
    <row r="6" ht="14.25" spans="1:5">
      <c r="A6" s="127">
        <v>3.5</v>
      </c>
      <c r="B6" s="127">
        <f>RANK(A6,$A$5:$A$9,0)</f>
        <v>3</v>
      </c>
      <c r="C6" s="127">
        <f>RANK(A6,$A$5:$A$9,1)</f>
        <v>1</v>
      </c>
      <c r="D6" s="127">
        <f>_xlfn.RANK.EQ(A6,$A$5:$A$9,0)</f>
        <v>3</v>
      </c>
      <c r="E6" s="127">
        <f>_xlfn.RANK.AVG(A6,$A$5:$A$9,0)</f>
        <v>4</v>
      </c>
    </row>
    <row r="7" ht="14.25" spans="1:5">
      <c r="A7" s="127">
        <v>3.5</v>
      </c>
      <c r="B7" s="127">
        <f>RANK(A7,$A$5:$A$9,0)</f>
        <v>3</v>
      </c>
      <c r="C7" s="127">
        <f>RANK(A7,$A$5:$A$9,1)</f>
        <v>1</v>
      </c>
      <c r="D7" s="127">
        <f>_xlfn.RANK.EQ(A7,$A$5:$A$9,0)</f>
        <v>3</v>
      </c>
      <c r="E7" s="127">
        <f>_xlfn.RANK.AVG(A7,$A$5:$A$9,0)</f>
        <v>4</v>
      </c>
    </row>
    <row r="8" ht="14.25" spans="1:5">
      <c r="A8" s="127">
        <v>3.5</v>
      </c>
      <c r="B8" s="127">
        <f>RANK(A8,$A$5:$A$9,0)</f>
        <v>3</v>
      </c>
      <c r="C8" s="127">
        <f>RANK(A8,$A$5:$A$9,1)</f>
        <v>1</v>
      </c>
      <c r="D8" s="127">
        <f>_xlfn.RANK.EQ(A8,$A$5:$A$9,0)</f>
        <v>3</v>
      </c>
      <c r="E8" s="127">
        <f>_xlfn.RANK.AVG(A8,$A$5:$A$9,0)</f>
        <v>4</v>
      </c>
    </row>
    <row r="9" ht="14.25" spans="1:5">
      <c r="A9" s="127">
        <v>4</v>
      </c>
      <c r="B9" s="127">
        <f>RANK(A9,$A$5:$A$9,0)</f>
        <v>2</v>
      </c>
      <c r="C9" s="127">
        <f>RANK(A9,$A$5:$A$9,1)</f>
        <v>4</v>
      </c>
      <c r="D9" s="127">
        <f>_xlfn.RANK.EQ(A9,$A$5:$A$9,0)</f>
        <v>2</v>
      </c>
      <c r="E9" s="127">
        <f>_xlfn.RANK.AVG(A9,$A$5:$A$9,0)</f>
        <v>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showGridLines="0" workbookViewId="0">
      <pane ySplit="2" topLeftCell="A3" activePane="bottomLeft" state="frozen"/>
      <selection/>
      <selection pane="bottomLeft" activeCell="A1" sqref="A1:G1"/>
    </sheetView>
  </sheetViews>
  <sheetFormatPr defaultColWidth="9" defaultRowHeight="13.5" outlineLevelCol="6"/>
  <cols>
    <col min="1" max="1" width="13.5" customWidth="1"/>
    <col min="2" max="2" width="15.375" customWidth="1"/>
    <col min="3" max="3" width="16.625" customWidth="1"/>
    <col min="4" max="4" width="17.25" customWidth="1"/>
    <col min="5" max="5" width="18.125" customWidth="1"/>
    <col min="6" max="6" width="36.25" customWidth="1"/>
    <col min="7" max="7" width="24.5" customWidth="1"/>
  </cols>
  <sheetData>
    <row r="1" ht="26" customHeight="1" spans="1:7">
      <c r="A1" s="2" t="s">
        <v>1364</v>
      </c>
      <c r="B1" s="2"/>
      <c r="C1" s="2"/>
      <c r="D1" s="2"/>
      <c r="E1" s="2"/>
      <c r="F1" s="2"/>
      <c r="G1" s="2"/>
    </row>
    <row r="2" ht="102" customHeight="1" spans="1:7">
      <c r="A2" s="83" t="s">
        <v>1358</v>
      </c>
      <c r="B2" s="84"/>
      <c r="C2" s="84"/>
      <c r="D2" s="84"/>
      <c r="E2" s="84"/>
      <c r="F2" s="84"/>
      <c r="G2" s="84"/>
    </row>
    <row r="3" ht="21" customHeight="1" spans="1:4">
      <c r="A3" s="100" t="s">
        <v>553</v>
      </c>
      <c r="B3" s="101" t="s">
        <v>1359</v>
      </c>
      <c r="C3" s="45"/>
      <c r="D3" s="45"/>
    </row>
    <row r="4" ht="20" customHeight="1" spans="1:5">
      <c r="A4" s="257" t="s">
        <v>582</v>
      </c>
      <c r="B4" s="257" t="s">
        <v>1360</v>
      </c>
      <c r="C4" s="257" t="s">
        <v>1361</v>
      </c>
      <c r="D4" s="257" t="s">
        <v>1362</v>
      </c>
      <c r="E4" s="257" t="s">
        <v>1363</v>
      </c>
    </row>
    <row r="5" ht="14.25" spans="1:5">
      <c r="A5" s="127">
        <v>7</v>
      </c>
      <c r="B5" s="127">
        <f>RANK(A5,$A$5:$A$9,0)</f>
        <v>1</v>
      </c>
      <c r="C5" s="127">
        <f>RANK(A5,$A$5:$A$9,1)</f>
        <v>5</v>
      </c>
      <c r="D5" s="127">
        <f>_xlfn.RANK.EQ(A5,$A$5:$A$9,0)</f>
        <v>1</v>
      </c>
      <c r="E5" s="127">
        <f>_xlfn.RANK.AVG(A5,$A$5:$A$9,0)</f>
        <v>1</v>
      </c>
    </row>
    <row r="6" ht="14.25" spans="1:5">
      <c r="A6" s="127">
        <v>3.5</v>
      </c>
      <c r="B6" s="127">
        <f>RANK(A6,$A$5:$A$9,0)</f>
        <v>3</v>
      </c>
      <c r="C6" s="127">
        <f>RANK(A6,$A$5:$A$9,1)</f>
        <v>1</v>
      </c>
      <c r="D6" s="127">
        <f>_xlfn.RANK.EQ(A6,$A$5:$A$9,0)</f>
        <v>3</v>
      </c>
      <c r="E6" s="127">
        <f>_xlfn.RANK.AVG(A6,$A$5:$A$9,0)</f>
        <v>4</v>
      </c>
    </row>
    <row r="7" ht="14.25" spans="1:5">
      <c r="A7" s="127">
        <v>3.5</v>
      </c>
      <c r="B7" s="127">
        <f>RANK(A7,$A$5:$A$9,0)</f>
        <v>3</v>
      </c>
      <c r="C7" s="127">
        <f>RANK(A7,$A$5:$A$9,1)</f>
        <v>1</v>
      </c>
      <c r="D7" s="127">
        <f>_xlfn.RANK.EQ(A7,$A$5:$A$9,0)</f>
        <v>3</v>
      </c>
      <c r="E7" s="127">
        <f>_xlfn.RANK.AVG(A7,$A$5:$A$9,0)</f>
        <v>4</v>
      </c>
    </row>
    <row r="8" ht="14.25" spans="1:5">
      <c r="A8" s="127">
        <v>3.5</v>
      </c>
      <c r="B8" s="127">
        <f>RANK(A8,$A$5:$A$9,0)</f>
        <v>3</v>
      </c>
      <c r="C8" s="127">
        <f>RANK(A8,$A$5:$A$9,1)</f>
        <v>1</v>
      </c>
      <c r="D8" s="127">
        <f>_xlfn.RANK.EQ(A8,$A$5:$A$9,0)</f>
        <v>3</v>
      </c>
      <c r="E8" s="127">
        <f>_xlfn.RANK.AVG(A8,$A$5:$A$9,0)</f>
        <v>4</v>
      </c>
    </row>
    <row r="9" ht="14.25" spans="1:5">
      <c r="A9" s="127">
        <v>4</v>
      </c>
      <c r="B9" s="127">
        <f>RANK(A9,$A$5:$A$9,0)</f>
        <v>2</v>
      </c>
      <c r="C9" s="127">
        <f>RANK(A9,$A$5:$A$9,1)</f>
        <v>4</v>
      </c>
      <c r="D9" s="127">
        <f>_xlfn.RANK.EQ(A9,$A$5:$A$9,0)</f>
        <v>2</v>
      </c>
      <c r="E9" s="127">
        <f>_xlfn.RANK.AVG(A9,$A$5:$A$9,0)</f>
        <v>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1365</v>
      </c>
      <c r="B1" s="2"/>
      <c r="C1" s="2"/>
      <c r="D1" s="2"/>
      <c r="E1" s="2"/>
      <c r="F1" s="2"/>
      <c r="G1" s="2"/>
    </row>
    <row r="2" ht="85" customHeight="1" spans="1:7">
      <c r="A2" s="83" t="s">
        <v>1366</v>
      </c>
      <c r="B2" s="84"/>
      <c r="C2" s="84"/>
      <c r="D2" s="84"/>
      <c r="E2" s="84"/>
      <c r="F2" s="84"/>
      <c r="G2" s="84"/>
    </row>
    <row r="3" ht="21" customHeight="1" spans="1:4">
      <c r="A3" s="100" t="s">
        <v>553</v>
      </c>
      <c r="B3" s="101"/>
      <c r="C3" s="45"/>
      <c r="D3" s="45"/>
    </row>
    <row r="4" ht="20" customHeight="1" spans="1:4">
      <c r="A4" s="106" t="s">
        <v>582</v>
      </c>
      <c r="B4" s="106" t="s">
        <v>558</v>
      </c>
      <c r="C4" s="106" t="s">
        <v>590</v>
      </c>
      <c r="D4" s="106" t="s">
        <v>560</v>
      </c>
    </row>
    <row r="5" ht="19" customHeight="1" spans="1:4">
      <c r="A5" s="127">
        <v>45</v>
      </c>
      <c r="B5" s="127" t="s">
        <v>1367</v>
      </c>
      <c r="C5" s="127" t="str">
        <f>T(A5)</f>
        <v/>
      </c>
      <c r="D5" s="127" t="str">
        <f>_xlfn.FORMULATEXT(C5)</f>
        <v>=T(A5)</v>
      </c>
    </row>
    <row r="6" ht="19" customHeight="1" spans="1:4">
      <c r="A6" s="127" t="s">
        <v>1368</v>
      </c>
      <c r="B6" s="127" t="s">
        <v>1369</v>
      </c>
      <c r="C6" s="127" t="str">
        <f>T(A6)</f>
        <v>开花</v>
      </c>
      <c r="D6" s="127" t="str">
        <f>_xlfn.FORMULATEXT(C6)</f>
        <v>=T(A6)</v>
      </c>
    </row>
    <row r="7" ht="19" customHeight="1" spans="1:4">
      <c r="A7" s="127" t="b">
        <v>1</v>
      </c>
      <c r="B7" s="127" t="s">
        <v>1370</v>
      </c>
      <c r="C7" s="127" t="str">
        <f>T(A7)</f>
        <v/>
      </c>
      <c r="D7" s="127" t="str">
        <f>_xlfn.FORMULATEXT(C7)</f>
        <v>=T(A7)</v>
      </c>
    </row>
    <row r="8" spans="1:1">
      <c r="A8" s="28"/>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
  <sheetViews>
    <sheetView workbookViewId="0">
      <pane ySplit="2" topLeftCell="A3" activePane="bottomLeft" state="frozen"/>
      <selection/>
      <selection pane="bottomLeft" activeCell="B19" sqref="B19"/>
    </sheetView>
  </sheetViews>
  <sheetFormatPr defaultColWidth="9" defaultRowHeight="13.5" outlineLevelCol="6"/>
  <cols>
    <col min="1" max="1" width="29.75" customWidth="1"/>
    <col min="2" max="2" width="14.25" customWidth="1"/>
    <col min="3" max="3" width="32.875" customWidth="1"/>
    <col min="4" max="4" width="34.75" customWidth="1"/>
    <col min="5" max="5" width="32.375" customWidth="1"/>
    <col min="6" max="6" width="36.25" customWidth="1"/>
    <col min="7" max="7" width="24.5" customWidth="1"/>
  </cols>
  <sheetData>
    <row r="1" ht="26" customHeight="1" spans="1:7">
      <c r="A1" s="2" t="s">
        <v>1371</v>
      </c>
      <c r="B1" s="2"/>
      <c r="C1" s="2"/>
      <c r="D1" s="2"/>
      <c r="E1" s="2"/>
      <c r="F1" s="2"/>
      <c r="G1" s="2"/>
    </row>
    <row r="2" ht="85" customHeight="1" spans="1:7">
      <c r="A2" s="83" t="s">
        <v>1372</v>
      </c>
      <c r="B2" s="84"/>
      <c r="C2" s="84"/>
      <c r="D2" s="84"/>
      <c r="E2" s="84"/>
      <c r="F2" s="84"/>
      <c r="G2" s="84"/>
    </row>
    <row r="3" ht="21" customHeight="1" spans="1:4">
      <c r="A3" s="100" t="s">
        <v>553</v>
      </c>
      <c r="B3" s="101"/>
      <c r="C3" s="45"/>
      <c r="D3" s="45"/>
    </row>
    <row r="4" ht="20" customHeight="1" spans="1:4">
      <c r="A4" s="106" t="s">
        <v>1373</v>
      </c>
      <c r="B4" s="106" t="s">
        <v>1374</v>
      </c>
      <c r="C4" s="106"/>
      <c r="D4" s="106"/>
    </row>
    <row r="5" ht="19" customHeight="1" spans="1:4">
      <c r="A5" s="127" t="s">
        <v>1375</v>
      </c>
      <c r="B5" s="127" t="s">
        <v>1376</v>
      </c>
      <c r="C5" s="127"/>
      <c r="D5" s="127"/>
    </row>
    <row r="6" ht="19" customHeight="1" spans="1:4">
      <c r="A6" s="127" t="s">
        <v>1377</v>
      </c>
      <c r="B6" s="127" t="s">
        <v>1378</v>
      </c>
      <c r="C6" s="127"/>
      <c r="D6" s="127"/>
    </row>
    <row r="7" ht="19" customHeight="1" spans="1:4">
      <c r="A7" s="127" t="b">
        <v>1</v>
      </c>
      <c r="B7" s="127">
        <v>1</v>
      </c>
      <c r="C7" s="127"/>
      <c r="D7" s="127"/>
    </row>
    <row r="8" ht="14.25" spans="1:2">
      <c r="A8" s="127" t="b">
        <v>0</v>
      </c>
      <c r="B8" s="127">
        <v>0</v>
      </c>
    </row>
    <row r="9" ht="14.25" spans="1:2">
      <c r="A9" s="127" t="s">
        <v>1379</v>
      </c>
      <c r="B9" s="127" t="s">
        <v>1380</v>
      </c>
    </row>
    <row r="10" ht="14.25" spans="1:2">
      <c r="A10" s="127" t="s">
        <v>1381</v>
      </c>
      <c r="B10" s="127">
        <v>0</v>
      </c>
    </row>
    <row r="11" ht="18" spans="1:4">
      <c r="A11" s="100" t="s">
        <v>574</v>
      </c>
      <c r="B11" s="101"/>
      <c r="C11" s="45"/>
      <c r="D11" s="45"/>
    </row>
    <row r="12" ht="16.5" spans="1:4">
      <c r="A12" s="106" t="s">
        <v>582</v>
      </c>
      <c r="B12" s="106" t="s">
        <v>590</v>
      </c>
      <c r="C12" s="106" t="s">
        <v>558</v>
      </c>
      <c r="D12" s="106" t="s">
        <v>560</v>
      </c>
    </row>
    <row r="13" ht="14.25" spans="1:4">
      <c r="A13" s="86">
        <v>7</v>
      </c>
      <c r="B13" s="127">
        <f>N(A13)</f>
        <v>7</v>
      </c>
      <c r="C13" s="86" t="s">
        <v>1382</v>
      </c>
      <c r="D13" s="86" t="str">
        <f>_xlfn.FORMULATEXT(B13)</f>
        <v>=N(A13)</v>
      </c>
    </row>
    <row r="14" ht="14.25" spans="1:4">
      <c r="A14" s="86" t="s">
        <v>1383</v>
      </c>
      <c r="B14" s="127">
        <f>N(A14)</f>
        <v>0</v>
      </c>
      <c r="C14" s="86" t="s">
        <v>1384</v>
      </c>
      <c r="D14" s="86" t="str">
        <f>_xlfn.FORMULATEXT(B14)</f>
        <v>=N(A14)</v>
      </c>
    </row>
    <row r="15" ht="14.25" spans="1:4">
      <c r="A15" s="86" t="b">
        <v>1</v>
      </c>
      <c r="B15" s="127">
        <f>N(A15)</f>
        <v>1</v>
      </c>
      <c r="C15" s="86" t="s">
        <v>1385</v>
      </c>
      <c r="D15" s="86" t="str">
        <f>_xlfn.FORMULATEXT(B15)</f>
        <v>=N(A15)</v>
      </c>
    </row>
    <row r="16" ht="28.5" spans="1:4">
      <c r="A16" s="226">
        <v>39555</v>
      </c>
      <c r="B16" s="127">
        <f>N(A16)</f>
        <v>39555</v>
      </c>
      <c r="C16" s="86" t="s">
        <v>1386</v>
      </c>
      <c r="D16" s="86" t="str">
        <f>_xlfn.FORMULATEXT(B16)</f>
        <v>=N(A16)</v>
      </c>
    </row>
    <row r="17" ht="14.25" spans="1:4">
      <c r="A17" s="89"/>
      <c r="B17" s="89">
        <f>N("7")</f>
        <v>0</v>
      </c>
      <c r="C17" s="86" t="s">
        <v>1387</v>
      </c>
      <c r="D17" s="86" t="str">
        <f>_xlfn.FORMULATEXT(B17)</f>
        <v>=N("7")</v>
      </c>
    </row>
    <row r="18" spans="1:1">
      <c r="A18" s="255"/>
    </row>
    <row r="19" spans="1:1">
      <c r="A19" s="255"/>
    </row>
    <row r="20" spans="1:1">
      <c r="A20" s="255"/>
    </row>
    <row r="21" spans="1:1">
      <c r="A21" s="255"/>
    </row>
    <row r="22" spans="1:1">
      <c r="A22" s="255"/>
    </row>
    <row r="23" spans="1:1">
      <c r="A23" s="256"/>
    </row>
  </sheetData>
  <mergeCells count="4">
    <mergeCell ref="A1:G1"/>
    <mergeCell ref="A2:G2"/>
    <mergeCell ref="B3:D3"/>
    <mergeCell ref="B11:D11"/>
  </mergeCells>
  <dataValidations count="1">
    <dataValidation type="list" allowBlank="1" showInputMessage="1" showErrorMessage="1" sqref="B2 C2">
      <formula1>函数!$C$1:$C$9</formula1>
    </dataValidation>
  </dataValidations>
  <hyperlinks>
    <hyperlink ref="A6" r:id="rId2" display="日期（WPS表格的一种内部日期格式）" tooltip="http://www.wps.cn/"/>
  </hyperlinks>
  <pageMargins left="0.75" right="0.75" top="1" bottom="1" header="0.511805555555556" footer="0.511805555555556"/>
  <headerFooter/>
  <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
  <sheetViews>
    <sheetView workbookViewId="0">
      <pane ySplit="2" topLeftCell="A3" activePane="bottomLeft" state="frozen"/>
      <selection/>
      <selection pane="bottomLeft" activeCell="A1" sqref="A1:G1"/>
    </sheetView>
  </sheetViews>
  <sheetFormatPr defaultColWidth="9" defaultRowHeight="13.5" outlineLevelRow="1" outlineLevelCol="6"/>
  <cols>
    <col min="1" max="1" width="29.75" customWidth="1"/>
    <col min="2" max="2" width="14.25" customWidth="1"/>
    <col min="3" max="3" width="32.875" customWidth="1"/>
    <col min="4" max="4" width="34.75" customWidth="1"/>
    <col min="5" max="5" width="32.375" customWidth="1"/>
    <col min="6" max="6" width="36.25" customWidth="1"/>
    <col min="7" max="7" width="9.375" customWidth="1"/>
  </cols>
  <sheetData>
    <row r="1" ht="26" customHeight="1" spans="1:7">
      <c r="A1" s="2" t="s">
        <v>1388</v>
      </c>
      <c r="B1" s="2"/>
      <c r="C1" s="2"/>
      <c r="D1" s="2"/>
      <c r="E1" s="2"/>
      <c r="F1" s="2"/>
      <c r="G1" s="2"/>
    </row>
    <row r="2" ht="72" customHeight="1" spans="1:7">
      <c r="A2" s="83" t="s">
        <v>1389</v>
      </c>
      <c r="B2" s="84"/>
      <c r="C2" s="84"/>
      <c r="D2" s="84"/>
      <c r="E2" s="84"/>
      <c r="F2" s="84"/>
      <c r="G2" s="84"/>
    </row>
  </sheetData>
  <mergeCells count="2">
    <mergeCell ref="A1:G1"/>
    <mergeCell ref="A2:G2"/>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1.125" customWidth="1"/>
    <col min="3" max="3" width="17.125" customWidth="1"/>
    <col min="4" max="4" width="18.75" customWidth="1"/>
    <col min="5" max="5" width="32.375" customWidth="1"/>
    <col min="6" max="6" width="36.25" customWidth="1"/>
    <col min="7" max="7" width="24.5" customWidth="1"/>
  </cols>
  <sheetData>
    <row r="1" ht="26" customHeight="1" spans="1:7">
      <c r="A1" s="2" t="s">
        <v>1390</v>
      </c>
      <c r="B1" s="2"/>
      <c r="C1" s="2"/>
      <c r="D1" s="2"/>
      <c r="E1" s="2"/>
      <c r="F1" s="2"/>
      <c r="G1" s="2"/>
    </row>
    <row r="2" ht="60" customHeight="1" spans="1:7">
      <c r="A2" s="83" t="s">
        <v>1391</v>
      </c>
      <c r="B2" s="84"/>
      <c r="C2" s="84"/>
      <c r="D2" s="84"/>
      <c r="E2" s="84"/>
      <c r="F2" s="84"/>
      <c r="G2" s="84"/>
    </row>
    <row r="3" ht="21" customHeight="1" spans="1:4">
      <c r="A3" s="100" t="s">
        <v>553</v>
      </c>
      <c r="B3" s="101"/>
      <c r="C3" s="45"/>
      <c r="D3" s="45"/>
    </row>
    <row r="4" ht="20" customHeight="1" spans="1:4">
      <c r="A4" s="106" t="s">
        <v>582</v>
      </c>
      <c r="B4" s="106" t="s">
        <v>582</v>
      </c>
      <c r="C4" s="106" t="s">
        <v>582</v>
      </c>
      <c r="D4" s="106" t="s">
        <v>582</v>
      </c>
    </row>
    <row r="5" ht="19" customHeight="1" spans="1:4">
      <c r="A5" s="127">
        <v>2</v>
      </c>
      <c r="B5" s="127">
        <v>3</v>
      </c>
      <c r="C5" s="127">
        <v>4</v>
      </c>
      <c r="D5" s="127">
        <v>5</v>
      </c>
    </row>
    <row r="6" ht="19" customHeight="1" spans="1:4">
      <c r="A6" s="127" t="s">
        <v>1392</v>
      </c>
      <c r="B6" s="127"/>
      <c r="C6" s="127"/>
      <c r="D6" s="127"/>
    </row>
    <row r="7" ht="19" customHeight="1" spans="1:4">
      <c r="A7" s="127">
        <f t="array" ref="A7">INDEX(TRANSPOSE($A$5:$D$5),ROW(1:1))</f>
        <v>2</v>
      </c>
      <c r="B7" s="127" t="str">
        <f>_xlfn.FORMULATEXT(A7)</f>
        <v>{=INDEX(TRANSPOSE($A$5:$D$5),ROW(1:1))}</v>
      </c>
      <c r="C7" s="127"/>
      <c r="D7" s="127"/>
    </row>
    <row r="8" ht="14.25" spans="1:2">
      <c r="A8" s="127">
        <f t="array" ref="A8">INDEX(TRANSPOSE($A$5:$D$5),ROW(2:2))</f>
        <v>3</v>
      </c>
      <c r="B8" s="127"/>
    </row>
    <row r="9" ht="14.25" spans="1:2">
      <c r="A9" s="127">
        <f t="array" ref="A9">INDEX(TRANSPOSE($A$5:$D$5),ROW(3:3))</f>
        <v>4</v>
      </c>
      <c r="B9" s="127"/>
    </row>
    <row r="10" ht="14.25" spans="1:2">
      <c r="A10" s="127">
        <f t="array" ref="A10">INDEX(TRANSPOSE($A$5:$D$5),ROW(4:4))</f>
        <v>5</v>
      </c>
      <c r="B10"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1393</v>
      </c>
      <c r="B1" s="2"/>
      <c r="C1" s="2"/>
      <c r="D1" s="2"/>
      <c r="E1" s="2"/>
      <c r="F1" s="2"/>
      <c r="G1" s="2"/>
    </row>
    <row r="2" ht="60" customHeight="1" spans="1:7">
      <c r="A2" s="83" t="s">
        <v>1394</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9" customHeight="1" spans="1:4">
      <c r="A5" s="127">
        <f>ROWS(B7:B10)</f>
        <v>4</v>
      </c>
      <c r="B5" s="127" t="s">
        <v>1395</v>
      </c>
      <c r="C5" s="127" t="str">
        <f>_xlfn.FORMULATEXT(A5)</f>
        <v>=ROWS(B7:B10)</v>
      </c>
      <c r="D5" s="127"/>
    </row>
    <row r="6" ht="19" customHeight="1" spans="1:4">
      <c r="A6" s="127">
        <f>ROWS({1,2,3;4,5,6})</f>
        <v>2</v>
      </c>
      <c r="B6" s="127" t="s">
        <v>1396</v>
      </c>
      <c r="C6" s="127" t="str">
        <f>_xlfn.FORMULATEXT(A6)</f>
        <v>=ROWS({1,2,3;4,5,6})</v>
      </c>
      <c r="D6"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4.625" customWidth="1"/>
    <col min="3" max="3" width="23.125" customWidth="1"/>
    <col min="4" max="4" width="34.75" customWidth="1"/>
    <col min="5" max="5" width="32.375" customWidth="1"/>
    <col min="6" max="6" width="36.25" customWidth="1"/>
    <col min="7" max="7" width="24.5" customWidth="1"/>
  </cols>
  <sheetData>
    <row r="1" ht="26" customHeight="1" spans="1:7">
      <c r="A1" s="2" t="s">
        <v>1397</v>
      </c>
      <c r="B1" s="2"/>
      <c r="C1" s="2"/>
      <c r="D1" s="2"/>
      <c r="E1" s="2"/>
      <c r="F1" s="2"/>
      <c r="G1" s="2"/>
    </row>
    <row r="2" ht="60" customHeight="1" spans="1:7">
      <c r="A2" s="83" t="s">
        <v>1398</v>
      </c>
      <c r="B2" s="84"/>
      <c r="C2" s="84"/>
      <c r="D2" s="84"/>
      <c r="E2" s="84"/>
      <c r="F2" s="84"/>
      <c r="G2" s="84"/>
    </row>
    <row r="3" ht="21" customHeight="1" spans="1:4">
      <c r="A3" s="100" t="s">
        <v>553</v>
      </c>
      <c r="B3" s="101"/>
      <c r="C3" s="45"/>
      <c r="D3" s="45"/>
    </row>
    <row r="4" ht="20" customHeight="1" spans="1:4">
      <c r="A4" s="106" t="s">
        <v>590</v>
      </c>
      <c r="B4" s="106" t="s">
        <v>558</v>
      </c>
      <c r="C4" s="106" t="s">
        <v>560</v>
      </c>
      <c r="D4" s="106"/>
    </row>
    <row r="5" ht="19" customHeight="1" spans="1:4">
      <c r="A5" s="127">
        <f>COLUMNS(D11:F14)</f>
        <v>3</v>
      </c>
      <c r="B5" s="127" t="s">
        <v>1399</v>
      </c>
      <c r="C5" s="127" t="str">
        <f>_xlfn.FORMULATEXT(A5)</f>
        <v>=COLUMNS(D11:F14)</v>
      </c>
      <c r="D5" s="127"/>
    </row>
    <row r="6" ht="19" customHeight="1" spans="1:4">
      <c r="A6" s="127">
        <f>COLUMNS({1,2,3;4,5,6})</f>
        <v>3</v>
      </c>
      <c r="B6" s="127" t="s">
        <v>1400</v>
      </c>
      <c r="C6" s="127" t="str">
        <f>_xlfn.FORMULATEXT(A6)</f>
        <v>=COLUMNS({1,2,3;4,5,6})</v>
      </c>
      <c r="D6"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47.125" customWidth="1"/>
    <col min="3" max="3" width="33" customWidth="1"/>
    <col min="4" max="4" width="34.75" customWidth="1"/>
    <col min="5" max="5" width="32.375" customWidth="1"/>
    <col min="6" max="6" width="36.25" customWidth="1"/>
    <col min="7" max="7" width="24.5" customWidth="1"/>
  </cols>
  <sheetData>
    <row r="1" ht="26" customHeight="1" spans="1:7">
      <c r="A1" s="2" t="s">
        <v>1401</v>
      </c>
      <c r="B1" s="2"/>
      <c r="C1" s="2"/>
      <c r="D1" s="2"/>
      <c r="E1" s="2"/>
      <c r="F1" s="2"/>
      <c r="G1" s="2"/>
    </row>
    <row r="2" ht="60" customHeight="1" spans="1:7">
      <c r="A2" s="83" t="s">
        <v>1402</v>
      </c>
      <c r="B2" s="84"/>
      <c r="C2" s="84"/>
      <c r="D2" s="84"/>
      <c r="E2" s="84"/>
      <c r="F2" s="84"/>
      <c r="G2" s="84"/>
    </row>
    <row r="3" ht="21" customHeight="1" spans="1:4">
      <c r="A3" s="100" t="s">
        <v>553</v>
      </c>
      <c r="B3" s="101"/>
      <c r="C3" s="45"/>
      <c r="D3" s="45"/>
    </row>
    <row r="4" ht="20" customHeight="1" spans="1:4">
      <c r="A4" s="106" t="s">
        <v>590</v>
      </c>
      <c r="B4" s="106" t="s">
        <v>560</v>
      </c>
      <c r="C4" s="106" t="s">
        <v>558</v>
      </c>
      <c r="D4" s="106"/>
    </row>
    <row r="5" ht="19" customHeight="1" spans="1:4">
      <c r="A5" s="127">
        <f>AREAS(C16:E18)</f>
        <v>1</v>
      </c>
      <c r="B5" s="127" t="str">
        <f>_xlfn.FORMULATEXT(A5)</f>
        <v>=AREAS(C16:E18)</v>
      </c>
      <c r="C5" s="127" t="s">
        <v>1403</v>
      </c>
      <c r="D5" s="127"/>
    </row>
    <row r="6" ht="19" customHeight="1" spans="1:4">
      <c r="A6" s="127">
        <f>AREAS((C16:E18,F19,G20:J23))</f>
        <v>3</v>
      </c>
      <c r="B6" s="127" t="str">
        <f>_xlfn.FORMULATEXT(A6)</f>
        <v>=AREAS((C16:E18,F19,G20:J23))</v>
      </c>
      <c r="C6" s="127" t="s">
        <v>1404</v>
      </c>
      <c r="D6" s="127"/>
    </row>
    <row r="7" ht="19" customHeight="1" spans="1:4">
      <c r="A7" s="127">
        <f>AREAS(C2:E4 C2)</f>
        <v>1</v>
      </c>
      <c r="B7" s="127" t="str">
        <f>_xlfn.FORMULATEXT(A7)</f>
        <v>=AREAS(C2:E4 C2)</v>
      </c>
      <c r="C7" s="127" t="s">
        <v>1403</v>
      </c>
      <c r="D7" s="127"/>
    </row>
    <row r="8" spans="1:1">
      <c r="A8" s="28"/>
    </row>
    <row r="15" spans="1:3">
      <c r="A15" s="254"/>
      <c r="B15" s="254"/>
      <c r="C15" s="254"/>
    </row>
    <row r="16" spans="1:1">
      <c r="A16" s="254"/>
    </row>
    <row r="17" spans="1:1">
      <c r="A17" s="254"/>
    </row>
    <row r="18" spans="1:1">
      <c r="A18" s="254"/>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6.125" customWidth="1"/>
    <col min="3" max="3" width="36.625" customWidth="1"/>
    <col min="4" max="4" width="34.75" customWidth="1"/>
    <col min="5" max="5" width="32.375" customWidth="1"/>
    <col min="6" max="6" width="36.25" customWidth="1"/>
    <col min="7" max="7" width="24.5" customWidth="1"/>
  </cols>
  <sheetData>
    <row r="1" ht="26" customHeight="1" spans="1:7">
      <c r="A1" s="2" t="s">
        <v>1405</v>
      </c>
      <c r="B1" s="2"/>
      <c r="C1" s="2"/>
      <c r="D1" s="2"/>
      <c r="E1" s="2"/>
      <c r="F1" s="2"/>
      <c r="G1" s="2"/>
    </row>
    <row r="2" ht="127" customHeight="1" spans="1:7">
      <c r="A2" s="83" t="s">
        <v>1406</v>
      </c>
      <c r="B2" s="84"/>
      <c r="C2" s="84"/>
      <c r="D2" s="84"/>
      <c r="E2" s="84"/>
      <c r="F2" s="84"/>
      <c r="G2" s="84"/>
    </row>
    <row r="3" ht="21" customHeight="1" spans="1:4">
      <c r="A3" s="100" t="s">
        <v>553</v>
      </c>
      <c r="B3" s="101"/>
      <c r="C3" s="45"/>
      <c r="D3" s="45"/>
    </row>
    <row r="4" ht="19" customHeight="1" spans="1:4">
      <c r="A4" s="106" t="s">
        <v>590</v>
      </c>
      <c r="B4" s="106" t="s">
        <v>560</v>
      </c>
      <c r="C4" s="106" t="s">
        <v>622</v>
      </c>
      <c r="D4" s="253"/>
    </row>
    <row r="5" ht="19" customHeight="1" spans="1:4">
      <c r="A5" s="127" t="str">
        <f>ADDRESS(2,3)</f>
        <v>$C$2</v>
      </c>
      <c r="B5" s="127" t="str">
        <f>_xlfn.FORMULATEXT(A5)</f>
        <v>=ADDRESS(2,3)</v>
      </c>
      <c r="C5" s="127" t="s">
        <v>1407</v>
      </c>
      <c r="D5" s="127"/>
    </row>
    <row r="6" ht="19" customHeight="1" spans="1:4">
      <c r="A6" s="127" t="str">
        <f>ADDRESS(2,3,2)</f>
        <v>C$2</v>
      </c>
      <c r="B6" s="127" t="str">
        <f>_xlfn.FORMULATEXT(A6)</f>
        <v>=ADDRESS(2,3,2)</v>
      </c>
      <c r="C6" s="127" t="s">
        <v>1408</v>
      </c>
      <c r="D6" s="127"/>
    </row>
    <row r="7" ht="14.25" spans="1:4">
      <c r="A7" s="127" t="str">
        <f>ADDRESS(2,3,2,FALSE)</f>
        <v>R2C[3]</v>
      </c>
      <c r="B7" s="127" t="str">
        <f>_xlfn.FORMULATEXT(A7)</f>
        <v>=ADDRESS(2,3,2,FALSE)</v>
      </c>
      <c r="C7" s="127" t="s">
        <v>1409</v>
      </c>
      <c r="D7" s="127"/>
    </row>
    <row r="8" ht="14.25" spans="1:4">
      <c r="A8" s="127" t="str">
        <f>ADDRESS(2,3,1,FALSE,"[Book1]Sheet1")</f>
        <v>[Book1]Sheet1!R2C3</v>
      </c>
      <c r="B8" s="127" t="str">
        <f>_xlfn.FORMULATEXT(A8)</f>
        <v>=ADDRESS(2,3,1,FALSE,"[Book1]Sheet1")</v>
      </c>
      <c r="C8" s="127" t="s">
        <v>1410</v>
      </c>
      <c r="D8" s="127"/>
    </row>
    <row r="9" ht="14.25" spans="1:4">
      <c r="A9" s="127" t="str">
        <f>ADDRESS(2,3,1,FALSE,"ETSHEET")</f>
        <v>ETSHEET!R2C3</v>
      </c>
      <c r="B9" s="127" t="str">
        <f>_xlfn.FORMULATEXT(A9)</f>
        <v>=ADDRESS(2,3,1,FALSE,"ETSHEET")</v>
      </c>
      <c r="C9" s="127" t="s">
        <v>1411</v>
      </c>
      <c r="D9"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C13" sqref="C13"/>
    </sheetView>
  </sheetViews>
  <sheetFormatPr defaultColWidth="9" defaultRowHeight="13.5" outlineLevelCol="6"/>
  <cols>
    <col min="1" max="1" width="17.625" customWidth="1"/>
    <col min="2" max="2" width="35.125" customWidth="1"/>
    <col min="3" max="3" width="17.25" customWidth="1"/>
    <col min="4" max="4" width="34.75" customWidth="1"/>
    <col min="5" max="5" width="32.375" customWidth="1"/>
    <col min="6" max="6" width="36.25" customWidth="1"/>
    <col min="7" max="7" width="24.5" customWidth="1"/>
  </cols>
  <sheetData>
    <row r="1" ht="26" customHeight="1" spans="1:7">
      <c r="A1" s="2" t="s">
        <v>1412</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2"/>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5.125" customWidth="1"/>
    <col min="3" max="3" width="17.25" customWidth="1"/>
    <col min="4" max="4" width="34.75" customWidth="1"/>
    <col min="5" max="5" width="32.375" customWidth="1"/>
    <col min="6" max="6" width="36.25" customWidth="1"/>
    <col min="7" max="7" width="24.5" customWidth="1"/>
  </cols>
  <sheetData>
    <row r="1" ht="26" customHeight="1" spans="1:7">
      <c r="A1" s="2" t="s">
        <v>1424</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2"/>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5.125" customWidth="1"/>
    <col min="3" max="3" width="17.25" customWidth="1"/>
    <col min="4" max="4" width="34.75" customWidth="1"/>
    <col min="5" max="5" width="32.375" customWidth="1"/>
    <col min="6" max="6" width="36.25" customWidth="1"/>
    <col min="7" max="7" width="24.5" customWidth="1"/>
  </cols>
  <sheetData>
    <row r="1" ht="26" customHeight="1" spans="1:7">
      <c r="A1" s="2" t="s">
        <v>1425</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2"/>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5.125" customWidth="1"/>
    <col min="3" max="3" width="17.25" customWidth="1"/>
    <col min="4" max="4" width="34.75" customWidth="1"/>
    <col min="5" max="5" width="32.375" customWidth="1"/>
    <col min="6" max="6" width="36.25" customWidth="1"/>
    <col min="7" max="7" width="24.5" customWidth="1"/>
  </cols>
  <sheetData>
    <row r="1" ht="26" customHeight="1" spans="1:7">
      <c r="A1" s="2" t="s">
        <v>1426</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35.125" customWidth="1"/>
    <col min="3" max="3" width="17.25" customWidth="1"/>
    <col min="4" max="4" width="34.75" customWidth="1"/>
    <col min="5" max="5" width="32.375" customWidth="1"/>
    <col min="6" max="6" width="36.25" customWidth="1"/>
    <col min="7" max="7" width="24.5" customWidth="1"/>
  </cols>
  <sheetData>
    <row r="1" ht="26" customHeight="1" spans="1:7">
      <c r="A1" s="2" t="s">
        <v>1427</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B3" sqref="B3:D3"/>
    </sheetView>
  </sheetViews>
  <sheetFormatPr defaultColWidth="9" defaultRowHeight="13.5" outlineLevelCol="6"/>
  <cols>
    <col min="1" max="1" width="17.625" customWidth="1"/>
    <col min="2" max="2" width="52.875" customWidth="1"/>
    <col min="3" max="3" width="17.25" customWidth="1"/>
    <col min="4" max="4" width="34.75" customWidth="1"/>
    <col min="5" max="5" width="32.375" customWidth="1"/>
    <col min="6" max="6" width="36.25" customWidth="1"/>
    <col min="7" max="7" width="24.5" customWidth="1"/>
  </cols>
  <sheetData>
    <row r="1" ht="26" customHeight="1" spans="1:7">
      <c r="A1" s="2" t="s">
        <v>1428</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C11" sqref="C11"/>
    </sheetView>
  </sheetViews>
  <sheetFormatPr defaultColWidth="9" defaultRowHeight="13.5" outlineLevelCol="6"/>
  <cols>
    <col min="1" max="1" width="17.625" customWidth="1"/>
    <col min="2" max="2" width="52.875" customWidth="1"/>
    <col min="3" max="3" width="17.25" customWidth="1"/>
    <col min="4" max="4" width="34.75" customWidth="1"/>
    <col min="5" max="5" width="32.375" customWidth="1"/>
    <col min="6" max="6" width="36.25" customWidth="1"/>
    <col min="7" max="7" width="24.5" customWidth="1"/>
  </cols>
  <sheetData>
    <row r="1" ht="26" customHeight="1" spans="1:7">
      <c r="A1" s="2" t="s">
        <v>1429</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52.875" customWidth="1"/>
    <col min="3" max="3" width="17.25" customWidth="1"/>
    <col min="4" max="4" width="34.75" customWidth="1"/>
    <col min="5" max="5" width="32.375" customWidth="1"/>
    <col min="6" max="6" width="36.25" customWidth="1"/>
    <col min="7" max="7" width="24.5" customWidth="1"/>
  </cols>
  <sheetData>
    <row r="1" ht="26" customHeight="1" spans="1:7">
      <c r="A1" s="2" t="s">
        <v>1430</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workbookViewId="0">
      <pane ySplit="2" topLeftCell="A3" activePane="bottomLeft" state="frozen"/>
      <selection/>
      <selection pane="bottomLeft" activeCell="D10" sqref="D10"/>
    </sheetView>
  </sheetViews>
  <sheetFormatPr defaultColWidth="9" defaultRowHeight="13.5" outlineLevelCol="6"/>
  <cols>
    <col min="1" max="1" width="17.625" customWidth="1"/>
    <col min="2" max="2" width="52.875" customWidth="1"/>
    <col min="3" max="3" width="17.25" customWidth="1"/>
    <col min="4" max="4" width="34.75" customWidth="1"/>
    <col min="5" max="5" width="32.375" customWidth="1"/>
    <col min="6" max="6" width="36.25" customWidth="1"/>
    <col min="7" max="7" width="24.5" customWidth="1"/>
  </cols>
  <sheetData>
    <row r="1" ht="26" customHeight="1" spans="1:7">
      <c r="A1" s="2" t="s">
        <v>1431</v>
      </c>
      <c r="B1" s="2"/>
      <c r="C1" s="2"/>
      <c r="D1" s="2"/>
      <c r="E1" s="2"/>
      <c r="F1" s="2"/>
      <c r="G1" s="2"/>
    </row>
    <row r="2" ht="60" customHeight="1" spans="1:7">
      <c r="A2" s="83" t="s">
        <v>1413</v>
      </c>
      <c r="B2" s="84"/>
      <c r="C2" s="84"/>
      <c r="D2" s="84"/>
      <c r="E2" s="84"/>
      <c r="F2" s="84"/>
      <c r="G2" s="84"/>
    </row>
    <row r="3" ht="21" customHeight="1" spans="1:4">
      <c r="A3" s="100" t="s">
        <v>553</v>
      </c>
      <c r="B3" s="101" t="s">
        <v>1414</v>
      </c>
      <c r="C3" s="45"/>
      <c r="D3" s="45"/>
    </row>
    <row r="4" ht="20" customHeight="1" spans="1:4">
      <c r="A4" s="106" t="s">
        <v>6</v>
      </c>
      <c r="B4" s="106" t="s">
        <v>558</v>
      </c>
      <c r="C4" s="106"/>
      <c r="D4" s="106"/>
    </row>
    <row r="5" ht="19" customHeight="1" spans="1:4">
      <c r="A5" s="127" t="s">
        <v>523</v>
      </c>
      <c r="B5" s="127" t="s">
        <v>1415</v>
      </c>
      <c r="C5" s="127"/>
      <c r="D5" s="127"/>
    </row>
    <row r="6" ht="19" customHeight="1" spans="1:4">
      <c r="A6" s="127" t="s">
        <v>525</v>
      </c>
      <c r="B6" s="127" t="s">
        <v>1416</v>
      </c>
      <c r="C6" s="127"/>
      <c r="D6" s="127"/>
    </row>
    <row r="7" ht="19" customHeight="1" spans="1:4">
      <c r="A7" s="127" t="s">
        <v>527</v>
      </c>
      <c r="B7" s="127" t="s">
        <v>1417</v>
      </c>
      <c r="C7" s="127"/>
      <c r="D7" s="127"/>
    </row>
    <row r="8" ht="19" customHeight="1" spans="1:4">
      <c r="A8" s="127" t="s">
        <v>531</v>
      </c>
      <c r="B8" s="127" t="s">
        <v>1418</v>
      </c>
      <c r="C8" s="68"/>
      <c r="D8" s="68"/>
    </row>
    <row r="9" ht="19" customHeight="1" spans="1:4">
      <c r="A9" s="127" t="s">
        <v>533</v>
      </c>
      <c r="B9" s="127" t="s">
        <v>1419</v>
      </c>
      <c r="C9" s="68"/>
      <c r="D9" s="68"/>
    </row>
    <row r="10" ht="19" customHeight="1" spans="1:4">
      <c r="A10" s="127" t="s">
        <v>535</v>
      </c>
      <c r="B10" s="127" t="s">
        <v>1420</v>
      </c>
      <c r="C10" s="68"/>
      <c r="D10" s="68"/>
    </row>
    <row r="11" ht="19" customHeight="1" spans="1:4">
      <c r="A11" s="127" t="s">
        <v>537</v>
      </c>
      <c r="B11" s="127" t="s">
        <v>1421</v>
      </c>
      <c r="C11" s="68"/>
      <c r="D11" s="68"/>
    </row>
    <row r="12" ht="19" customHeight="1" spans="1:4">
      <c r="A12" s="127" t="s">
        <v>541</v>
      </c>
      <c r="B12" s="127" t="s">
        <v>1422</v>
      </c>
      <c r="C12" s="68"/>
      <c r="D12" s="68"/>
    </row>
    <row r="13" ht="19" customHeight="1" spans="1:4">
      <c r="A13" s="127" t="s">
        <v>543</v>
      </c>
      <c r="B13" s="127" t="s">
        <v>1423</v>
      </c>
      <c r="C13" s="68"/>
      <c r="D13" s="68"/>
    </row>
    <row r="17" spans="1:1">
      <c r="A17" s="251"/>
    </row>
    <row r="18" spans="1:1">
      <c r="A18" s="252"/>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61.125" customWidth="1"/>
    <col min="3" max="3" width="38.25" customWidth="1"/>
    <col min="4" max="4" width="34.75" customWidth="1"/>
    <col min="5" max="5" width="32.375" customWidth="1"/>
    <col min="6" max="6" width="36.25" customWidth="1"/>
    <col min="7" max="7" width="24.5" customWidth="1"/>
  </cols>
  <sheetData>
    <row r="1" ht="18" spans="1:7">
      <c r="A1" s="2" t="s">
        <v>1432</v>
      </c>
      <c r="B1" s="2"/>
      <c r="C1" s="2"/>
      <c r="D1" s="2"/>
      <c r="E1" s="2"/>
      <c r="F1" s="2"/>
      <c r="G1" s="2"/>
    </row>
    <row r="2" ht="14.25" spans="1:7">
      <c r="A2" s="83" t="s">
        <v>1433</v>
      </c>
      <c r="B2" s="84"/>
      <c r="C2" s="84"/>
      <c r="D2" s="84"/>
      <c r="E2" s="84"/>
      <c r="F2" s="84"/>
      <c r="G2" s="84"/>
    </row>
    <row r="3" ht="18" spans="1:4">
      <c r="A3" s="100" t="s">
        <v>553</v>
      </c>
      <c r="B3" s="101"/>
      <c r="C3" s="45"/>
      <c r="D3" s="45"/>
    </row>
    <row r="4" ht="16.5" spans="1:4">
      <c r="A4" s="106" t="s">
        <v>1434</v>
      </c>
      <c r="B4" s="106" t="s">
        <v>1435</v>
      </c>
      <c r="C4" s="106" t="s">
        <v>590</v>
      </c>
      <c r="D4" s="106" t="s">
        <v>560</v>
      </c>
    </row>
    <row r="5" ht="14.25" spans="1:4">
      <c r="A5" s="127" t="s">
        <v>1436</v>
      </c>
      <c r="B5" s="135" t="s">
        <v>1437</v>
      </c>
      <c r="C5" s="127"/>
      <c r="D5" s="127"/>
    </row>
    <row r="6" ht="14.25" spans="1:4">
      <c r="A6" s="127" t="s">
        <v>1438</v>
      </c>
      <c r="B6" s="135" t="s">
        <v>1439</v>
      </c>
      <c r="C6" s="127"/>
      <c r="D6" s="127"/>
    </row>
    <row r="7" ht="14.25" spans="1:4">
      <c r="A7" s="127" t="s">
        <v>1440</v>
      </c>
      <c r="B7" s="135" t="s">
        <v>1441</v>
      </c>
      <c r="C7" s="127"/>
      <c r="D7" s="127"/>
    </row>
    <row r="8" ht="14.25" spans="1:4">
      <c r="A8" s="127" t="s">
        <v>1442</v>
      </c>
      <c r="B8" s="135" t="s">
        <v>1443</v>
      </c>
      <c r="C8" s="127"/>
      <c r="D8" s="127"/>
    </row>
    <row r="9" ht="28.5" spans="1:4">
      <c r="A9" s="127" t="s">
        <v>1444</v>
      </c>
      <c r="B9" s="135" t="s">
        <v>1445</v>
      </c>
      <c r="C9" s="135" t="str">
        <f ca="1">CELL("filename")</f>
        <v>C:\Users\Administrator\Desktop\许守国店铺\034函数大全\[表格公式（函数）大全1.xlsx]首页</v>
      </c>
      <c r="D9" s="127" t="str">
        <f ca="1">_xlfn.FORMULATEXT(C9)</f>
        <v>=CELL("filename")</v>
      </c>
    </row>
    <row r="10" ht="42.75" spans="1:4">
      <c r="A10" s="127" t="s">
        <v>1446</v>
      </c>
      <c r="B10" s="135" t="s">
        <v>1447</v>
      </c>
      <c r="C10" s="127"/>
      <c r="D10" s="127"/>
    </row>
    <row r="11" ht="14.25" spans="1:4">
      <c r="A11" s="127" t="s">
        <v>1448</v>
      </c>
      <c r="B11" s="135" t="s">
        <v>1449</v>
      </c>
      <c r="C11" s="127"/>
      <c r="D11" s="127"/>
    </row>
    <row r="12" ht="42.75" spans="1:4">
      <c r="A12" s="127" t="s">
        <v>1450</v>
      </c>
      <c r="B12" s="135" t="s">
        <v>1451</v>
      </c>
      <c r="C12" s="127"/>
      <c r="D12" s="127"/>
    </row>
    <row r="13" ht="14.25" spans="1:4">
      <c r="A13" s="127" t="s">
        <v>1452</v>
      </c>
      <c r="B13" s="135" t="s">
        <v>1453</v>
      </c>
      <c r="C13" s="127"/>
      <c r="D13" s="127"/>
    </row>
    <row r="14" ht="14.25" spans="1:4">
      <c r="A14" s="127" t="s">
        <v>1454</v>
      </c>
      <c r="B14" s="135" t="s">
        <v>1455</v>
      </c>
      <c r="C14" s="127"/>
      <c r="D14" s="127"/>
    </row>
    <row r="15" ht="28.5" spans="1:4">
      <c r="A15" s="127" t="s">
        <v>1456</v>
      </c>
      <c r="B15" s="135" t="s">
        <v>1457</v>
      </c>
      <c r="C15" s="127"/>
      <c r="D15" s="127"/>
    </row>
    <row r="16" ht="14.25" spans="1:4">
      <c r="A16" s="127" t="s">
        <v>1458</v>
      </c>
      <c r="B16" s="135" t="s">
        <v>1459</v>
      </c>
      <c r="C16" s="127"/>
      <c r="D16" s="127"/>
    </row>
    <row r="17" ht="14.25" spans="1:4">
      <c r="A17" s="127"/>
      <c r="B17" s="127"/>
      <c r="C17" s="127"/>
      <c r="D17"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1460</v>
      </c>
      <c r="B1" s="2"/>
      <c r="C1" s="2"/>
      <c r="D1" s="2"/>
      <c r="E1" s="2"/>
      <c r="F1" s="2"/>
      <c r="G1" s="2"/>
    </row>
    <row r="2" ht="72" customHeight="1" spans="1:7">
      <c r="A2" s="83" t="s">
        <v>1461</v>
      </c>
      <c r="B2" s="84"/>
      <c r="C2" s="84"/>
      <c r="D2" s="84"/>
      <c r="E2" s="84"/>
      <c r="F2" s="84"/>
      <c r="G2" s="84"/>
    </row>
    <row r="3" ht="21" customHeight="1" spans="1:4">
      <c r="A3" s="100" t="s">
        <v>553</v>
      </c>
      <c r="B3" s="101"/>
      <c r="C3" s="45"/>
      <c r="D3" s="45"/>
    </row>
    <row r="4" ht="20" customHeight="1" spans="1:4">
      <c r="A4" s="106"/>
      <c r="B4" s="106"/>
      <c r="C4" s="106"/>
      <c r="D4" s="106"/>
    </row>
    <row r="5" ht="19" customHeight="1" spans="1:4">
      <c r="A5" s="127"/>
      <c r="B5" s="127"/>
      <c r="C5" s="127"/>
      <c r="D5" s="127"/>
    </row>
    <row r="6" ht="19" customHeight="1" spans="1:4">
      <c r="A6" s="127"/>
      <c r="B6" s="127"/>
      <c r="C6" s="127"/>
      <c r="D6" s="127"/>
    </row>
    <row r="7" ht="19" customHeight="1" spans="1:4">
      <c r="A7" s="127"/>
      <c r="B7" s="127"/>
      <c r="C7" s="127"/>
      <c r="D7" s="127"/>
    </row>
    <row r="8" spans="1:1">
      <c r="A8" s="28"/>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workbookViewId="0">
      <pane ySplit="2" topLeftCell="A3" activePane="bottomLeft" state="frozen"/>
      <selection/>
      <selection pane="bottomLeft" activeCell="B11" sqref="B11"/>
    </sheetView>
  </sheetViews>
  <sheetFormatPr defaultColWidth="9" defaultRowHeight="13.5" outlineLevelCol="6"/>
  <cols>
    <col min="1" max="1" width="11.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1462</v>
      </c>
      <c r="B1" s="2"/>
      <c r="C1" s="2"/>
      <c r="D1" s="2"/>
      <c r="E1" s="2"/>
      <c r="F1" s="2"/>
      <c r="G1" s="2"/>
    </row>
    <row r="2" ht="88" customHeight="1" spans="1:7">
      <c r="A2" s="83" t="s">
        <v>1463</v>
      </c>
      <c r="B2" s="84"/>
      <c r="C2" s="84"/>
      <c r="D2" s="84"/>
      <c r="E2" s="84"/>
      <c r="F2" s="84"/>
      <c r="G2" s="84"/>
    </row>
    <row r="3" ht="21" customHeight="1" spans="1:4">
      <c r="A3" s="100" t="s">
        <v>553</v>
      </c>
      <c r="B3" s="101"/>
      <c r="C3" s="45"/>
      <c r="D3" s="45"/>
    </row>
    <row r="4" ht="20" customHeight="1" spans="1:4">
      <c r="A4" s="106" t="s">
        <v>5</v>
      </c>
      <c r="B4" s="106" t="s">
        <v>558</v>
      </c>
      <c r="C4" s="106" t="s">
        <v>590</v>
      </c>
      <c r="D4" s="106" t="s">
        <v>560</v>
      </c>
    </row>
    <row r="5" ht="19" customHeight="1" spans="1:4">
      <c r="A5" s="127">
        <v>1</v>
      </c>
      <c r="B5" s="135" t="s">
        <v>1464</v>
      </c>
      <c r="C5" s="135">
        <f>VALUE("$1,000")</f>
        <v>1000</v>
      </c>
      <c r="D5" s="135" t="str">
        <f>_xlfn.FORMULATEXT(C5)</f>
        <v>=VALUE("$1,000")</v>
      </c>
    </row>
    <row r="6" ht="27" customHeight="1" spans="1:4">
      <c r="A6" s="127">
        <v>2</v>
      </c>
      <c r="B6" s="135" t="s">
        <v>1465</v>
      </c>
      <c r="C6" s="135">
        <f>VALUE("16:48:00")-VALUE("12:00:00")</f>
        <v>0.2</v>
      </c>
      <c r="D6" s="135" t="str">
        <f>_xlfn.FORMULATEXT(C6)</f>
        <v>=VALUE("16:48:00")-VALUE("12:00:00")</v>
      </c>
    </row>
    <row r="7" ht="27" customHeight="1" spans="1:4">
      <c r="A7" s="68" t="s">
        <v>1466</v>
      </c>
      <c r="B7" s="68"/>
      <c r="C7" s="68"/>
      <c r="D7" s="68"/>
    </row>
    <row r="11" spans="3:3">
      <c r="C11" s="250"/>
    </row>
  </sheetData>
  <mergeCells count="4">
    <mergeCell ref="A1:G1"/>
    <mergeCell ref="A2:G2"/>
    <mergeCell ref="B3:D3"/>
    <mergeCell ref="A7:D7"/>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
  <sheetViews>
    <sheetView workbookViewId="0">
      <pane ySplit="2" topLeftCell="A3" activePane="bottomLeft" state="frozen"/>
      <selection/>
      <selection pane="bottomLeft" activeCell="B8" sqref="B8"/>
    </sheetView>
  </sheetViews>
  <sheetFormatPr defaultColWidth="9" defaultRowHeight="13.5" outlineLevelCol="6"/>
  <cols>
    <col min="1" max="1" width="17.625" customWidth="1"/>
    <col min="2" max="2" width="47.125" customWidth="1"/>
    <col min="3" max="3" width="17.25" customWidth="1"/>
    <col min="4" max="4" width="34.75" customWidth="1"/>
    <col min="5" max="5" width="32.375" customWidth="1"/>
    <col min="6" max="6" width="36.25" customWidth="1"/>
    <col min="7" max="7" width="24.5" customWidth="1"/>
  </cols>
  <sheetData>
    <row r="1" ht="26" customHeight="1" spans="1:7">
      <c r="A1" s="2" t="s">
        <v>1467</v>
      </c>
      <c r="B1" s="2"/>
      <c r="C1" s="2"/>
      <c r="D1" s="2"/>
      <c r="E1" s="2"/>
      <c r="F1" s="2"/>
      <c r="G1" s="2"/>
    </row>
    <row r="2" ht="58" customHeight="1" spans="1:7">
      <c r="A2" s="83" t="s">
        <v>1468</v>
      </c>
      <c r="B2" s="84"/>
      <c r="C2" s="84"/>
      <c r="D2" s="84"/>
      <c r="E2" s="84"/>
      <c r="F2" s="84"/>
      <c r="G2" s="84"/>
    </row>
    <row r="3" ht="21" customHeight="1" spans="1:4">
      <c r="A3" s="100" t="s">
        <v>553</v>
      </c>
      <c r="B3" s="101"/>
      <c r="C3" s="45"/>
      <c r="D3" s="45"/>
    </row>
    <row r="4" ht="20" customHeight="1" spans="1:4">
      <c r="A4" s="106" t="s">
        <v>582</v>
      </c>
      <c r="B4" s="106" t="s">
        <v>558</v>
      </c>
      <c r="C4" s="106" t="s">
        <v>590</v>
      </c>
      <c r="D4" s="106" t="s">
        <v>560</v>
      </c>
    </row>
    <row r="5" ht="19" customHeight="1" spans="1:5">
      <c r="A5" s="127" t="s">
        <v>1469</v>
      </c>
      <c r="B5" s="127" t="s">
        <v>1470</v>
      </c>
      <c r="C5" s="127" t="str">
        <f>UPPER(A5)</f>
        <v>MOVIES艺术</v>
      </c>
      <c r="D5" s="127" t="str">
        <f>_xlfn.FORMULATEXT(C5)</f>
        <v>=UPPER(A5)</v>
      </c>
      <c r="E5" s="7"/>
    </row>
    <row r="6" ht="19" customHeight="1" spans="1:5">
      <c r="A6" s="127" t="s">
        <v>1471</v>
      </c>
      <c r="B6" s="127" t="s">
        <v>1472</v>
      </c>
      <c r="C6" s="127" t="str">
        <f>UPPER(A6)</f>
        <v>JAVA技术</v>
      </c>
      <c r="D6" s="127" t="str">
        <f>_xlfn.FORMULATEXT(C6)</f>
        <v>=UPPER(A6)</v>
      </c>
      <c r="E6" s="7"/>
    </row>
    <row r="7" ht="16.5" spans="1:5">
      <c r="A7" s="7"/>
      <c r="B7" s="7"/>
      <c r="C7" s="7"/>
      <c r="D7" s="7"/>
      <c r="E7" s="7"/>
    </row>
    <row r="8" ht="16.5" spans="1:5">
      <c r="A8" s="7"/>
      <c r="B8" s="7"/>
      <c r="C8" s="7"/>
      <c r="D8" s="7"/>
      <c r="E8" s="7"/>
    </row>
    <row r="9" ht="16.5" spans="1:5">
      <c r="A9" s="7"/>
      <c r="B9" s="7"/>
      <c r="C9" s="7"/>
      <c r="D9" s="7"/>
      <c r="E9" s="7"/>
    </row>
    <row r="10" ht="16.5" spans="1:5">
      <c r="A10" s="7"/>
      <c r="B10" s="7"/>
      <c r="C10" s="7"/>
      <c r="D10" s="7"/>
      <c r="E10" s="7"/>
    </row>
    <row r="11" ht="16.5" spans="1:5">
      <c r="A11" s="7"/>
      <c r="B11" s="7"/>
      <c r="C11" s="7"/>
      <c r="D11" s="7"/>
      <c r="E11" s="7"/>
    </row>
    <row r="12" ht="16.5" spans="1:5">
      <c r="A12" s="7"/>
      <c r="B12" s="7"/>
      <c r="C12" s="7"/>
      <c r="D12" s="7"/>
      <c r="E12" s="7"/>
    </row>
    <row r="13" ht="16.5" spans="1:5">
      <c r="A13" s="7"/>
      <c r="B13" s="7"/>
      <c r="C13" s="7"/>
      <c r="D13" s="7"/>
      <c r="E13" s="7"/>
    </row>
    <row r="14" ht="16.5" spans="1:5">
      <c r="A14" s="7"/>
      <c r="B14" s="7"/>
      <c r="C14" s="7"/>
      <c r="D14" s="7"/>
      <c r="E14" s="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
  <sheetViews>
    <sheetView workbookViewId="0">
      <pane ySplit="2" topLeftCell="A3" activePane="bottomLeft" state="frozen"/>
      <selection/>
      <selection pane="bottomLeft" activeCell="C10" sqref="C10"/>
    </sheetView>
  </sheetViews>
  <sheetFormatPr defaultColWidth="9" defaultRowHeight="13.5" outlineLevelRow="7"/>
  <cols>
    <col min="1" max="2" width="17.625" customWidth="1"/>
    <col min="3" max="3" width="38.25" customWidth="1"/>
    <col min="4" max="5" width="14.25" customWidth="1"/>
    <col min="6" max="6" width="23.875" customWidth="1"/>
    <col min="7" max="7" width="32.375" customWidth="1"/>
    <col min="8" max="8" width="36.25" customWidth="1"/>
    <col min="9" max="9" width="24.5" customWidth="1"/>
  </cols>
  <sheetData>
    <row r="1" ht="26" customHeight="1" spans="1:9">
      <c r="A1" s="2" t="s">
        <v>1473</v>
      </c>
      <c r="B1" s="2"/>
      <c r="C1" s="2"/>
      <c r="D1" s="2"/>
      <c r="E1" s="2"/>
      <c r="F1" s="2"/>
      <c r="G1" s="2"/>
      <c r="H1" s="2"/>
      <c r="I1" s="2"/>
    </row>
    <row r="2" ht="63" customHeight="1" spans="1:9">
      <c r="A2" s="83" t="s">
        <v>1474</v>
      </c>
      <c r="B2" s="83"/>
      <c r="C2" s="84"/>
      <c r="D2" s="84"/>
      <c r="E2" s="84"/>
      <c r="F2" s="84"/>
      <c r="G2" s="84"/>
      <c r="H2" s="84"/>
      <c r="I2" s="84"/>
    </row>
    <row r="3" ht="21" customHeight="1" spans="1:6">
      <c r="A3" s="100" t="s">
        <v>553</v>
      </c>
      <c r="B3" s="100"/>
      <c r="C3" s="101"/>
      <c r="D3" s="45"/>
      <c r="E3" s="45"/>
      <c r="F3" s="45"/>
    </row>
    <row r="4" ht="20" customHeight="1" spans="1:6">
      <c r="A4" s="106" t="s">
        <v>582</v>
      </c>
      <c r="B4" s="106" t="s">
        <v>1475</v>
      </c>
      <c r="C4" s="106" t="s">
        <v>558</v>
      </c>
      <c r="D4" s="106" t="s">
        <v>590</v>
      </c>
      <c r="E4" s="106" t="s">
        <v>1475</v>
      </c>
      <c r="F4" s="106" t="s">
        <v>560</v>
      </c>
    </row>
    <row r="5" ht="19" customHeight="1" spans="1:6">
      <c r="A5" s="127" t="s">
        <v>1476</v>
      </c>
      <c r="B5" s="127">
        <f>LEN(A5)</f>
        <v>7</v>
      </c>
      <c r="C5" s="127" t="s">
        <v>1477</v>
      </c>
      <c r="D5" s="127" t="str">
        <f>TRIM(A5)</f>
        <v>荧 光 点 点</v>
      </c>
      <c r="E5" s="127">
        <f>LEN(D5)</f>
        <v>7</v>
      </c>
      <c r="F5" s="127" t="str">
        <f t="shared" ref="F5:F7" si="0">_xlfn.FORMULATEXT(D5)</f>
        <v>=TRIM(A5)</v>
      </c>
    </row>
    <row r="6" ht="19" customHeight="1" spans="1:7">
      <c r="A6" s="127" t="s">
        <v>1478</v>
      </c>
      <c r="B6" s="127">
        <f>LEN(A6)</f>
        <v>6</v>
      </c>
      <c r="C6" s="127" t="s">
        <v>1479</v>
      </c>
      <c r="D6" s="127" t="str">
        <f>TRIM(A6)</f>
        <v>开花</v>
      </c>
      <c r="E6" s="127">
        <f>LEN(D6)</f>
        <v>2</v>
      </c>
      <c r="F6" s="127" t="str">
        <f t="shared" si="0"/>
        <v>=TRIM(A6)</v>
      </c>
      <c r="G6">
        <f>LEN(D6)</f>
        <v>2</v>
      </c>
    </row>
    <row r="7" ht="19" customHeight="1" spans="1:6">
      <c r="A7" s="127" t="s">
        <v>1480</v>
      </c>
      <c r="B7" s="127">
        <f>LEN(A7)</f>
        <v>5</v>
      </c>
      <c r="C7" s="127" t="s">
        <v>1481</v>
      </c>
      <c r="D7" s="127" t="str">
        <f>TRIM(A7)</f>
        <v>开 花</v>
      </c>
      <c r="E7" s="127">
        <f>LEN(D7)</f>
        <v>3</v>
      </c>
      <c r="F7" s="127" t="str">
        <f t="shared" si="0"/>
        <v>=TRIM(A7)</v>
      </c>
    </row>
    <row r="8" spans="1:2">
      <c r="A8" s="28"/>
      <c r="B8" s="28"/>
    </row>
  </sheetData>
  <mergeCells count="3">
    <mergeCell ref="A1:I1"/>
    <mergeCell ref="A2:I2"/>
    <mergeCell ref="C3:F3"/>
  </mergeCells>
  <dataValidations count="1">
    <dataValidation type="list" allowBlank="1" showInputMessage="1" showErrorMessage="1" sqref="C2 D2 E2">
      <formula1>函数!$C$1:$C$9</formula1>
    </dataValidation>
  </dataValidations>
  <pageMargins left="0.75" right="0.75" top="1" bottom="1" header="0.511805555555556" footer="0.511805555555556"/>
  <headerFooter/>
  <drawing r:id="rId1"/>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showGridLines="0" workbookViewId="0">
      <pane ySplit="2" topLeftCell="A3" activePane="bottomLeft" state="frozen"/>
      <selection/>
      <selection pane="bottomLeft" activeCell="L17" sqref="L17"/>
    </sheetView>
  </sheetViews>
  <sheetFormatPr defaultColWidth="9" defaultRowHeight="13.5" outlineLevelCol="6"/>
  <cols>
    <col min="1" max="1" width="7.375" style="238" customWidth="1"/>
    <col min="2" max="2" width="17.625" style="238" customWidth="1"/>
    <col min="3" max="3" width="29.5" style="238" customWidth="1"/>
    <col min="4" max="4" width="17.25" style="238" customWidth="1"/>
    <col min="5" max="5" width="18.125" style="238" customWidth="1"/>
    <col min="6" max="6" width="43.25" style="239" customWidth="1"/>
    <col min="7" max="16384" width="9" style="238"/>
  </cols>
  <sheetData>
    <row r="1" customFormat="1" ht="26" customHeight="1" spans="1:7">
      <c r="A1" s="2" t="s">
        <v>1482</v>
      </c>
      <c r="B1" s="2"/>
      <c r="C1" s="2"/>
      <c r="D1" s="2"/>
      <c r="E1" s="2"/>
      <c r="F1" s="2"/>
      <c r="G1" s="2"/>
    </row>
    <row r="2" customFormat="1" ht="10" customHeight="1" spans="1:7">
      <c r="A2" s="83"/>
      <c r="B2" s="84"/>
      <c r="C2" s="84"/>
      <c r="D2" s="84"/>
      <c r="E2" s="84"/>
      <c r="F2" s="84"/>
      <c r="G2" s="84"/>
    </row>
    <row r="3" s="238" customFormat="1" spans="6:6">
      <c r="F3" s="239"/>
    </row>
    <row r="4" s="238" customFormat="1" spans="6:6">
      <c r="F4" s="239"/>
    </row>
    <row r="5" s="238" customFormat="1" spans="6:6">
      <c r="F5" s="239"/>
    </row>
    <row r="6" s="238" customFormat="1" spans="6:6">
      <c r="F6" s="239"/>
    </row>
    <row r="7" s="238" customFormat="1" spans="6:6">
      <c r="F7" s="239"/>
    </row>
    <row r="8" s="238" customFormat="1" spans="6:6">
      <c r="F8" s="239"/>
    </row>
    <row r="9" s="238" customFormat="1" spans="6:6">
      <c r="F9" s="239"/>
    </row>
    <row r="10" s="238" customFormat="1" spans="6:6">
      <c r="F10" s="239"/>
    </row>
    <row r="11" s="238" customFormat="1" spans="5:6">
      <c r="E11" s="239"/>
      <c r="F11" s="239"/>
    </row>
    <row r="12" s="238" customFormat="1" spans="6:6">
      <c r="F12" s="239"/>
    </row>
    <row r="13" s="238" customFormat="1" spans="6:6">
      <c r="F13" s="239"/>
    </row>
    <row r="14" s="238" customFormat="1" spans="6:6">
      <c r="F14" s="239"/>
    </row>
    <row r="15" s="238" customFormat="1" spans="6:6">
      <c r="F15" s="239"/>
    </row>
    <row r="16" s="238" customFormat="1" spans="6:6">
      <c r="F16" s="239"/>
    </row>
    <row r="17" s="238" customFormat="1" spans="6:6">
      <c r="F17" s="239"/>
    </row>
    <row r="18" s="238" customFormat="1" spans="6:6">
      <c r="F18" s="239"/>
    </row>
    <row r="19" s="238" customFormat="1" ht="18" spans="1:6">
      <c r="A19" s="240" t="s">
        <v>5</v>
      </c>
      <c r="B19" s="240" t="s">
        <v>582</v>
      </c>
      <c r="C19" s="240" t="s">
        <v>560</v>
      </c>
      <c r="D19" s="240" t="s">
        <v>1483</v>
      </c>
      <c r="E19" s="240" t="s">
        <v>1484</v>
      </c>
      <c r="F19" s="241" t="s">
        <v>558</v>
      </c>
    </row>
    <row r="20" s="238" customFormat="1" ht="18" spans="1:6">
      <c r="A20" s="242">
        <v>1</v>
      </c>
      <c r="B20" s="242">
        <v>1238.1244</v>
      </c>
      <c r="C20" s="242" t="s">
        <v>1485</v>
      </c>
      <c r="D20" s="242" t="s">
        <v>1486</v>
      </c>
      <c r="E20" s="242" t="str">
        <f>TEXT(B20,"G/通用格式")</f>
        <v>1238.124</v>
      </c>
      <c r="F20" s="243" t="s">
        <v>1487</v>
      </c>
    </row>
    <row r="21" s="238" customFormat="1" ht="18" spans="1:6">
      <c r="A21" s="242">
        <v>2</v>
      </c>
      <c r="B21" s="242">
        <v>12345679.1244</v>
      </c>
      <c r="C21" s="242" t="s">
        <v>1488</v>
      </c>
      <c r="D21" s="242">
        <v>0</v>
      </c>
      <c r="E21" s="242" t="str">
        <f>TEXT(B21,0)</f>
        <v>12345679</v>
      </c>
      <c r="F21" s="244" t="s">
        <v>1489</v>
      </c>
    </row>
    <row r="22" s="238" customFormat="1" ht="18" spans="1:6">
      <c r="A22" s="242">
        <v>3</v>
      </c>
      <c r="B22" s="242">
        <v>15</v>
      </c>
      <c r="C22" s="242" t="s">
        <v>1490</v>
      </c>
      <c r="D22" s="242" t="s">
        <v>1491</v>
      </c>
      <c r="E22" s="242" t="str">
        <f>TEXT(B22,"0000")</f>
        <v>0015</v>
      </c>
      <c r="F22" s="244" t="s">
        <v>1492</v>
      </c>
    </row>
    <row r="23" s="238" customFormat="1" ht="18" spans="1:6">
      <c r="A23" s="242">
        <v>4</v>
      </c>
      <c r="B23" s="242" t="s">
        <v>1493</v>
      </c>
      <c r="C23" s="242" t="s">
        <v>1494</v>
      </c>
      <c r="D23" s="242" t="s">
        <v>1495</v>
      </c>
      <c r="E23" s="242" t="str">
        <f>TEXT(B23,"宇宙第一@")</f>
        <v>宇宙第一张三</v>
      </c>
      <c r="F23" s="244" t="s">
        <v>1496</v>
      </c>
    </row>
    <row r="24" s="238" customFormat="1" ht="18" spans="1:6">
      <c r="A24" s="242">
        <v>5</v>
      </c>
      <c r="B24" s="245">
        <v>43223</v>
      </c>
      <c r="C24" s="242" t="s">
        <v>1497</v>
      </c>
      <c r="D24" s="242" t="s">
        <v>1498</v>
      </c>
      <c r="E24" s="246" t="str">
        <f>TEXT(B24,"yyyymmdd")</f>
        <v>20180503</v>
      </c>
      <c r="F24" s="244" t="s">
        <v>1499</v>
      </c>
    </row>
    <row r="25" s="238" customFormat="1" ht="18" spans="1:6">
      <c r="A25" s="242">
        <v>6</v>
      </c>
      <c r="B25" s="247">
        <v>43255</v>
      </c>
      <c r="C25" s="242" t="s">
        <v>1500</v>
      </c>
      <c r="D25" s="242" t="s">
        <v>1501</v>
      </c>
      <c r="E25" s="246" t="str">
        <f>TEXT(B25,"yyyy年m月d日")</f>
        <v>2018年6月4日</v>
      </c>
      <c r="F25" s="244" t="s">
        <v>1502</v>
      </c>
    </row>
    <row r="26" s="238" customFormat="1" ht="18" spans="1:6">
      <c r="A26" s="242">
        <v>7</v>
      </c>
      <c r="B26" s="245">
        <v>43224</v>
      </c>
      <c r="C26" s="242" t="s">
        <v>1503</v>
      </c>
      <c r="D26" s="242" t="s">
        <v>1504</v>
      </c>
      <c r="E26" s="246" t="str">
        <f>TEXT(B26,"ddd")</f>
        <v>Fri</v>
      </c>
      <c r="F26" s="244" t="s">
        <v>1505</v>
      </c>
    </row>
    <row r="27" s="238" customFormat="1" ht="18" spans="1:6">
      <c r="A27" s="242">
        <v>8</v>
      </c>
      <c r="B27" s="245">
        <v>43225</v>
      </c>
      <c r="C27" s="242" t="s">
        <v>1506</v>
      </c>
      <c r="D27" s="242" t="s">
        <v>1507</v>
      </c>
      <c r="E27" s="246" t="str">
        <f>TEXT(B27,"dddd")</f>
        <v>Saturday</v>
      </c>
      <c r="F27" s="244" t="s">
        <v>1508</v>
      </c>
    </row>
    <row r="28" s="238" customFormat="1" ht="18" spans="1:6">
      <c r="A28" s="242">
        <v>9</v>
      </c>
      <c r="B28" s="245">
        <v>43228</v>
      </c>
      <c r="C28" s="242" t="s">
        <v>1509</v>
      </c>
      <c r="D28" s="242" t="s">
        <v>1510</v>
      </c>
      <c r="E28" s="246" t="str">
        <f>TEXT(B28,"aaa")</f>
        <v>二</v>
      </c>
      <c r="F28" s="244" t="s">
        <v>1511</v>
      </c>
    </row>
    <row r="29" s="238" customFormat="1" ht="18" spans="1:6">
      <c r="A29" s="242">
        <v>10</v>
      </c>
      <c r="B29" s="245">
        <v>43229</v>
      </c>
      <c r="C29" s="242" t="s">
        <v>1512</v>
      </c>
      <c r="D29" s="242" t="s">
        <v>1513</v>
      </c>
      <c r="E29" s="246" t="str">
        <f>TEXT(B29,"aaaa")</f>
        <v>星期三</v>
      </c>
      <c r="F29" s="244" t="s">
        <v>1514</v>
      </c>
    </row>
    <row r="30" s="238" customFormat="1" ht="18" spans="1:6">
      <c r="A30" s="242">
        <v>11</v>
      </c>
      <c r="B30" s="245">
        <v>43230</v>
      </c>
      <c r="C30" s="242" t="s">
        <v>1515</v>
      </c>
      <c r="D30" s="242" t="s">
        <v>1516</v>
      </c>
      <c r="E30" s="246" t="str">
        <f>TEXT(B30,"mm")</f>
        <v>05</v>
      </c>
      <c r="F30" s="244" t="s">
        <v>1517</v>
      </c>
    </row>
    <row r="31" s="238" customFormat="1" ht="18" spans="1:6">
      <c r="A31" s="242">
        <v>12</v>
      </c>
      <c r="B31" s="245">
        <v>43323</v>
      </c>
      <c r="C31" s="242" t="s">
        <v>1518</v>
      </c>
      <c r="D31" s="242" t="s">
        <v>1519</v>
      </c>
      <c r="E31" s="246" t="str">
        <f>TEXT(B31,"mmm")</f>
        <v>Aug</v>
      </c>
      <c r="F31" s="244" t="s">
        <v>1520</v>
      </c>
    </row>
    <row r="32" s="238" customFormat="1" ht="18" spans="1:6">
      <c r="A32" s="242">
        <v>13</v>
      </c>
      <c r="B32" s="245">
        <v>43324</v>
      </c>
      <c r="C32" s="242" t="s">
        <v>1521</v>
      </c>
      <c r="D32" s="242" t="s">
        <v>1522</v>
      </c>
      <c r="E32" s="246" t="str">
        <f>TEXT(B32,"mmmm")</f>
        <v>August</v>
      </c>
      <c r="F32" s="244"/>
    </row>
    <row r="33" s="238" customFormat="1" ht="18" spans="1:6">
      <c r="A33" s="242">
        <v>14</v>
      </c>
      <c r="B33" s="245">
        <v>43325</v>
      </c>
      <c r="C33" s="242" t="s">
        <v>1523</v>
      </c>
      <c r="D33" s="242" t="s">
        <v>1524</v>
      </c>
      <c r="E33" s="246" t="str">
        <f>TEXT(B33,"mmmmm")</f>
        <v>A</v>
      </c>
      <c r="F33" s="244" t="s">
        <v>1525</v>
      </c>
    </row>
    <row r="34" s="238" customFormat="1" ht="18" spans="1:6">
      <c r="A34" s="242">
        <v>15</v>
      </c>
      <c r="B34" s="245">
        <v>43326</v>
      </c>
      <c r="C34" s="242" t="s">
        <v>1526</v>
      </c>
      <c r="D34" s="242" t="s">
        <v>1527</v>
      </c>
      <c r="E34" s="246" t="str">
        <f>TEXT(B34,"m")</f>
        <v>8</v>
      </c>
      <c r="F34" s="244" t="s">
        <v>1528</v>
      </c>
    </row>
    <row r="35" s="238" customFormat="1" ht="18" spans="1:6">
      <c r="A35" s="242">
        <v>16</v>
      </c>
      <c r="B35" s="242"/>
      <c r="C35" s="242"/>
      <c r="D35" s="242"/>
      <c r="E35" s="242"/>
      <c r="F35" s="244"/>
    </row>
    <row r="36" s="238" customFormat="1" ht="18" spans="1:6">
      <c r="A36" s="242">
        <v>17</v>
      </c>
      <c r="B36" s="242"/>
      <c r="C36" s="242"/>
      <c r="D36" s="242"/>
      <c r="E36" s="242"/>
      <c r="F36" s="244"/>
    </row>
    <row r="37" s="238" customFormat="1" ht="18" spans="1:6">
      <c r="A37" s="242">
        <v>18</v>
      </c>
      <c r="B37" s="242"/>
      <c r="C37" s="242"/>
      <c r="D37" s="242"/>
      <c r="E37" s="242"/>
      <c r="F37" s="244"/>
    </row>
    <row r="38" s="238" customFormat="1" ht="18" spans="1:6">
      <c r="A38" s="242">
        <v>19</v>
      </c>
      <c r="B38" s="242"/>
      <c r="C38" s="242"/>
      <c r="D38" s="242"/>
      <c r="E38" s="242"/>
      <c r="F38" s="244"/>
    </row>
    <row r="39" s="238" customFormat="1" ht="18" spans="1:6">
      <c r="A39" s="242"/>
      <c r="B39" s="242"/>
      <c r="C39" s="242"/>
      <c r="D39" s="242"/>
      <c r="E39" s="242"/>
      <c r="F39" s="244"/>
    </row>
    <row r="40" s="238" customFormat="1" ht="18" spans="1:6">
      <c r="A40" s="242"/>
      <c r="B40" s="242"/>
      <c r="C40" s="242"/>
      <c r="D40" s="242"/>
      <c r="E40" s="242"/>
      <c r="F40" s="244"/>
    </row>
    <row r="41" s="238" customFormat="1" ht="18" spans="1:6">
      <c r="A41" s="242"/>
      <c r="B41" s="242"/>
      <c r="C41" s="242"/>
      <c r="D41" s="242"/>
      <c r="E41" s="242"/>
      <c r="F41" s="244"/>
    </row>
    <row r="42" s="238" customFormat="1" ht="18" spans="1:6">
      <c r="A42" s="242"/>
      <c r="B42" s="242"/>
      <c r="C42" s="242"/>
      <c r="D42" s="242"/>
      <c r="E42" s="242"/>
      <c r="F42" s="244"/>
    </row>
    <row r="43" s="238" customFormat="1" ht="18" spans="1:6">
      <c r="A43" s="242"/>
      <c r="B43" s="242"/>
      <c r="C43" s="242"/>
      <c r="D43" s="242"/>
      <c r="E43" s="242"/>
      <c r="F43" s="244"/>
    </row>
    <row r="44" s="238" customFormat="1" ht="18" spans="1:6">
      <c r="A44" s="248"/>
      <c r="B44" s="248"/>
      <c r="C44" s="248"/>
      <c r="D44" s="248"/>
      <c r="E44" s="248"/>
      <c r="F44" s="249"/>
    </row>
  </sheetData>
  <mergeCells count="2">
    <mergeCell ref="A1:G1"/>
    <mergeCell ref="A2:G2"/>
  </mergeCells>
  <dataValidations count="2">
    <dataValidation type="list" allowBlank="1" showInputMessage="1" showErrorMessage="1" sqref="B2 C2">
      <formula1>函数!$C$1:$C$9</formula1>
    </dataValidation>
    <dataValidation type="custom" allowBlank="1" showInputMessage="1" showErrorMessage="1" errorTitle="错误验证" error="数据已审核不能更改" sqref="A3:C3">
      <formula1>LEN($F3)=0</formula1>
    </dataValidation>
  </dataValidations>
  <pageMargins left="0.75" right="0.75" top="1" bottom="1" header="0.511805555555556" footer="0.511805555555556"/>
  <headerFooter/>
  <drawing r:id="rId1"/>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31" customWidth="1"/>
    <col min="3" max="3" width="17.25" customWidth="1"/>
    <col min="4" max="4" width="34.75" customWidth="1"/>
    <col min="5" max="5" width="32.375" customWidth="1"/>
    <col min="6" max="6" width="36.25" customWidth="1"/>
    <col min="7" max="7" width="24.5" customWidth="1"/>
  </cols>
  <sheetData>
    <row r="1" ht="26" customHeight="1" spans="1:7">
      <c r="A1" s="2" t="s">
        <v>1529</v>
      </c>
      <c r="B1" s="2"/>
      <c r="C1" s="2"/>
      <c r="D1" s="2"/>
      <c r="E1" s="2"/>
      <c r="F1" s="2"/>
      <c r="G1" s="2"/>
    </row>
    <row r="2" ht="146" customHeight="1" spans="1:7">
      <c r="A2" s="83" t="s">
        <v>1530</v>
      </c>
      <c r="B2" s="84"/>
      <c r="C2" s="84"/>
      <c r="D2" s="84"/>
      <c r="E2" s="84"/>
      <c r="F2" s="84"/>
      <c r="G2" s="84"/>
    </row>
    <row r="3" ht="21" customHeight="1" spans="1:4">
      <c r="A3" s="100" t="s">
        <v>553</v>
      </c>
      <c r="B3" s="101"/>
      <c r="C3" s="45"/>
      <c r="D3" s="45"/>
    </row>
    <row r="4" ht="20" customHeight="1" spans="1:4">
      <c r="A4" s="106" t="s">
        <v>582</v>
      </c>
      <c r="B4" s="106" t="s">
        <v>558</v>
      </c>
      <c r="C4" s="106" t="s">
        <v>560</v>
      </c>
      <c r="D4" s="106" t="s">
        <v>560</v>
      </c>
    </row>
    <row r="5" ht="28.5" spans="1:4">
      <c r="A5" s="126" t="s">
        <v>1531</v>
      </c>
      <c r="B5" s="126" t="s">
        <v>1532</v>
      </c>
      <c r="C5" s="126">
        <f>SEARCH("月",A5,1)</f>
        <v>2</v>
      </c>
      <c r="D5" s="127" t="str">
        <f>_xlfn.FORMULATEXT(C5)</f>
        <v>=SEARCH("月",A5,1)</v>
      </c>
    </row>
    <row r="6" ht="19" customHeight="1" spans="1:4">
      <c r="A6" s="126" t="s">
        <v>1533</v>
      </c>
      <c r="B6" s="126" t="s">
        <v>1534</v>
      </c>
      <c r="C6" s="126">
        <f>SEARCH(A7,A6)</f>
        <v>3</v>
      </c>
      <c r="D6" s="127" t="str">
        <f>_xlfn.FORMULATEXT(C6)</f>
        <v>=SEARCH(A7,A6)</v>
      </c>
    </row>
    <row r="7" ht="19" customHeight="1" spans="1:4">
      <c r="A7" s="126" t="s">
        <v>1535</v>
      </c>
      <c r="B7" s="126" t="s">
        <v>1536</v>
      </c>
      <c r="C7" s="126" t="str">
        <f>REPLACE(A6,SEARCH(A7,A6),1,"字典")</f>
        <v>一本字典</v>
      </c>
      <c r="D7" s="127" t="str">
        <f>_xlfn.FORMULATEXT(C7)</f>
        <v>=REPLACE(A6,SEARCH(A7,A6),1,"字典")</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31" customWidth="1"/>
    <col min="3" max="3" width="17.25" customWidth="1"/>
    <col min="4" max="4" width="34.75" customWidth="1"/>
    <col min="5" max="5" width="32.375" customWidth="1"/>
    <col min="6" max="6" width="36.25" customWidth="1"/>
    <col min="7" max="7" width="24.5" customWidth="1"/>
  </cols>
  <sheetData>
    <row r="1" ht="26" customHeight="1" spans="1:7">
      <c r="A1" s="2" t="s">
        <v>1537</v>
      </c>
      <c r="B1" s="2"/>
      <c r="C1" s="2"/>
      <c r="D1" s="2"/>
      <c r="E1" s="2"/>
      <c r="F1" s="2"/>
      <c r="G1" s="2"/>
    </row>
    <row r="2" ht="146" customHeight="1" spans="1:7">
      <c r="A2" s="83" t="s">
        <v>1538</v>
      </c>
      <c r="B2" s="84"/>
      <c r="C2" s="84"/>
      <c r="D2" s="84"/>
      <c r="E2" s="84"/>
      <c r="F2" s="84"/>
      <c r="G2" s="84"/>
    </row>
    <row r="3" ht="21" customHeight="1" spans="1:4">
      <c r="A3" s="100" t="s">
        <v>553</v>
      </c>
      <c r="B3" s="101"/>
      <c r="C3" s="45"/>
      <c r="D3" s="45"/>
    </row>
    <row r="4" ht="20" customHeight="1" spans="1:4">
      <c r="A4" s="106" t="s">
        <v>582</v>
      </c>
      <c r="B4" s="106" t="s">
        <v>558</v>
      </c>
      <c r="C4" s="106" t="s">
        <v>560</v>
      </c>
      <c r="D4" s="106" t="s">
        <v>560</v>
      </c>
    </row>
    <row r="5" ht="28.5" spans="1:4">
      <c r="A5" s="126" t="s">
        <v>1531</v>
      </c>
      <c r="B5" s="126" t="s">
        <v>1539</v>
      </c>
      <c r="C5" s="126">
        <f>SEARCHB("月",A5,1)</f>
        <v>3</v>
      </c>
      <c r="D5" s="127" t="str">
        <f>_xlfn.FORMULATEXT(C5)</f>
        <v>=SEARCHB("月",A5,1)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1.375" customWidth="1"/>
    <col min="3" max="3" width="17.25" customWidth="1"/>
    <col min="4" max="4" width="37.625" customWidth="1"/>
    <col min="5" max="5" width="32.375" customWidth="1"/>
    <col min="6" max="6" width="36.25" customWidth="1"/>
    <col min="7" max="7" width="24.5" customWidth="1"/>
  </cols>
  <sheetData>
    <row r="1" ht="26" customHeight="1" spans="1:7">
      <c r="A1" s="2" t="s">
        <v>1540</v>
      </c>
      <c r="B1" s="2"/>
      <c r="C1" s="2"/>
      <c r="D1" s="2"/>
      <c r="E1" s="2"/>
      <c r="F1" s="2"/>
      <c r="G1" s="2"/>
    </row>
    <row r="2" ht="101" customHeight="1" spans="1:7">
      <c r="A2" s="83" t="s">
        <v>1541</v>
      </c>
      <c r="B2" s="84"/>
      <c r="C2" s="84"/>
      <c r="D2" s="84"/>
      <c r="E2" s="84"/>
      <c r="F2" s="84"/>
      <c r="G2" s="84"/>
    </row>
    <row r="3" ht="21" customHeight="1" spans="1:4">
      <c r="A3" s="100" t="s">
        <v>553</v>
      </c>
      <c r="B3" s="101"/>
      <c r="C3" s="45"/>
      <c r="D3" s="45"/>
    </row>
    <row r="4" ht="20" customHeight="1" spans="1:4">
      <c r="A4" s="106" t="s">
        <v>582</v>
      </c>
      <c r="B4" s="106" t="s">
        <v>560</v>
      </c>
      <c r="C4" s="106" t="s">
        <v>1542</v>
      </c>
      <c r="D4" s="106" t="s">
        <v>558</v>
      </c>
    </row>
    <row r="5" ht="19" customHeight="1" spans="1:4">
      <c r="A5" s="126" t="s">
        <v>1543</v>
      </c>
      <c r="B5" s="164" t="str">
        <f>_xlfn.FORMULATEXT(C5)</f>
        <v>=REPLACE(A5,4,3,"*")</v>
      </c>
      <c r="C5" s="237" t="str">
        <f>REPLACE(A5,4,3,"*")</f>
        <v>他处在*中</v>
      </c>
      <c r="D5" s="126" t="s">
        <v>1544</v>
      </c>
    </row>
    <row r="6" ht="19" customHeight="1" spans="1:4">
      <c r="A6" s="126">
        <v>2009</v>
      </c>
      <c r="B6" s="164" t="str">
        <f>_xlfn.FORMULATEXT(C6)</f>
        <v>=REPLACE(A6,3,2,"10")</v>
      </c>
      <c r="C6" s="237" t="str">
        <f>REPLACE(A6,3,2,"10")</f>
        <v>2010</v>
      </c>
      <c r="D6" s="126" t="s">
        <v>1545</v>
      </c>
    </row>
    <row r="7" ht="19" customHeight="1" spans="1:4">
      <c r="A7" s="126">
        <v>123456</v>
      </c>
      <c r="B7" s="164" t="str">
        <f>_xlfn.FORMULATEXT(C7)</f>
        <v>=REPLACE(A7,1,3,"@")</v>
      </c>
      <c r="C7" s="237" t="str">
        <f>REPLACE(A7,1,3,"@")</f>
        <v>@456</v>
      </c>
      <c r="D7" s="126" t="s">
        <v>1546</v>
      </c>
    </row>
    <row r="8" ht="14.25" spans="1:4">
      <c r="A8" s="127">
        <v>13725286568</v>
      </c>
      <c r="B8" s="164" t="str">
        <f>_xlfn.FORMULATEXT(C8)</f>
        <v>=REPLACE(A8,4,4,"****")</v>
      </c>
      <c r="C8" s="127" t="str">
        <f>REPLACE(A8,4,4,"****")</f>
        <v>137****6568</v>
      </c>
      <c r="D8" s="127" t="s">
        <v>1547</v>
      </c>
    </row>
    <row r="10" spans="1:1">
      <c r="A10" s="28"/>
    </row>
    <row r="11" spans="1:1">
      <c r="A11" s="28"/>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49.25" customWidth="1"/>
    <col min="3" max="3" width="17.25" customWidth="1"/>
    <col min="4" max="4" width="23.375" customWidth="1"/>
    <col min="5" max="5" width="32.375" customWidth="1"/>
    <col min="6" max="6" width="36.25" customWidth="1"/>
    <col min="7" max="7" width="24.5" customWidth="1"/>
  </cols>
  <sheetData>
    <row r="1" ht="26" customHeight="1" spans="1:7">
      <c r="A1" s="2" t="s">
        <v>1548</v>
      </c>
      <c r="B1" s="2"/>
      <c r="C1" s="2"/>
      <c r="D1" s="2"/>
      <c r="E1" s="2"/>
      <c r="F1" s="2"/>
      <c r="G1" s="2"/>
    </row>
    <row r="2" ht="105" customHeight="1" spans="1:7">
      <c r="A2" s="83" t="s">
        <v>1549</v>
      </c>
      <c r="B2" s="84"/>
      <c r="C2" s="84"/>
      <c r="D2" s="84"/>
      <c r="E2" s="84"/>
      <c r="F2" s="84"/>
      <c r="G2" s="84"/>
    </row>
    <row r="3" ht="21" customHeight="1" spans="1:4">
      <c r="A3" s="100" t="s">
        <v>553</v>
      </c>
      <c r="B3" s="101"/>
      <c r="C3" s="45"/>
      <c r="D3" s="45"/>
    </row>
    <row r="4" ht="20" customHeight="1" spans="1:4">
      <c r="A4" s="106" t="s">
        <v>582</v>
      </c>
      <c r="B4" s="106" t="s">
        <v>558</v>
      </c>
      <c r="C4" s="106" t="s">
        <v>1542</v>
      </c>
      <c r="D4" s="106" t="s">
        <v>560</v>
      </c>
    </row>
    <row r="5" ht="19" customHeight="1" spans="1:4">
      <c r="A5" s="126">
        <v>456.789</v>
      </c>
      <c r="B5" s="126" t="s">
        <v>1550</v>
      </c>
      <c r="C5" s="126" t="str">
        <f>DOLLAR(A5,2)</f>
        <v>￥456.79</v>
      </c>
      <c r="D5" s="126" t="str">
        <f>_xlfn.FORMULATEXT(C5)</f>
        <v>=RMB(A5,2)</v>
      </c>
    </row>
    <row r="6" ht="19" customHeight="1" spans="1:4">
      <c r="A6" s="126">
        <v>-456.789</v>
      </c>
      <c r="B6" s="126" t="s">
        <v>1551</v>
      </c>
      <c r="C6" s="126" t="str">
        <f>DOLLAR(A5,-2)</f>
        <v>￥500</v>
      </c>
      <c r="D6" s="126" t="str">
        <f>_xlfn.FORMULATEXT(C6)</f>
        <v>=RMB(A5,-2)</v>
      </c>
    </row>
    <row r="7" ht="19" customHeight="1" spans="1:4">
      <c r="A7" s="126">
        <v>-0.456</v>
      </c>
      <c r="B7" s="126" t="s">
        <v>1552</v>
      </c>
      <c r="C7" s="126" t="str">
        <f>DOLLAR(A6,-2)</f>
        <v>￥-500</v>
      </c>
      <c r="D7" s="126" t="str">
        <f>_xlfn.FORMULATEXT(C7)</f>
        <v>=RMB(A6,-2)</v>
      </c>
    </row>
    <row r="8" ht="14.25" spans="1:4">
      <c r="A8" s="126">
        <v>77.888</v>
      </c>
      <c r="B8" s="126" t="s">
        <v>1553</v>
      </c>
      <c r="C8" s="126" t="str">
        <f>DOLLAR(A7,4)</f>
        <v>￥-0.4560</v>
      </c>
      <c r="D8" s="126" t="str">
        <f>_xlfn.FORMULATEXT(C8)</f>
        <v>=RMB(A7,4)</v>
      </c>
    </row>
    <row r="9" ht="14.25" spans="1:4">
      <c r="A9" s="126"/>
      <c r="B9" s="126" t="s">
        <v>1554</v>
      </c>
      <c r="C9" s="126" t="str">
        <f>DOLLAR(A8)</f>
        <v>￥77.89</v>
      </c>
      <c r="D9" s="126" t="str">
        <f>_xlfn.FORMULATEXT(C9)</f>
        <v>=RMB(A8)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B5" sqref="B5:D6"/>
    </sheetView>
  </sheetViews>
  <sheetFormatPr defaultColWidth="9" defaultRowHeight="13.5" outlineLevelRow="5" outlineLevelCol="6"/>
  <cols>
    <col min="1" max="1" width="17.625" customWidth="1"/>
    <col min="2" max="2" width="32.25" customWidth="1"/>
    <col min="3" max="3" width="17.25" customWidth="1"/>
    <col min="4" max="4" width="28.375" customWidth="1"/>
    <col min="5" max="5" width="32.375" customWidth="1"/>
    <col min="6" max="6" width="36.25" customWidth="1"/>
    <col min="7" max="7" width="24.5" customWidth="1"/>
  </cols>
  <sheetData>
    <row r="1" ht="26" customHeight="1" spans="1:7">
      <c r="A1" s="2" t="s">
        <v>1555</v>
      </c>
      <c r="B1" s="2"/>
      <c r="C1" s="2"/>
      <c r="D1" s="2"/>
      <c r="E1" s="2"/>
      <c r="F1" s="2"/>
      <c r="G1" s="2"/>
    </row>
    <row r="2" ht="115" customHeight="1" spans="1:7">
      <c r="A2" s="83" t="s">
        <v>1556</v>
      </c>
      <c r="B2" s="84"/>
      <c r="C2" s="84"/>
      <c r="D2" s="84"/>
      <c r="E2" s="84"/>
      <c r="F2" s="84"/>
      <c r="G2" s="84"/>
    </row>
    <row r="3" ht="21" customHeight="1" spans="1:4">
      <c r="A3" s="100" t="s">
        <v>553</v>
      </c>
      <c r="B3" s="101"/>
      <c r="C3" s="45"/>
      <c r="D3" s="45"/>
    </row>
    <row r="4" ht="20" customHeight="1" spans="1:4">
      <c r="A4" s="106" t="s">
        <v>582</v>
      </c>
      <c r="B4" s="106" t="s">
        <v>558</v>
      </c>
      <c r="C4" s="106" t="s">
        <v>1542</v>
      </c>
      <c r="D4" s="106" t="s">
        <v>560</v>
      </c>
    </row>
    <row r="5" ht="19" customHeight="1" spans="1:4">
      <c r="A5" s="126" t="s">
        <v>1557</v>
      </c>
      <c r="B5" s="126" t="s">
        <v>1558</v>
      </c>
      <c r="C5" s="126" t="str">
        <f>RIGHT(A5,2)</f>
        <v>价格</v>
      </c>
      <c r="D5" s="126" t="str">
        <f>_xlfn.FORMULATEXT(C5)</f>
        <v>=RIGHT(A5,2)</v>
      </c>
    </row>
    <row r="6" ht="19" customHeight="1" spans="1:4">
      <c r="A6" s="126" t="s">
        <v>1559</v>
      </c>
      <c r="B6" s="126" t="s">
        <v>1560</v>
      </c>
      <c r="C6" s="126" t="str">
        <f>RIGHT(A6,1)</f>
        <v>数</v>
      </c>
      <c r="D6" s="126" t="str">
        <f>_xlfn.FORMULATEXT(C6)</f>
        <v>=RIGHT(A6,1)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B9" sqref="B9"/>
    </sheetView>
  </sheetViews>
  <sheetFormatPr defaultColWidth="9" defaultRowHeight="13.5" outlineLevelRow="5" outlineLevelCol="6"/>
  <cols>
    <col min="1" max="1" width="17.625" customWidth="1"/>
    <col min="2" max="2" width="32.25" customWidth="1"/>
    <col min="3" max="3" width="17.25" customWidth="1"/>
    <col min="4" max="4" width="28.375" customWidth="1"/>
    <col min="5" max="5" width="32.375" customWidth="1"/>
    <col min="6" max="6" width="36.25" customWidth="1"/>
    <col min="7" max="7" width="24.5" customWidth="1"/>
  </cols>
  <sheetData>
    <row r="1" ht="26" customHeight="1" spans="1:7">
      <c r="A1" s="2" t="s">
        <v>1561</v>
      </c>
      <c r="B1" s="2"/>
      <c r="C1" s="2"/>
      <c r="D1" s="2"/>
      <c r="E1" s="2"/>
      <c r="F1" s="2"/>
      <c r="G1" s="2"/>
    </row>
    <row r="2" ht="115" customHeight="1" spans="1:7">
      <c r="A2" s="83" t="s">
        <v>1562</v>
      </c>
      <c r="B2" s="84"/>
      <c r="C2" s="84"/>
      <c r="D2" s="84"/>
      <c r="E2" s="84"/>
      <c r="F2" s="84"/>
      <c r="G2" s="84"/>
    </row>
    <row r="3" ht="21" customHeight="1" spans="1:4">
      <c r="A3" s="100" t="s">
        <v>553</v>
      </c>
      <c r="B3" s="101"/>
      <c r="C3" s="45"/>
      <c r="D3" s="45"/>
    </row>
    <row r="4" ht="20" customHeight="1" spans="1:4">
      <c r="A4" s="106" t="s">
        <v>582</v>
      </c>
      <c r="B4" s="106" t="s">
        <v>558</v>
      </c>
      <c r="C4" s="106" t="s">
        <v>1542</v>
      </c>
      <c r="D4" s="106" t="s">
        <v>560</v>
      </c>
    </row>
    <row r="5" ht="19" customHeight="1" spans="1:4">
      <c r="A5" s="126" t="s">
        <v>1563</v>
      </c>
      <c r="B5" s="126" t="s">
        <v>1564</v>
      </c>
      <c r="C5" s="126" t="str">
        <f>RIGHTB(A5,2)</f>
        <v>++</v>
      </c>
      <c r="D5" s="126" t="str">
        <f>_xlfn.FORMULATEXT(C5)</f>
        <v>=RIGHTB(A5,2)</v>
      </c>
    </row>
    <row r="6" ht="19" customHeight="1" spans="1:4">
      <c r="A6" s="126" t="s">
        <v>1565</v>
      </c>
      <c r="B6" s="126" t="s">
        <v>1566</v>
      </c>
      <c r="C6" s="126" t="str">
        <f>RIGHTB(A6,6)</f>
        <v>爱好者</v>
      </c>
      <c r="D6" s="126" t="str">
        <f>_xlfn.FORMULATEXT(C6)</f>
        <v>=RIGHTB(A6,6)</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21.375" customWidth="1"/>
    <col min="3" max="3" width="17.25" customWidth="1"/>
    <col min="4" max="4" width="40.375" customWidth="1"/>
    <col min="5" max="5" width="32.375" customWidth="1"/>
    <col min="6" max="6" width="36.25" customWidth="1"/>
    <col min="7" max="7" width="24.5" customWidth="1"/>
  </cols>
  <sheetData>
    <row r="1" ht="26" customHeight="1" spans="1:7">
      <c r="A1" s="2" t="s">
        <v>1567</v>
      </c>
      <c r="B1" s="2"/>
      <c r="C1" s="2"/>
      <c r="D1" s="2"/>
      <c r="E1" s="2"/>
      <c r="F1" s="2"/>
      <c r="G1" s="2"/>
    </row>
    <row r="2" ht="86" customHeight="1" spans="1:7">
      <c r="A2" s="83" t="s">
        <v>1568</v>
      </c>
      <c r="B2" s="84"/>
      <c r="C2" s="84"/>
      <c r="D2" s="84"/>
      <c r="E2" s="84"/>
      <c r="F2" s="84"/>
      <c r="G2" s="84"/>
    </row>
    <row r="3" ht="21" customHeight="1" spans="1:4">
      <c r="A3" s="100" t="s">
        <v>553</v>
      </c>
      <c r="B3" s="101"/>
      <c r="C3" s="45"/>
      <c r="D3" s="45"/>
    </row>
    <row r="4" ht="20" customHeight="1" spans="1:4">
      <c r="A4" s="106" t="s">
        <v>582</v>
      </c>
      <c r="B4" s="106" t="s">
        <v>560</v>
      </c>
      <c r="C4" s="106" t="s">
        <v>1542</v>
      </c>
      <c r="D4" s="106" t="s">
        <v>558</v>
      </c>
    </row>
    <row r="5" ht="42.75" spans="1:4">
      <c r="A5" s="126" t="s">
        <v>1569</v>
      </c>
      <c r="B5" s="164" t="str">
        <f>_xlfn.FORMULATEXT(C5)</f>
        <v>=REPLACEB(A5,4,4,"花飘")</v>
      </c>
      <c r="C5" s="126" t="str">
        <f>REPLACEB(A5,4,4,"花飘")</f>
        <v>北 花飘 </v>
      </c>
      <c r="D5" s="126" t="s">
        <v>1570</v>
      </c>
    </row>
    <row r="6" ht="19" customHeight="1" spans="1:4">
      <c r="A6" s="126"/>
      <c r="B6" s="164"/>
      <c r="C6" s="237"/>
      <c r="D6" s="126"/>
    </row>
    <row r="7" ht="19" customHeight="1" spans="1:4">
      <c r="A7" s="126"/>
      <c r="B7" s="164"/>
      <c r="C7" s="237"/>
      <c r="D7" s="126"/>
    </row>
    <row r="8" ht="14.25" spans="1:4">
      <c r="A8" s="127"/>
      <c r="B8" s="164"/>
      <c r="C8" s="127"/>
      <c r="D8" s="127"/>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21.75" customWidth="1"/>
    <col min="3" max="3" width="36" customWidth="1"/>
    <col min="4" max="4" width="34.75" customWidth="1"/>
    <col min="5" max="5" width="32.375" customWidth="1"/>
    <col min="6" max="6" width="36.25" customWidth="1"/>
    <col min="7" max="7" width="24.5" customWidth="1"/>
  </cols>
  <sheetData>
    <row r="1" ht="26" customHeight="1" spans="1:7">
      <c r="A1" s="2" t="s">
        <v>1571</v>
      </c>
      <c r="B1" s="2"/>
      <c r="C1" s="2"/>
      <c r="D1" s="2"/>
      <c r="E1" s="2"/>
      <c r="F1" s="2"/>
      <c r="G1" s="2"/>
    </row>
    <row r="2" ht="60" customHeight="1" spans="1:7">
      <c r="A2" s="83" t="s">
        <v>1572</v>
      </c>
      <c r="B2" s="84"/>
      <c r="C2" s="84"/>
      <c r="D2" s="84"/>
      <c r="E2" s="84"/>
      <c r="F2" s="84"/>
      <c r="G2" s="84"/>
    </row>
    <row r="3" ht="21" customHeight="1" spans="1:4">
      <c r="A3" s="100" t="s">
        <v>553</v>
      </c>
      <c r="B3" s="101"/>
      <c r="C3" s="45"/>
      <c r="D3" s="45"/>
    </row>
    <row r="4" ht="20" customHeight="1" spans="1:3">
      <c r="A4" s="134" t="s">
        <v>582</v>
      </c>
      <c r="B4" s="186" t="s">
        <v>560</v>
      </c>
      <c r="C4" s="186" t="s">
        <v>560</v>
      </c>
    </row>
    <row r="5" ht="19" customHeight="1" spans="1:3">
      <c r="A5" s="236" t="str">
        <f>CHAR(5)&amp;"text"&amp;CHAR(5)</f>
        <v>_x0005_text_x0005_</v>
      </c>
      <c r="B5" s="164" t="str">
        <f>_xlfn.FORMULATEXT(A5)</f>
        <v>=CHAR(5)&amp;"text"&amp;CHAR(5)</v>
      </c>
      <c r="C5" s="164"/>
    </row>
    <row r="6" ht="19" customHeight="1" spans="1:3">
      <c r="A6" s="134" t="s">
        <v>590</v>
      </c>
      <c r="B6" s="134" t="s">
        <v>560</v>
      </c>
      <c r="C6" s="134" t="s">
        <v>622</v>
      </c>
    </row>
    <row r="7" ht="19" customHeight="1" spans="1:3">
      <c r="A7" s="126" t="str">
        <f>CLEAN(A5)</f>
        <v>text</v>
      </c>
      <c r="B7" s="127" t="str">
        <f>_xlfn.FORMULATEXT(A7)</f>
        <v>=CLEAN(A5)</v>
      </c>
      <c r="C7" s="126" t="s">
        <v>1573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1.75" customWidth="1"/>
    <col min="3" max="3" width="36" customWidth="1"/>
    <col min="4" max="4" width="34.75" customWidth="1"/>
    <col min="5" max="5" width="32.375" customWidth="1"/>
    <col min="6" max="6" width="36.25" customWidth="1"/>
    <col min="7" max="7" width="24.5" customWidth="1"/>
  </cols>
  <sheetData>
    <row r="1" ht="26" customHeight="1" spans="1:7">
      <c r="A1" s="2" t="s">
        <v>1574</v>
      </c>
      <c r="B1" s="2"/>
      <c r="C1" s="2"/>
      <c r="D1" s="2"/>
      <c r="E1" s="2"/>
      <c r="F1" s="2"/>
      <c r="G1" s="2"/>
    </row>
    <row r="2" ht="145" customHeight="1" spans="1:7">
      <c r="A2" s="83" t="s">
        <v>1575</v>
      </c>
      <c r="B2" s="84"/>
      <c r="C2" s="84"/>
      <c r="D2" s="84"/>
      <c r="E2" s="84"/>
      <c r="F2" s="84"/>
      <c r="G2" s="84"/>
    </row>
    <row r="3" ht="21" customHeight="1" spans="1:4">
      <c r="A3" s="100" t="s">
        <v>553</v>
      </c>
      <c r="B3" s="101"/>
      <c r="C3" s="45"/>
      <c r="D3" s="45"/>
    </row>
    <row r="4" ht="20" customHeight="1" spans="1:3">
      <c r="A4" s="229" t="s">
        <v>582</v>
      </c>
      <c r="B4" s="186"/>
      <c r="C4" s="186"/>
    </row>
    <row r="5" ht="19" customHeight="1" spans="1:3">
      <c r="A5" s="126">
        <v>4567.89</v>
      </c>
      <c r="B5" s="164"/>
      <c r="C5" s="164"/>
    </row>
    <row r="6" ht="19" customHeight="1" spans="1:3">
      <c r="A6" s="126">
        <v>-4567.89</v>
      </c>
      <c r="B6" s="235"/>
      <c r="C6" s="235"/>
    </row>
    <row r="7" ht="19" customHeight="1" spans="1:3">
      <c r="A7" s="126">
        <v>77.888</v>
      </c>
      <c r="B7" s="127"/>
      <c r="C7" s="126"/>
    </row>
    <row r="8" ht="14.25" spans="1:3">
      <c r="A8" s="134" t="s">
        <v>590</v>
      </c>
      <c r="B8" s="134" t="s">
        <v>560</v>
      </c>
      <c r="C8" s="134" t="s">
        <v>622</v>
      </c>
    </row>
    <row r="9" ht="14.25" spans="1:3">
      <c r="A9" s="126" t="str">
        <f>FIXED(A5,1)</f>
        <v>4,567.9</v>
      </c>
      <c r="B9" s="127" t="str">
        <f>_xlfn.FORMULATEXT(A9)</f>
        <v>=FIXED(A5,1)</v>
      </c>
      <c r="C9" s="126" t="s">
        <v>1576</v>
      </c>
    </row>
    <row r="10" ht="14.25" spans="1:3">
      <c r="A10" s="126" t="str">
        <f>FIXED(A5,-1)</f>
        <v>4,570</v>
      </c>
      <c r="B10" s="127" t="str">
        <f>_xlfn.FORMULATEXT(A10)</f>
        <v>=FIXED(A5,-1)</v>
      </c>
      <c r="C10" s="126" t="s">
        <v>1577</v>
      </c>
    </row>
    <row r="11" ht="28.5" spans="1:3">
      <c r="A11" s="126" t="str">
        <f>FIXED(-4567.89,-1,TRUE)</f>
        <v>-4570</v>
      </c>
      <c r="B11" s="127" t="str">
        <f>_xlfn.FORMULATEXT(A11)</f>
        <v>=FIXED(-4567.89,-1,TRUE)</v>
      </c>
      <c r="C11" s="126" t="s">
        <v>1578</v>
      </c>
    </row>
    <row r="12" ht="14.25" spans="1:3">
      <c r="A12" s="126" t="str">
        <f>FIXED(77.888)</f>
        <v>77.89</v>
      </c>
      <c r="B12" s="127" t="str">
        <f>_xlfn.FORMULATEXT(A12)</f>
        <v>=FIXED(77.888)</v>
      </c>
      <c r="C12" s="126" t="s">
        <v>1579</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17.125" customWidth="1"/>
    <col min="3" max="3" width="15.625" customWidth="1"/>
    <col min="4" max="4" width="38.875" customWidth="1"/>
    <col min="5" max="5" width="32.375" customWidth="1"/>
    <col min="6" max="6" width="36.25" customWidth="1"/>
    <col min="7" max="7" width="24.5" customWidth="1"/>
  </cols>
  <sheetData>
    <row r="1" ht="26" customHeight="1" spans="1:7">
      <c r="A1" s="2" t="s">
        <v>1580</v>
      </c>
      <c r="B1" s="2"/>
      <c r="C1" s="2"/>
      <c r="D1" s="2"/>
      <c r="E1" s="2"/>
      <c r="F1" s="2"/>
      <c r="G1" s="2"/>
    </row>
    <row r="2" ht="57" customHeight="1" spans="1:7">
      <c r="A2" s="83" t="s">
        <v>1581</v>
      </c>
      <c r="B2" s="84"/>
      <c r="C2" s="84"/>
      <c r="D2" s="84"/>
      <c r="E2" s="84"/>
      <c r="F2" s="84"/>
      <c r="G2" s="84"/>
    </row>
    <row r="3" ht="21" customHeight="1" spans="1:4">
      <c r="A3" s="100" t="s">
        <v>553</v>
      </c>
      <c r="B3" s="101"/>
      <c r="C3" s="45"/>
      <c r="D3" s="45"/>
    </row>
    <row r="4" ht="20" customHeight="1" spans="1:4">
      <c r="A4" s="229" t="s">
        <v>582</v>
      </c>
      <c r="B4" s="186" t="s">
        <v>1582</v>
      </c>
      <c r="C4" s="186" t="s">
        <v>560</v>
      </c>
      <c r="D4" s="186" t="s">
        <v>558</v>
      </c>
    </row>
    <row r="5" ht="19" customHeight="1" spans="1:4">
      <c r="A5" s="126" t="s">
        <v>1583</v>
      </c>
      <c r="B5" s="126" t="str">
        <f>PROPER(A5)</f>
        <v>Today Is Monday</v>
      </c>
      <c r="C5" s="126" t="str">
        <f>_xlfn.FORMULATEXT(B5)</f>
        <v>=PROPER(A5)</v>
      </c>
      <c r="D5" s="126" t="s">
        <v>1584</v>
      </c>
    </row>
    <row r="6" ht="19" customHeight="1" spans="1:4">
      <c r="A6" s="126" t="s">
        <v>1585</v>
      </c>
      <c r="B6" s="126" t="str">
        <f>PROPER(A6)</f>
        <v>57Yearsold</v>
      </c>
      <c r="C6" s="126" t="str">
        <f>_xlfn.FORMULATEXT(B6)</f>
        <v>=PROPER(A6)</v>
      </c>
      <c r="D6" s="126" t="s">
        <v>1586</v>
      </c>
    </row>
    <row r="7" ht="19" customHeight="1" spans="1:4">
      <c r="A7" s="126" t="s">
        <v>1587</v>
      </c>
      <c r="B7" s="126" t="str">
        <f>PROPER(A7)</f>
        <v>5-Cent'S Worth</v>
      </c>
      <c r="C7" s="126" t="str">
        <f>_xlfn.FORMULATEXT(B7)</f>
        <v>=PROPER(A7)</v>
      </c>
      <c r="D7" s="126" t="s">
        <v>1588</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B16" sqref="B16"/>
    </sheetView>
  </sheetViews>
  <sheetFormatPr defaultColWidth="9" defaultRowHeight="13.5" outlineLevelRow="5" outlineLevelCol="6"/>
  <cols>
    <col min="1" max="1" width="17.625" customWidth="1"/>
    <col min="2" max="2" width="21.75" customWidth="1"/>
    <col min="3" max="3" width="36" customWidth="1"/>
    <col min="4" max="4" width="34.75" customWidth="1"/>
    <col min="5" max="5" width="32.375" customWidth="1"/>
    <col min="6" max="6" width="36.25" customWidth="1"/>
    <col min="7" max="7" width="24.5" customWidth="1"/>
  </cols>
  <sheetData>
    <row r="1" ht="26" customHeight="1" spans="1:7">
      <c r="A1" s="2" t="s">
        <v>1589</v>
      </c>
      <c r="B1" s="2"/>
      <c r="C1" s="2"/>
      <c r="D1" s="2"/>
      <c r="E1" s="2"/>
      <c r="F1" s="2"/>
      <c r="G1" s="2"/>
    </row>
    <row r="2" ht="117" customHeight="1" spans="1:7">
      <c r="A2" s="83" t="s">
        <v>1590</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126" t="s">
        <v>1591</v>
      </c>
      <c r="B5" s="126" t="str">
        <f>LEFT(A5,3)</f>
        <v>一条鱼</v>
      </c>
      <c r="C5" s="126" t="str">
        <f>_xlfn.FORMULATEXT(B5)</f>
        <v>=LEFT(A5,3)</v>
      </c>
      <c r="D5" s="126" t="s">
        <v>1592</v>
      </c>
    </row>
    <row r="6" ht="19" customHeight="1" spans="1:4">
      <c r="A6" s="126" t="s">
        <v>1593</v>
      </c>
      <c r="B6" s="126" t="str">
        <f>LEFT(A6,1)</f>
        <v>草</v>
      </c>
      <c r="C6" s="126" t="str">
        <f>_xlfn.FORMULATEXT(B6)</f>
        <v>=LEFT(A6,1)</v>
      </c>
      <c r="D6" s="126" t="s">
        <v>1594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21.75" customWidth="1"/>
    <col min="3" max="3" width="36" customWidth="1"/>
    <col min="4" max="4" width="34.75" customWidth="1"/>
    <col min="5" max="5" width="32.375" customWidth="1"/>
    <col min="6" max="6" width="36.25" customWidth="1"/>
    <col min="7" max="7" width="24.5" customWidth="1"/>
  </cols>
  <sheetData>
    <row r="1" ht="26" customHeight="1" spans="1:7">
      <c r="A1" s="2" t="s">
        <v>1595</v>
      </c>
      <c r="B1" s="2"/>
      <c r="C1" s="2"/>
      <c r="D1" s="2"/>
      <c r="E1" s="2"/>
      <c r="F1" s="2"/>
      <c r="G1" s="2"/>
    </row>
    <row r="2" ht="128" customHeight="1" spans="1:7">
      <c r="A2" s="83" t="s">
        <v>1596</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232" t="s">
        <v>1597</v>
      </c>
      <c r="B5" s="126"/>
      <c r="C5" s="126"/>
      <c r="D5" s="126"/>
    </row>
    <row r="6" ht="19" customHeight="1" spans="1:4">
      <c r="A6" s="233" t="s">
        <v>560</v>
      </c>
      <c r="B6" s="233" t="s">
        <v>590</v>
      </c>
      <c r="C6" s="233" t="s">
        <v>622</v>
      </c>
      <c r="D6" s="126"/>
    </row>
    <row r="7" ht="33" spans="1:3">
      <c r="A7" s="23" t="str">
        <f>_xlfn.FORMULATEXT(B7)</f>
        <v>=MID(A5,1,2)</v>
      </c>
      <c r="B7" s="234" t="str">
        <f>MID(A5,1,2)</f>
        <v>昙花</v>
      </c>
      <c r="C7" s="218" t="s">
        <v>1598</v>
      </c>
    </row>
    <row r="8" ht="33" spans="1:3">
      <c r="A8" s="23" t="str">
        <f>_xlfn.FORMULATEXT(B8)</f>
        <v>=MID(A5,3,10)</v>
      </c>
      <c r="B8" s="234" t="str">
        <f>MID(A5,3,10)</f>
        <v>一现</v>
      </c>
      <c r="C8" s="218" t="s">
        <v>1599</v>
      </c>
    </row>
    <row r="9" ht="33" spans="1:3">
      <c r="A9" s="23" t="str">
        <f>_xlfn.FORMULATEXT(B9)</f>
        <v>=MID(A5,5,2)</v>
      </c>
      <c r="B9" s="234" t="str">
        <f>MID(A5,5,2)</f>
        <v/>
      </c>
      <c r="C9" s="218" t="s">
        <v>1600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
  <sheetViews>
    <sheetView workbookViewId="0">
      <pane ySplit="2" topLeftCell="A3" activePane="bottomLeft" state="frozen"/>
      <selection/>
      <selection pane="bottomLeft" activeCell="A1" sqref="A1:G1"/>
    </sheetView>
  </sheetViews>
  <sheetFormatPr defaultColWidth="9" defaultRowHeight="13.5" outlineLevelRow="4" outlineLevelCol="6"/>
  <cols>
    <col min="1" max="1" width="17.625" customWidth="1"/>
    <col min="2" max="2" width="21.75" customWidth="1"/>
    <col min="3" max="3" width="36" customWidth="1"/>
    <col min="4" max="4" width="34.75" customWidth="1"/>
    <col min="5" max="5" width="32.375" customWidth="1"/>
    <col min="6" max="6" width="36.25" customWidth="1"/>
    <col min="7" max="7" width="24.5" customWidth="1"/>
  </cols>
  <sheetData>
    <row r="1" ht="26" customHeight="1" spans="1:7">
      <c r="A1" s="2" t="s">
        <v>1601</v>
      </c>
      <c r="B1" s="2"/>
      <c r="C1" s="2"/>
      <c r="D1" s="2"/>
      <c r="E1" s="2"/>
      <c r="F1" s="2"/>
      <c r="G1" s="2"/>
    </row>
    <row r="2" ht="105" customHeight="1" spans="1:7">
      <c r="A2" s="83" t="s">
        <v>1602</v>
      </c>
      <c r="B2" s="84"/>
      <c r="C2" s="84"/>
      <c r="D2" s="84"/>
      <c r="E2" s="84"/>
      <c r="F2" s="84"/>
      <c r="G2" s="84"/>
    </row>
    <row r="3" ht="21" customHeight="1" spans="1:4">
      <c r="A3" s="100" t="s">
        <v>553</v>
      </c>
      <c r="B3" s="101"/>
      <c r="C3" s="45"/>
      <c r="D3" s="45"/>
    </row>
    <row r="4" ht="20" customHeight="1" spans="1:4">
      <c r="A4" s="229" t="s">
        <v>582</v>
      </c>
      <c r="B4" s="186" t="s">
        <v>1603</v>
      </c>
      <c r="C4" s="186" t="s">
        <v>560</v>
      </c>
      <c r="D4" s="186" t="s">
        <v>558</v>
      </c>
    </row>
    <row r="5" ht="19" customHeight="1" spans="1:4">
      <c r="A5" s="126" t="s">
        <v>1604</v>
      </c>
      <c r="B5" s="126" t="str">
        <f>MIDB(A5,1,2)</f>
        <v>雪</v>
      </c>
      <c r="C5" s="126" t="str">
        <f>_xlfn.FORMULATEXT(B5)</f>
        <v>=MIDB(A5,1,2)</v>
      </c>
      <c r="D5" s="126" t="s">
        <v>1605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17.875" customWidth="1"/>
    <col min="3" max="3" width="20.75" customWidth="1"/>
    <col min="4" max="4" width="34.75" customWidth="1"/>
    <col min="5" max="5" width="32.375" customWidth="1"/>
    <col min="6" max="6" width="36.25" customWidth="1"/>
    <col min="7" max="7" width="24.5" customWidth="1"/>
  </cols>
  <sheetData>
    <row r="1" ht="26" customHeight="1" spans="1:7">
      <c r="A1" s="2" t="s">
        <v>1606</v>
      </c>
      <c r="B1" s="2"/>
      <c r="C1" s="2"/>
      <c r="D1" s="2"/>
      <c r="E1" s="2"/>
      <c r="F1" s="2"/>
      <c r="G1" s="2"/>
    </row>
    <row r="2" ht="61" customHeight="1" spans="1:7">
      <c r="A2" s="83" t="s">
        <v>1607</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230" t="s">
        <v>1608</v>
      </c>
      <c r="B5" s="231">
        <f>LEN(A5)</f>
        <v>4</v>
      </c>
      <c r="C5" s="126" t="str">
        <f>_xlfn.FORMULATEXT(B5)</f>
        <v>=LEN(A5)</v>
      </c>
      <c r="D5" s="230" t="s">
        <v>1609</v>
      </c>
    </row>
    <row r="6" ht="19" customHeight="1" spans="1:4">
      <c r="A6" s="230"/>
      <c r="B6" s="231">
        <f>LEN(A6)</f>
        <v>0</v>
      </c>
      <c r="C6" s="126" t="str">
        <f>_xlfn.FORMULATEXT(B6)</f>
        <v>=LEN(A6)</v>
      </c>
      <c r="D6" s="230" t="s">
        <v>1610</v>
      </c>
    </row>
    <row r="7" ht="14.25" spans="1:4">
      <c r="A7" s="230" t="s">
        <v>1611</v>
      </c>
      <c r="B7" s="231">
        <f>LEN(A7)</f>
        <v>7</v>
      </c>
      <c r="C7" s="126" t="str">
        <f>_xlfn.FORMULATEXT(B7)</f>
        <v>=LEN(A7)</v>
      </c>
      <c r="D7" s="230" t="s">
        <v>1612</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17.875" customWidth="1"/>
    <col min="3" max="3" width="20.75" customWidth="1"/>
    <col min="4" max="4" width="34.75" customWidth="1"/>
    <col min="5" max="5" width="32.375" customWidth="1"/>
    <col min="6" max="6" width="36.25" customWidth="1"/>
    <col min="7" max="7" width="24.5" customWidth="1"/>
  </cols>
  <sheetData>
    <row r="1" ht="26" customHeight="1" spans="1:7">
      <c r="A1" s="2" t="s">
        <v>1613</v>
      </c>
      <c r="B1" s="2"/>
      <c r="C1" s="2"/>
      <c r="D1" s="2"/>
      <c r="E1" s="2"/>
      <c r="F1" s="2"/>
      <c r="G1" s="2"/>
    </row>
    <row r="2" ht="60" customHeight="1" spans="1:7">
      <c r="A2" s="83" t="s">
        <v>1614</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230" t="s">
        <v>1608</v>
      </c>
      <c r="B5" s="231">
        <f>LENB(A5)</f>
        <v>8</v>
      </c>
      <c r="C5" s="126" t="str">
        <f t="shared" ref="C5:C7" si="0">_xlfn.FORMULATEXT(B5)</f>
        <v>=LENB(A5)</v>
      </c>
      <c r="D5" s="230" t="s">
        <v>1615</v>
      </c>
    </row>
    <row r="6" ht="19" customHeight="1" spans="1:4">
      <c r="A6" s="230" t="s">
        <v>1616</v>
      </c>
      <c r="B6" s="231">
        <f>LENB(A6)</f>
        <v>1</v>
      </c>
      <c r="C6" s="126" t="str">
        <f t="shared" si="0"/>
        <v>=LENB(A6)</v>
      </c>
      <c r="D6" s="230" t="s">
        <v>1610</v>
      </c>
    </row>
    <row r="7" ht="24" spans="1:4">
      <c r="A7" s="230" t="s">
        <v>1611</v>
      </c>
      <c r="B7" s="231">
        <f>LENB(A7)</f>
        <v>11</v>
      </c>
      <c r="C7" s="126" t="str">
        <f t="shared" si="0"/>
        <v>=LENB(A7)</v>
      </c>
      <c r="D7" s="230" t="s">
        <v>1617</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17.875" customWidth="1"/>
    <col min="3" max="3" width="20.75" customWidth="1"/>
    <col min="4" max="4" width="34.75" customWidth="1"/>
    <col min="5" max="5" width="32.375" customWidth="1"/>
    <col min="6" max="6" width="36.25" customWidth="1"/>
    <col min="7" max="7" width="24.5" customWidth="1"/>
  </cols>
  <sheetData>
    <row r="1" ht="26" customHeight="1" spans="1:7">
      <c r="A1" s="2" t="s">
        <v>1618</v>
      </c>
      <c r="B1" s="2"/>
      <c r="C1" s="2"/>
      <c r="D1" s="2"/>
      <c r="E1" s="2"/>
      <c r="F1" s="2"/>
      <c r="G1" s="2"/>
    </row>
    <row r="2" ht="60" customHeight="1" spans="1:7">
      <c r="A2" s="83" t="s">
        <v>1619</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230" t="s">
        <v>1620</v>
      </c>
      <c r="B5" s="230" t="str">
        <f>LOWER(A5)</f>
        <v>java 技术力量</v>
      </c>
      <c r="C5" s="126" t="str">
        <f>_xlfn.FORMULATEXT(B5)</f>
        <v>=LOWER(A5)</v>
      </c>
      <c r="D5" s="230" t="s">
        <v>1621</v>
      </c>
    </row>
    <row r="6" ht="19" customHeight="1" spans="1:4">
      <c r="A6" s="230" t="s">
        <v>1622</v>
      </c>
      <c r="B6" s="231" t="str">
        <f>LOWER(A6)</f>
        <v>ie</v>
      </c>
      <c r="C6" s="126" t="str">
        <f>_xlfn.FORMULATEXT(B6)</f>
        <v>=LOWER(A6)</v>
      </c>
      <c r="D6" s="230" t="s">
        <v>1623</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21.75" customWidth="1"/>
    <col min="3" max="3" width="25" customWidth="1"/>
    <col min="4" max="4" width="31.5" customWidth="1"/>
    <col min="5" max="5" width="24.75" customWidth="1"/>
    <col min="6" max="6" width="15.625" customWidth="1"/>
    <col min="7" max="7" width="24.5" customWidth="1"/>
  </cols>
  <sheetData>
    <row r="1" ht="26" customHeight="1" spans="1:7">
      <c r="A1" s="2" t="s">
        <v>1624</v>
      </c>
      <c r="B1" s="2"/>
      <c r="C1" s="2"/>
      <c r="D1" s="2"/>
      <c r="E1" s="2"/>
      <c r="F1" s="2"/>
      <c r="G1" s="2"/>
    </row>
    <row r="2" ht="117" customHeight="1" spans="1:7">
      <c r="A2" s="83" t="s">
        <v>1625</v>
      </c>
      <c r="B2" s="84"/>
      <c r="C2" s="84"/>
      <c r="D2" s="84"/>
      <c r="E2" s="84"/>
      <c r="F2" s="84"/>
      <c r="G2" s="84"/>
    </row>
    <row r="3" ht="21" customHeight="1" spans="1:4">
      <c r="A3" s="100" t="s">
        <v>553</v>
      </c>
      <c r="B3" s="101"/>
      <c r="C3" s="45"/>
      <c r="D3" s="45"/>
    </row>
    <row r="4" ht="20" customHeight="1" spans="1:4">
      <c r="A4" s="229" t="s">
        <v>582</v>
      </c>
      <c r="B4" s="186" t="s">
        <v>590</v>
      </c>
      <c r="C4" s="186" t="s">
        <v>560</v>
      </c>
      <c r="D4" s="186" t="s">
        <v>558</v>
      </c>
    </row>
    <row r="5" ht="19" customHeight="1" spans="1:4">
      <c r="A5" s="126" t="s">
        <v>1626</v>
      </c>
      <c r="B5" s="126" t="str">
        <f>LEFTB(A5,4)</f>
        <v>Sale</v>
      </c>
      <c r="C5" s="126" t="str">
        <f>_xlfn.FORMULATEXT(B5)</f>
        <v>=LEFTB(A5,4)</v>
      </c>
      <c r="D5" s="126" t="s">
        <v>1592</v>
      </c>
    </row>
    <row r="6" ht="19" customHeight="1" spans="1:4">
      <c r="A6" s="126" t="s">
        <v>1565</v>
      </c>
      <c r="B6" s="126" t="str">
        <f>LEFTB(A6,2)</f>
        <v>电</v>
      </c>
      <c r="C6" s="126" t="str">
        <f>_xlfn.FORMULATEXT(B6)</f>
        <v>=LEFTB(A6,2)</v>
      </c>
      <c r="D6" s="126" t="s">
        <v>1594</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C15" sqref="C15"/>
    </sheetView>
  </sheetViews>
  <sheetFormatPr defaultColWidth="9" defaultRowHeight="13.5" outlineLevelRow="6" outlineLevelCol="6"/>
  <cols>
    <col min="1" max="1" width="17.625" customWidth="1"/>
    <col min="2" max="2" width="19.375" customWidth="1"/>
    <col min="3" max="3" width="31" customWidth="1"/>
    <col min="4" max="4" width="34.75" customWidth="1"/>
    <col min="5" max="5" width="32.375" customWidth="1"/>
    <col min="6" max="6" width="36.25" customWidth="1"/>
    <col min="7" max="7" width="24.5" customWidth="1"/>
  </cols>
  <sheetData>
    <row r="1" ht="26" customHeight="1" spans="1:7">
      <c r="A1" s="2" t="s">
        <v>1627</v>
      </c>
      <c r="B1" s="2"/>
      <c r="C1" s="2"/>
      <c r="D1" s="2"/>
      <c r="E1" s="2"/>
      <c r="F1" s="2"/>
      <c r="G1" s="2"/>
    </row>
    <row r="2" ht="102" customHeight="1" spans="1:7">
      <c r="A2" s="83" t="s">
        <v>1628</v>
      </c>
      <c r="B2" s="84"/>
      <c r="C2" s="84"/>
      <c r="D2" s="84"/>
      <c r="E2" s="84"/>
      <c r="F2" s="84"/>
      <c r="G2" s="84"/>
    </row>
    <row r="3" ht="21" customHeight="1" spans="1:4">
      <c r="A3" s="100" t="s">
        <v>553</v>
      </c>
      <c r="B3" s="101"/>
      <c r="C3" s="45"/>
      <c r="D3" s="45"/>
    </row>
    <row r="4" ht="20" customHeight="1" spans="1:3">
      <c r="A4" s="106" t="s">
        <v>590</v>
      </c>
      <c r="B4" s="106" t="s">
        <v>560</v>
      </c>
      <c r="C4" s="106" t="s">
        <v>622</v>
      </c>
    </row>
    <row r="5" ht="19" customHeight="1" spans="1:3">
      <c r="A5" s="126" t="b">
        <f>AND(TRUE,TRUE)</f>
        <v>1</v>
      </c>
      <c r="B5" s="164" t="str">
        <f>_xlfn.FORMULATEXT(A5)</f>
        <v>=AND(TRUE,TRUE)</v>
      </c>
      <c r="C5" s="126" t="s">
        <v>1629</v>
      </c>
    </row>
    <row r="6" ht="19" customHeight="1" spans="1:3">
      <c r="A6" s="126" t="b">
        <f>AND(TRUE,FALSE)</f>
        <v>0</v>
      </c>
      <c r="B6" s="164" t="str">
        <f>_xlfn.FORMULATEXT(A6)</f>
        <v>=AND(TRUE,FALSE)</v>
      </c>
      <c r="C6" s="126" t="s">
        <v>1630</v>
      </c>
    </row>
    <row r="7" ht="19" customHeight="1" spans="1:3">
      <c r="A7" s="126" t="b">
        <f>AND(2+2=4,2+3=5)</f>
        <v>1</v>
      </c>
      <c r="B7" s="164" t="str">
        <f>_xlfn.FORMULATEXT(A7)</f>
        <v>=AND(2+2=4,2+3=5)</v>
      </c>
      <c r="C7" s="126" t="s">
        <v>1631</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workbookViewId="0">
      <pane ySplit="2" topLeftCell="A3" activePane="bottomLeft" state="frozen"/>
      <selection/>
      <selection pane="bottomLeft" activeCell="A1" sqref="A1:G1"/>
    </sheetView>
  </sheetViews>
  <sheetFormatPr defaultColWidth="9" defaultRowHeight="13.5" outlineLevelRow="5" outlineLevelCol="6"/>
  <cols>
    <col min="1" max="1" width="17.625" customWidth="1"/>
    <col min="2" max="2" width="19.375" customWidth="1"/>
    <col min="3" max="3" width="31" customWidth="1"/>
    <col min="4" max="4" width="34.75" customWidth="1"/>
    <col min="5" max="5" width="32.375" customWidth="1"/>
    <col min="6" max="6" width="36.25" customWidth="1"/>
    <col min="7" max="7" width="24.5" customWidth="1"/>
  </cols>
  <sheetData>
    <row r="1" ht="26" customHeight="1" spans="1:7">
      <c r="A1" s="2" t="s">
        <v>1632</v>
      </c>
      <c r="B1" s="2"/>
      <c r="C1" s="2"/>
      <c r="D1" s="2"/>
      <c r="E1" s="2"/>
      <c r="F1" s="2"/>
      <c r="G1" s="2"/>
    </row>
    <row r="2" ht="78" customHeight="1" spans="1:7">
      <c r="A2" s="83" t="s">
        <v>1633</v>
      </c>
      <c r="B2" s="84"/>
      <c r="C2" s="84"/>
      <c r="D2" s="84"/>
      <c r="E2" s="84"/>
      <c r="F2" s="84"/>
      <c r="G2" s="84"/>
    </row>
    <row r="3" ht="21" customHeight="1" spans="1:4">
      <c r="A3" s="100" t="s">
        <v>553</v>
      </c>
      <c r="B3" s="101"/>
      <c r="C3" s="45"/>
      <c r="D3" s="45"/>
    </row>
    <row r="4" ht="20" customHeight="1" spans="1:3">
      <c r="A4" s="106" t="s">
        <v>590</v>
      </c>
      <c r="B4" s="106" t="s">
        <v>560</v>
      </c>
      <c r="C4" s="106" t="s">
        <v>622</v>
      </c>
    </row>
    <row r="5" ht="19" customHeight="1" spans="1:3">
      <c r="A5" s="126" t="b">
        <f>NOT(FALSE)</f>
        <v>1</v>
      </c>
      <c r="B5" s="164" t="str">
        <f>_xlfn.FORMULATEXT(A5)</f>
        <v>=NOT(FALSE)</v>
      </c>
      <c r="C5" s="126" t="s">
        <v>1634</v>
      </c>
    </row>
    <row r="6" ht="19" customHeight="1" spans="1:3">
      <c r="A6" s="126" t="b">
        <f>NOT(1+1=2)</f>
        <v>0</v>
      </c>
      <c r="B6" s="164" t="str">
        <f>_xlfn.FORMULATEXT(A6)</f>
        <v>=NOT(1+1=2)</v>
      </c>
      <c r="C6" s="126" t="s">
        <v>1635</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pane ySplit="2" topLeftCell="A3" activePane="bottomLeft" state="frozen"/>
      <selection/>
      <selection pane="bottomLeft" activeCell="A1" sqref="A1:G1"/>
    </sheetView>
  </sheetViews>
  <sheetFormatPr defaultColWidth="9" defaultRowHeight="13.5" outlineLevelRow="6" outlineLevelCol="6"/>
  <cols>
    <col min="1" max="1" width="17.625" customWidth="1"/>
    <col min="2" max="2" width="19.375" customWidth="1"/>
    <col min="3" max="3" width="31" customWidth="1"/>
    <col min="4" max="4" width="34.75" customWidth="1"/>
    <col min="5" max="5" width="32.375" customWidth="1"/>
    <col min="6" max="6" width="36.25" customWidth="1"/>
    <col min="7" max="7" width="24.5" customWidth="1"/>
  </cols>
  <sheetData>
    <row r="1" ht="26" customHeight="1" spans="1:7">
      <c r="A1" s="2" t="s">
        <v>1636</v>
      </c>
      <c r="B1" s="2"/>
      <c r="C1" s="2"/>
      <c r="D1" s="2"/>
      <c r="E1" s="2"/>
      <c r="F1" s="2"/>
      <c r="G1" s="2"/>
    </row>
    <row r="2" ht="115" customHeight="1" spans="1:7">
      <c r="A2" s="83" t="s">
        <v>1637</v>
      </c>
      <c r="B2" s="84"/>
      <c r="C2" s="84"/>
      <c r="D2" s="84"/>
      <c r="E2" s="84"/>
      <c r="F2" s="84"/>
      <c r="G2" s="84"/>
    </row>
    <row r="3" ht="21" customHeight="1" spans="1:4">
      <c r="A3" s="100" t="s">
        <v>553</v>
      </c>
      <c r="B3" s="101"/>
      <c r="C3" s="45"/>
      <c r="D3" s="45"/>
    </row>
    <row r="4" ht="20" customHeight="1" spans="1:3">
      <c r="A4" s="106" t="s">
        <v>590</v>
      </c>
      <c r="B4" s="106" t="s">
        <v>560</v>
      </c>
      <c r="C4" s="106" t="s">
        <v>622</v>
      </c>
    </row>
    <row r="5" ht="19" customHeight="1" spans="1:3">
      <c r="A5" s="126" t="b">
        <f>OR(TRUE)</f>
        <v>1</v>
      </c>
      <c r="B5" s="164" t="str">
        <f>_xlfn.FORMULATEXT(A5)</f>
        <v>=OR(TRUE)</v>
      </c>
      <c r="C5" s="126" t="s">
        <v>1638</v>
      </c>
    </row>
    <row r="6" ht="19" customHeight="1" spans="1:3">
      <c r="A6" s="126" t="b">
        <f>OR(1+1=1,2+2=5)</f>
        <v>0</v>
      </c>
      <c r="B6" s="164" t="str">
        <f>_xlfn.FORMULATEXT(A6)</f>
        <v>=OR(1+1=1,2+2=5)</v>
      </c>
      <c r="C6" s="126" t="s">
        <v>1639</v>
      </c>
    </row>
    <row r="7" ht="14.25" spans="1:3">
      <c r="A7" s="126" t="b">
        <f>OR(TRUE,FALSE,TRUE)</f>
        <v>1</v>
      </c>
      <c r="B7" s="164" t="str">
        <f>_xlfn.FORMULATEXT(A7)</f>
        <v>=OR(TRUE,FALSE,TRUE)</v>
      </c>
      <c r="C7" s="126" t="s">
        <v>1640</v>
      </c>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
  <sheetViews>
    <sheetView showGridLines="0" workbookViewId="0">
      <pane ySplit="2" topLeftCell="A3" activePane="bottomLeft" state="frozen"/>
      <selection/>
      <selection pane="bottomLeft" activeCell="A1" sqref="A1:H1"/>
    </sheetView>
  </sheetViews>
  <sheetFormatPr defaultColWidth="9" defaultRowHeight="13.5" outlineLevelCol="7"/>
  <cols>
    <col min="1" max="1" width="17.625" customWidth="1"/>
    <col min="2" max="3" width="17.25" customWidth="1"/>
    <col min="4" max="4" width="20.875" customWidth="1"/>
    <col min="5" max="5" width="54.125" customWidth="1"/>
    <col min="6" max="6" width="32.375" customWidth="1"/>
    <col min="7" max="7" width="36.25" customWidth="1"/>
    <col min="8" max="8" width="24.5" customWidth="1"/>
  </cols>
  <sheetData>
    <row r="1" ht="26" customHeight="1" spans="1:8">
      <c r="A1" s="2" t="s">
        <v>1641</v>
      </c>
      <c r="B1" s="2"/>
      <c r="C1" s="2"/>
      <c r="D1" s="2"/>
      <c r="E1" s="2"/>
      <c r="F1" s="2"/>
      <c r="G1" s="2"/>
      <c r="H1" s="2"/>
    </row>
    <row r="2" ht="105" customHeight="1" spans="1:8">
      <c r="A2" s="83" t="s">
        <v>1642</v>
      </c>
      <c r="B2" s="84"/>
      <c r="C2" s="84"/>
      <c r="D2" s="84"/>
      <c r="E2" s="84"/>
      <c r="F2" s="84"/>
      <c r="G2" s="84"/>
      <c r="H2" s="84"/>
    </row>
    <row r="3" ht="21" customHeight="1" spans="1:5">
      <c r="A3" s="100" t="s">
        <v>553</v>
      </c>
      <c r="B3" s="101"/>
      <c r="C3" s="45"/>
      <c r="D3" s="45"/>
      <c r="E3" s="45"/>
    </row>
    <row r="4" ht="20" customHeight="1" spans="1:5">
      <c r="A4" s="106" t="s">
        <v>586</v>
      </c>
      <c r="B4" s="106" t="s">
        <v>604</v>
      </c>
      <c r="C4" s="106" t="s">
        <v>590</v>
      </c>
      <c r="D4" s="106" t="s">
        <v>560</v>
      </c>
      <c r="E4" s="106" t="s">
        <v>558</v>
      </c>
    </row>
    <row r="5" ht="19" customHeight="1" spans="1:5">
      <c r="A5" s="226">
        <v>39860</v>
      </c>
      <c r="B5" s="86" t="s">
        <v>1643</v>
      </c>
      <c r="C5" s="227">
        <f>WORKDAY(A5,A6)</f>
        <v>39895</v>
      </c>
      <c r="D5" s="227" t="str">
        <f>_xlfn.FORMULATEXT(C5)</f>
        <v>=WORKDAY(A5,A6)</v>
      </c>
      <c r="E5" s="228" t="s">
        <v>1644</v>
      </c>
    </row>
    <row r="6" ht="19" customHeight="1" spans="1:5">
      <c r="A6" s="86">
        <v>25</v>
      </c>
      <c r="B6" s="86" t="s">
        <v>1645</v>
      </c>
      <c r="C6" s="227">
        <f>WORKDAY(A5,A6,A7:A9)</f>
        <v>39896</v>
      </c>
      <c r="D6" s="227" t="str">
        <f>_xlfn.FORMULATEXT(C6)</f>
        <v>=WORKDAY(A5,A6,A7:A9)</v>
      </c>
      <c r="E6" s="228" t="s">
        <v>1646</v>
      </c>
    </row>
    <row r="7" ht="19" customHeight="1" spans="1:5">
      <c r="A7" s="226">
        <v>39888</v>
      </c>
      <c r="B7" s="86" t="s">
        <v>1647</v>
      </c>
      <c r="C7" s="127"/>
      <c r="D7" s="127"/>
      <c r="E7" s="127"/>
    </row>
    <row r="8" ht="14.25" spans="1:5">
      <c r="A8" s="226">
        <v>39980</v>
      </c>
      <c r="B8" s="86" t="s">
        <v>1647</v>
      </c>
      <c r="C8" s="127"/>
      <c r="D8" s="127"/>
      <c r="E8" s="127"/>
    </row>
    <row r="9" ht="14.25" spans="1:5">
      <c r="A9" s="226">
        <v>40045</v>
      </c>
      <c r="B9" s="86" t="s">
        <v>1647</v>
      </c>
      <c r="C9" s="127"/>
      <c r="D9" s="127"/>
      <c r="E9" s="127"/>
    </row>
  </sheetData>
  <mergeCells count="3">
    <mergeCell ref="A1:H1"/>
    <mergeCell ref="A2:H2"/>
    <mergeCell ref="B3:E3"/>
  </mergeCells>
  <dataValidations count="1">
    <dataValidation type="list" allowBlank="1" showInputMessage="1" showErrorMessage="1" sqref="B2 C2 D2">
      <formula1>函数!$C$1:$C$9</formula1>
    </dataValidation>
  </dataValidations>
  <pageMargins left="0.75" right="0.75" top="1" bottom="1" header="0.511805555555556" footer="0.511805555555556"/>
  <headerFooter/>
  <drawing r:id="rId1"/>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
  <sheetViews>
    <sheetView workbookViewId="0">
      <pane ySplit="2" topLeftCell="A3" activePane="bottomLeft" state="frozen"/>
      <selection/>
      <selection pane="bottomLeft" activeCell="A1" sqref="A1:F1"/>
    </sheetView>
  </sheetViews>
  <sheetFormatPr defaultColWidth="9" defaultRowHeight="13.5" outlineLevelRow="5" outlineLevelCol="5"/>
  <cols>
    <col min="1" max="1" width="17.625" customWidth="1"/>
    <col min="2" max="2" width="20.625" customWidth="1"/>
    <col min="3" max="3" width="19" customWidth="1"/>
    <col min="4" max="4" width="12" customWidth="1"/>
    <col min="5" max="5" width="36.25" customWidth="1"/>
    <col min="6" max="6" width="24.5" customWidth="1"/>
  </cols>
  <sheetData>
    <row r="1" ht="26" customHeight="1" spans="1:6">
      <c r="A1" s="2" t="s">
        <v>1648</v>
      </c>
      <c r="B1" s="2"/>
      <c r="C1" s="2"/>
      <c r="D1" s="2"/>
      <c r="E1" s="2"/>
      <c r="F1" s="2"/>
    </row>
    <row r="2" ht="89" customHeight="1" spans="1:6">
      <c r="A2" s="83" t="s">
        <v>1649</v>
      </c>
      <c r="B2" s="84"/>
      <c r="C2" s="84"/>
      <c r="D2" s="84"/>
      <c r="E2" s="84"/>
      <c r="F2" s="84"/>
    </row>
    <row r="3" ht="21" customHeight="1" spans="1:3">
      <c r="A3" s="100" t="s">
        <v>553</v>
      </c>
      <c r="B3" s="101"/>
      <c r="C3" s="45"/>
    </row>
    <row r="4" ht="20" customHeight="1" spans="1:4">
      <c r="A4" s="106" t="s">
        <v>1650</v>
      </c>
      <c r="B4" s="106" t="s">
        <v>558</v>
      </c>
      <c r="C4" s="106" t="s">
        <v>560</v>
      </c>
      <c r="D4" s="106" t="s">
        <v>590</v>
      </c>
    </row>
    <row r="5" ht="19" customHeight="1" spans="1:4">
      <c r="A5" s="224">
        <v>0.187789351851852</v>
      </c>
      <c r="B5" s="224" t="s">
        <v>1651</v>
      </c>
      <c r="C5" s="224" t="str">
        <f>_xlfn.FORMULATEXT(D5)</f>
        <v>=SECOND(A5)</v>
      </c>
      <c r="D5" s="225">
        <f>SECOND(A5)</f>
        <v>25</v>
      </c>
    </row>
    <row r="6" ht="19" customHeight="1" spans="1:4">
      <c r="A6" s="224">
        <v>0.6875</v>
      </c>
      <c r="B6" s="224" t="s">
        <v>1652</v>
      </c>
      <c r="C6" s="224" t="str">
        <f>_xlfn.FORMULATEXT(D6)</f>
        <v>=SECOND(A6)</v>
      </c>
      <c r="D6" s="225">
        <f>SECOND(A6)</f>
        <v>0</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
  <sheetViews>
    <sheetView workbookViewId="0">
      <pane ySplit="2" topLeftCell="A3" activePane="bottomLeft" state="frozen"/>
      <selection/>
      <selection pane="bottomLeft" activeCell="A1" sqref="A1:F1"/>
    </sheetView>
  </sheetViews>
  <sheetFormatPr defaultColWidth="9" defaultRowHeight="13.5" outlineLevelRow="1" outlineLevelCol="5"/>
  <cols>
    <col min="1" max="1" width="17.625" customWidth="1"/>
    <col min="2" max="2" width="20.625" customWidth="1"/>
    <col min="3" max="3" width="19" customWidth="1"/>
    <col min="4" max="4" width="12" customWidth="1"/>
    <col min="5" max="5" width="36.25" customWidth="1"/>
    <col min="6" max="6" width="24.5" customWidth="1"/>
  </cols>
  <sheetData>
    <row r="1" ht="26" customHeight="1" spans="1:6">
      <c r="A1" s="2" t="s">
        <v>1653</v>
      </c>
      <c r="B1" s="2"/>
      <c r="C1" s="2"/>
      <c r="D1" s="2"/>
      <c r="E1" s="2"/>
      <c r="F1" s="2"/>
    </row>
    <row r="2" ht="76" customHeight="1" spans="1:6">
      <c r="A2" s="83" t="s">
        <v>1654</v>
      </c>
      <c r="B2" s="84"/>
      <c r="C2" s="84"/>
      <c r="D2" s="84"/>
      <c r="E2" s="84"/>
      <c r="F2" s="84"/>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
  <sheetViews>
    <sheetView workbookViewId="0">
      <pane ySplit="2" topLeftCell="A3" activePane="bottomLeft" state="frozen"/>
      <selection/>
      <selection pane="bottomLeft" activeCell="D19" sqref="D19"/>
    </sheetView>
  </sheetViews>
  <sheetFormatPr defaultColWidth="9" defaultRowHeight="13.5" outlineLevelRow="1" outlineLevelCol="5"/>
  <cols>
    <col min="1" max="1" width="17.625" customWidth="1"/>
    <col min="2" max="2" width="20.625" customWidth="1"/>
    <col min="3" max="3" width="19" customWidth="1"/>
    <col min="4" max="4" width="12" customWidth="1"/>
    <col min="5" max="5" width="36.25" customWidth="1"/>
    <col min="6" max="6" width="24.5" customWidth="1"/>
  </cols>
  <sheetData>
    <row r="1" ht="26" customHeight="1" spans="1:6">
      <c r="A1" s="2" t="s">
        <v>1655</v>
      </c>
      <c r="B1" s="2"/>
      <c r="C1" s="2"/>
      <c r="D1" s="2"/>
      <c r="E1" s="2"/>
      <c r="F1" s="2"/>
    </row>
    <row r="2" ht="76" customHeight="1" spans="1:6">
      <c r="A2" s="83" t="s">
        <v>1656</v>
      </c>
      <c r="B2" s="84"/>
      <c r="C2" s="84"/>
      <c r="D2" s="84"/>
      <c r="E2" s="84"/>
      <c r="F2" s="84"/>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0.625" customWidth="1"/>
    <col min="3" max="3" width="19" customWidth="1"/>
    <col min="4" max="4" width="12" customWidth="1"/>
    <col min="5" max="5" width="36.25" customWidth="1"/>
    <col min="6" max="6" width="24.5" customWidth="1"/>
  </cols>
  <sheetData>
    <row r="1" ht="26" customHeight="1" spans="1:6">
      <c r="A1" s="2" t="s">
        <v>1657</v>
      </c>
      <c r="B1" s="2"/>
      <c r="C1" s="2"/>
      <c r="D1" s="2"/>
      <c r="E1" s="2"/>
      <c r="F1" s="2"/>
    </row>
    <row r="2" ht="89" customHeight="1" spans="1:6">
      <c r="A2" s="83" t="s">
        <v>1658</v>
      </c>
      <c r="B2" s="84"/>
      <c r="C2" s="84"/>
      <c r="D2" s="84"/>
      <c r="E2" s="84"/>
      <c r="F2" s="84"/>
    </row>
    <row r="3" ht="21" customHeight="1" spans="1:3">
      <c r="A3" s="100" t="s">
        <v>553</v>
      </c>
      <c r="B3" s="101"/>
      <c r="C3" s="45"/>
    </row>
    <row r="4" ht="19" customHeight="1" spans="1:3">
      <c r="A4" s="106" t="s">
        <v>1659</v>
      </c>
      <c r="B4" s="106" t="s">
        <v>1660</v>
      </c>
      <c r="C4" s="106" t="s">
        <v>1661</v>
      </c>
    </row>
    <row r="5" ht="19" customHeight="1" spans="1:3">
      <c r="A5" s="221">
        <v>12</v>
      </c>
      <c r="B5" s="221">
        <v>0</v>
      </c>
      <c r="C5" s="221">
        <v>0</v>
      </c>
    </row>
    <row r="6" ht="17.25" spans="1:3">
      <c r="A6" s="47">
        <v>16</v>
      </c>
      <c r="B6" s="47">
        <v>48</v>
      </c>
      <c r="C6" s="47">
        <v>10</v>
      </c>
    </row>
    <row r="7" ht="16.5" spans="1:3">
      <c r="A7" s="106" t="s">
        <v>590</v>
      </c>
      <c r="B7" s="106" t="s">
        <v>560</v>
      </c>
      <c r="C7" s="106" t="s">
        <v>558</v>
      </c>
    </row>
    <row r="8" ht="34.5" spans="1:3">
      <c r="A8" s="222">
        <f>TIME(A5,B5,C5)</f>
        <v>0.5</v>
      </c>
      <c r="B8" s="23" t="str">
        <f>_xlfn.FORMULATEXT(A8)</f>
        <v>=TIME(A5,B5,C5)</v>
      </c>
      <c r="C8" s="223" t="s">
        <v>1662</v>
      </c>
    </row>
    <row r="9" ht="51.75" spans="1:3">
      <c r="A9" s="222">
        <f>TIME(A6,B6,C6)</f>
        <v>0.700115740740741</v>
      </c>
      <c r="B9" s="23" t="str">
        <f>_xlfn.FORMULATEXT(A9)</f>
        <v>=TIME(A6,B6,C6)</v>
      </c>
      <c r="C9" s="223" t="s">
        <v>1663</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showGridLines="0" workbookViewId="0">
      <pane ySplit="2" topLeftCell="A3" activePane="bottomLeft" state="frozen"/>
      <selection/>
      <selection pane="bottomLeft" activeCell="A1" sqref="A1:F1"/>
    </sheetView>
  </sheetViews>
  <sheetFormatPr defaultColWidth="9" defaultRowHeight="13.5" outlineLevelRow="7" outlineLevelCol="5"/>
  <cols>
    <col min="1" max="1" width="17.625" customWidth="1"/>
    <col min="2" max="2" width="32.875" customWidth="1"/>
    <col min="3" max="3" width="42.5" customWidth="1"/>
    <col min="4" max="4" width="12" customWidth="1"/>
    <col min="5" max="5" width="36.25" customWidth="1"/>
    <col min="6" max="6" width="24.5" customWidth="1"/>
  </cols>
  <sheetData>
    <row r="1" ht="26" customHeight="1" spans="1:6">
      <c r="A1" s="2" t="s">
        <v>1664</v>
      </c>
      <c r="B1" s="2"/>
      <c r="C1" s="2"/>
      <c r="D1" s="2"/>
      <c r="E1" s="2"/>
      <c r="F1" s="2"/>
    </row>
    <row r="2" ht="89" customHeight="1" spans="1:6">
      <c r="A2" s="83" t="s">
        <v>1665</v>
      </c>
      <c r="B2" s="84"/>
      <c r="C2" s="84"/>
      <c r="D2" s="84"/>
      <c r="E2" s="84"/>
      <c r="F2" s="84"/>
    </row>
    <row r="3" ht="21" customHeight="1" spans="1:3">
      <c r="A3" s="100" t="s">
        <v>553</v>
      </c>
      <c r="B3" s="101"/>
      <c r="C3" s="45"/>
    </row>
    <row r="4" ht="19" customHeight="1" spans="1:4">
      <c r="A4" s="106" t="s">
        <v>590</v>
      </c>
      <c r="B4" s="106" t="s">
        <v>560</v>
      </c>
      <c r="C4" s="106" t="s">
        <v>558</v>
      </c>
      <c r="D4" s="106" t="s">
        <v>1666</v>
      </c>
    </row>
    <row r="5" ht="19" customHeight="1" spans="1:4">
      <c r="A5" s="47">
        <f>TIMEVALUE("22-Aug-2008 6:35 AM")</f>
        <v>0.274305555554747</v>
      </c>
      <c r="B5" s="47" t="str">
        <f>_xlfn.FORMULATEXT(A5)</f>
        <v>=TIMEVALUE("22-Aug-2008 6:35 AM")</v>
      </c>
      <c r="C5" s="47" t="s">
        <v>1667</v>
      </c>
      <c r="D5" s="47"/>
    </row>
    <row r="6" ht="17.25" spans="1:4">
      <c r="A6" s="47">
        <f>TIMEVALUE("2:24 AM")</f>
        <v>0.1</v>
      </c>
      <c r="B6" s="47" t="str">
        <f>_xlfn.FORMULATEXT(A6)</f>
        <v>=TIMEVALUE("2:24 AM")</v>
      </c>
      <c r="C6" s="47" t="s">
        <v>1668</v>
      </c>
      <c r="D6" s="47"/>
    </row>
    <row r="7" ht="17.25" spans="1:4">
      <c r="A7" s="47">
        <f>TIMEVALUE(D7)</f>
        <v>0.523611111111111</v>
      </c>
      <c r="B7" s="47" t="str">
        <f>_xlfn.FORMULATEXT(A7)</f>
        <v>=TIMEVALUE(D7)</v>
      </c>
      <c r="C7" s="47" t="s">
        <v>1669</v>
      </c>
      <c r="D7" s="47" t="s">
        <v>1670</v>
      </c>
    </row>
    <row r="8" ht="16.5" spans="1:4">
      <c r="A8" s="220" t="s">
        <v>1671</v>
      </c>
      <c r="B8" s="220"/>
      <c r="C8" s="220"/>
      <c r="D8" s="220"/>
    </row>
  </sheetData>
  <mergeCells count="4">
    <mergeCell ref="A1:F1"/>
    <mergeCell ref="A2:F2"/>
    <mergeCell ref="B3:C3"/>
    <mergeCell ref="A8:D8"/>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
  <sheetViews>
    <sheetView showGridLines="0" workbookViewId="0">
      <pane ySplit="2" topLeftCell="A3" activePane="bottomLeft" state="frozen"/>
      <selection/>
      <selection pane="bottomLeft" activeCell="C13" sqref="C13"/>
    </sheetView>
  </sheetViews>
  <sheetFormatPr defaultColWidth="9" defaultRowHeight="13.5" outlineLevelRow="4" outlineLevelCol="5"/>
  <cols>
    <col min="1" max="1" width="17.625" customWidth="1"/>
    <col min="2" max="2" width="32.875" customWidth="1"/>
    <col min="3" max="3" width="42.5" customWidth="1"/>
    <col min="4" max="4" width="12" customWidth="1"/>
    <col min="5" max="5" width="36.25" customWidth="1"/>
    <col min="6" max="6" width="24.5" customWidth="1"/>
  </cols>
  <sheetData>
    <row r="1" ht="26" customHeight="1" spans="1:6">
      <c r="A1" s="2" t="s">
        <v>1672</v>
      </c>
      <c r="B1" s="2"/>
      <c r="C1" s="2"/>
      <c r="D1" s="2"/>
      <c r="E1" s="2"/>
      <c r="F1" s="2"/>
    </row>
    <row r="2" ht="89" customHeight="1" spans="1:6">
      <c r="A2" s="83" t="s">
        <v>1673</v>
      </c>
      <c r="B2" s="84"/>
      <c r="C2" s="84"/>
      <c r="D2" s="84"/>
      <c r="E2" s="84"/>
      <c r="F2" s="84"/>
    </row>
    <row r="3" ht="21" customHeight="1" spans="1:3">
      <c r="A3" s="100" t="s">
        <v>553</v>
      </c>
      <c r="B3" s="101"/>
      <c r="C3" s="45"/>
    </row>
    <row r="4" ht="19" customHeight="1" spans="1:2">
      <c r="A4" s="106" t="s">
        <v>560</v>
      </c>
      <c r="B4" s="106" t="s">
        <v>1674</v>
      </c>
    </row>
    <row r="5" ht="19" customHeight="1" spans="1:2">
      <c r="A5" s="47" t="str">
        <f ca="1">_xlfn.FORMULATEXT(B5)</f>
        <v>=TODAY()</v>
      </c>
      <c r="B5" s="219">
        <f ca="1">TODAY()</f>
        <v>43945</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17.625" customWidth="1"/>
    <col min="2" max="2" width="26.75" customWidth="1"/>
    <col min="3" max="3" width="19" customWidth="1"/>
    <col min="4" max="4" width="21.375" customWidth="1"/>
    <col min="5" max="5" width="36.25" customWidth="1"/>
    <col min="6" max="6" width="24.5" customWidth="1"/>
  </cols>
  <sheetData>
    <row r="1" ht="26" customHeight="1" spans="1:6">
      <c r="A1" s="2" t="s">
        <v>1675</v>
      </c>
      <c r="B1" s="2"/>
      <c r="C1" s="2"/>
      <c r="D1" s="2"/>
      <c r="E1" s="2"/>
      <c r="F1" s="2"/>
    </row>
    <row r="2" ht="89" customHeight="1" spans="1:6">
      <c r="A2" s="83" t="s">
        <v>1676</v>
      </c>
      <c r="B2" s="84"/>
      <c r="C2" s="84"/>
      <c r="D2" s="84"/>
      <c r="E2" s="84"/>
      <c r="F2" s="84"/>
    </row>
    <row r="3" ht="21" customHeight="1" spans="1:3">
      <c r="A3" s="100" t="s">
        <v>553</v>
      </c>
      <c r="B3" s="101"/>
      <c r="C3" s="45"/>
    </row>
    <row r="4" ht="20" customHeight="1" spans="1:4">
      <c r="A4" s="106" t="s">
        <v>586</v>
      </c>
      <c r="B4" s="106" t="s">
        <v>558</v>
      </c>
      <c r="C4" s="106" t="s">
        <v>560</v>
      </c>
      <c r="D4" s="106" t="s">
        <v>590</v>
      </c>
    </row>
    <row r="5" ht="19" customHeight="1" spans="1:4">
      <c r="A5" s="152">
        <v>28513</v>
      </c>
      <c r="B5" s="105" t="s">
        <v>1677</v>
      </c>
      <c r="C5" s="105" t="str">
        <f>_xlfn.FORMULATEXT(D5)</f>
        <v>=EOMONTH(A5,2)</v>
      </c>
      <c r="D5" s="104">
        <f>EOMONTH(A5,2)</f>
        <v>28580</v>
      </c>
    </row>
    <row r="6" ht="19" customHeight="1" spans="1:4">
      <c r="A6" s="152">
        <f ca="1">TODAY()</f>
        <v>43945</v>
      </c>
      <c r="B6" s="105" t="s">
        <v>1678</v>
      </c>
      <c r="C6" s="105" t="str">
        <f ca="1">_xlfn.FORMULATEXT(D6)</f>
        <v>=EOMONTH(A6,0)</v>
      </c>
      <c r="D6" s="104">
        <f ca="1">EOMONTH(A6,0)</f>
        <v>43951</v>
      </c>
    </row>
    <row r="7" ht="19" customHeight="1" spans="1:4">
      <c r="A7" s="152">
        <v>37112</v>
      </c>
      <c r="B7" s="105" t="s">
        <v>1679</v>
      </c>
      <c r="C7" s="105" t="str">
        <f>_xlfn.FORMULATEXT(D7)</f>
        <v>=EOMONTH(A7,-1)</v>
      </c>
      <c r="D7" s="104">
        <f>EOMONTH(A7,-1)</f>
        <v>37103</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pane ySplit="2" topLeftCell="A3" activePane="bottomLeft" state="frozen"/>
      <selection/>
      <selection pane="bottomLeft" activeCell="A1" sqref="A1:G1"/>
    </sheetView>
  </sheetViews>
  <sheetFormatPr defaultColWidth="9" defaultRowHeight="13.5" outlineLevelCol="6"/>
  <cols>
    <col min="1" max="1" width="17.625" customWidth="1"/>
    <col min="2" max="2" width="53.375" customWidth="1"/>
    <col min="3" max="3" width="25.5" customWidth="1"/>
    <col min="4" max="4" width="19" customWidth="1"/>
    <col min="5" max="5" width="32.375" customWidth="1"/>
    <col min="6" max="6" width="36.25" customWidth="1"/>
    <col min="7" max="7" width="24.5" customWidth="1"/>
  </cols>
  <sheetData>
    <row r="1" ht="26" customHeight="1" spans="1:7">
      <c r="A1" s="2" t="s">
        <v>1680</v>
      </c>
      <c r="B1" s="2"/>
      <c r="C1" s="2"/>
      <c r="D1" s="2"/>
      <c r="E1" s="2"/>
      <c r="F1" s="2"/>
      <c r="G1" s="2"/>
    </row>
    <row r="2" ht="104" customHeight="1" spans="1:7">
      <c r="A2" s="83" t="s">
        <v>1681</v>
      </c>
      <c r="B2" s="84"/>
      <c r="C2" s="84"/>
      <c r="D2" s="84"/>
      <c r="E2" s="84"/>
      <c r="F2" s="84"/>
      <c r="G2" s="84"/>
    </row>
    <row r="3" ht="21" customHeight="1" spans="1:4">
      <c r="A3" s="100" t="s">
        <v>553</v>
      </c>
      <c r="B3" s="101"/>
      <c r="C3" s="45"/>
      <c r="D3" s="45"/>
    </row>
    <row r="4" ht="20" customHeight="1" spans="1:4">
      <c r="A4" s="106" t="s">
        <v>586</v>
      </c>
      <c r="B4" s="106" t="s">
        <v>587</v>
      </c>
      <c r="C4" s="106" t="s">
        <v>560</v>
      </c>
      <c r="D4" s="106" t="s">
        <v>590</v>
      </c>
    </row>
    <row r="5" ht="16.5" spans="1:4">
      <c r="A5" s="215">
        <v>39722</v>
      </c>
      <c r="B5" s="216" t="s">
        <v>1682</v>
      </c>
      <c r="C5" s="216" t="str">
        <f>_xlfn.FORMULATEXT(D5)</f>
        <v>=NETWORKDAYS(A5,A6)</v>
      </c>
      <c r="D5" s="216">
        <f>NETWORKDAYS(A5,A6)</f>
        <v>108</v>
      </c>
    </row>
    <row r="6" ht="16.5" spans="1:4">
      <c r="A6" s="217">
        <v>39873</v>
      </c>
      <c r="B6" s="218" t="s">
        <v>1683</v>
      </c>
      <c r="C6" s="218" t="str">
        <f>_xlfn.FORMULATEXT(D6)</f>
        <v>=NETWORKDAYS(A5,A6,A7)</v>
      </c>
      <c r="D6" s="218">
        <f>NETWORKDAYS(A5,A6,A7)</f>
        <v>107</v>
      </c>
    </row>
    <row r="7" ht="33" spans="1:4">
      <c r="A7" s="217">
        <v>39778</v>
      </c>
      <c r="B7" s="218" t="s">
        <v>1684</v>
      </c>
      <c r="C7" s="218" t="str">
        <f>_xlfn.FORMULATEXT(D7)</f>
        <v>=NETWORKDAYS(A5,A6,A7:A9)</v>
      </c>
      <c r="D7" s="218">
        <f>NETWORKDAYS(A5,A6,A7:A9)</f>
        <v>105</v>
      </c>
    </row>
    <row r="8" ht="16.5" spans="1:4">
      <c r="A8" s="217">
        <v>39786</v>
      </c>
      <c r="B8" s="23"/>
      <c r="C8" s="23"/>
      <c r="D8" s="23"/>
    </row>
    <row r="9" ht="16.5" spans="1:4">
      <c r="A9" s="217">
        <v>39834</v>
      </c>
      <c r="B9" s="23"/>
      <c r="C9" s="23"/>
      <c r="D9" s="23"/>
    </row>
  </sheetData>
  <mergeCells count="3">
    <mergeCell ref="A1:G1"/>
    <mergeCell ref="A2:G2"/>
    <mergeCell ref="B3:D3"/>
  </mergeCells>
  <dataValidations count="1">
    <dataValidation type="list" allowBlank="1" showInputMessage="1" showErrorMessage="1" sqref="B2 C2">
      <formula1>函数!$C$1:$C$9</formula1>
    </dataValidation>
  </dataValidations>
  <pageMargins left="0.75" right="0.75" top="1" bottom="1" header="0.511805555555556" footer="0.511805555555556"/>
  <headerFooter/>
  <drawing r:id="rId1"/>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0.625" customWidth="1"/>
    <col min="3" max="3" width="19" customWidth="1"/>
    <col min="4" max="4" width="32.375" customWidth="1"/>
    <col min="5" max="5" width="36.25" customWidth="1"/>
    <col min="6" max="6" width="24.5" customWidth="1"/>
  </cols>
  <sheetData>
    <row r="1" ht="26" customHeight="1" spans="1:6">
      <c r="A1" s="2" t="s">
        <v>1685</v>
      </c>
      <c r="B1" s="2"/>
      <c r="C1" s="2"/>
      <c r="D1" s="2"/>
      <c r="E1" s="2"/>
      <c r="F1" s="2"/>
    </row>
    <row r="2" ht="79" customHeight="1" spans="1:6">
      <c r="A2" s="83" t="s">
        <v>1686</v>
      </c>
      <c r="B2" s="84"/>
      <c r="C2" s="84"/>
      <c r="D2" s="84"/>
      <c r="E2" s="84"/>
      <c r="F2" s="84"/>
    </row>
    <row r="3" ht="21" customHeight="1" spans="1:3">
      <c r="A3" s="100" t="s">
        <v>553</v>
      </c>
      <c r="B3" s="101"/>
      <c r="C3" s="45"/>
    </row>
    <row r="4" ht="20" customHeight="1" spans="1:3">
      <c r="A4" s="106" t="s">
        <v>586</v>
      </c>
      <c r="B4" s="106" t="s">
        <v>587</v>
      </c>
      <c r="C4" s="106" t="s">
        <v>560</v>
      </c>
    </row>
    <row r="5" ht="19" customHeight="1" spans="1:3">
      <c r="A5" s="152">
        <v>1</v>
      </c>
      <c r="B5" s="105">
        <f>MONTH(A5)</f>
        <v>1</v>
      </c>
      <c r="C5" s="23" t="str">
        <f t="shared" ref="C5:C8" si="0">_xlfn.FORMULATEXT(B5)</f>
        <v>=MONTH(A5)</v>
      </c>
    </row>
    <row r="6" ht="19" customHeight="1" spans="1:3">
      <c r="A6" s="152">
        <f ca="1">TODAY()</f>
        <v>43945</v>
      </c>
      <c r="B6" s="105">
        <f ca="1">MONTH(A6)</f>
        <v>4</v>
      </c>
      <c r="C6" s="23" t="str">
        <f ca="1" t="shared" si="0"/>
        <v>=MONTH(A6)</v>
      </c>
    </row>
    <row r="7" ht="19" customHeight="1" spans="1:3">
      <c r="A7" s="105">
        <v>25628</v>
      </c>
      <c r="B7" s="105">
        <f>MONTH(A7)</f>
        <v>3</v>
      </c>
      <c r="C7" s="23" t="str">
        <f t="shared" si="0"/>
        <v>=MONTH(A7)</v>
      </c>
    </row>
    <row r="8" ht="16.5" spans="1:3">
      <c r="A8" s="105" t="s">
        <v>1687</v>
      </c>
      <c r="B8" s="105" t="e">
        <f>MONTH(A8)</f>
        <v>#VALUE!</v>
      </c>
      <c r="C8" s="23" t="str">
        <f t="shared" si="0"/>
        <v>=MONTH(A8)</v>
      </c>
    </row>
    <row r="9" ht="16.5" spans="1:3">
      <c r="A9" s="21" t="s">
        <v>1688</v>
      </c>
      <c r="B9" s="21"/>
      <c r="C9" s="21"/>
    </row>
  </sheetData>
  <mergeCells count="4">
    <mergeCell ref="A1:F1"/>
    <mergeCell ref="A2:F2"/>
    <mergeCell ref="B3:C3"/>
    <mergeCell ref="A9:C9"/>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0.625" customWidth="1"/>
    <col min="3" max="3" width="19" customWidth="1"/>
    <col min="4" max="4" width="32.375" customWidth="1"/>
    <col min="5" max="5" width="36.25" customWidth="1"/>
    <col min="6" max="6" width="24.5" customWidth="1"/>
  </cols>
  <sheetData>
    <row r="1" ht="26" customHeight="1" spans="1:6">
      <c r="A1" s="2" t="s">
        <v>1689</v>
      </c>
      <c r="B1" s="2"/>
      <c r="C1" s="2"/>
      <c r="D1" s="2"/>
      <c r="E1" s="2"/>
      <c r="F1" s="2"/>
    </row>
    <row r="2" ht="79" customHeight="1" spans="1:6">
      <c r="A2" s="83" t="s">
        <v>1690</v>
      </c>
      <c r="B2" s="84"/>
      <c r="C2" s="84"/>
      <c r="D2" s="84"/>
      <c r="E2" s="84"/>
      <c r="F2" s="84"/>
    </row>
    <row r="3" ht="21" customHeight="1" spans="1:3">
      <c r="A3" s="100" t="s">
        <v>553</v>
      </c>
      <c r="B3" s="101"/>
      <c r="C3" s="45"/>
    </row>
    <row r="4" ht="20" customHeight="1" spans="1:3">
      <c r="A4" s="106" t="s">
        <v>586</v>
      </c>
      <c r="B4" s="106" t="s">
        <v>587</v>
      </c>
      <c r="C4" s="106" t="s">
        <v>560</v>
      </c>
    </row>
    <row r="5" ht="19" customHeight="1" spans="1:3">
      <c r="A5" s="152">
        <v>1</v>
      </c>
      <c r="B5" s="105">
        <f>DAY(A5)</f>
        <v>1</v>
      </c>
      <c r="C5" s="23" t="str">
        <f t="shared" ref="C5:C8" si="0">_xlfn.FORMULATEXT(B5)</f>
        <v>=DAY(A5)</v>
      </c>
    </row>
    <row r="6" ht="19" customHeight="1" spans="1:3">
      <c r="A6" s="152">
        <f ca="1">TODAY()</f>
        <v>43945</v>
      </c>
      <c r="B6" s="105">
        <f ca="1">DAY(A6)</f>
        <v>24</v>
      </c>
      <c r="C6" s="23" t="str">
        <f ca="1" t="shared" si="0"/>
        <v>=DAY(A6)</v>
      </c>
    </row>
    <row r="7" ht="19" customHeight="1" spans="1:3">
      <c r="A7" s="105">
        <v>25628</v>
      </c>
      <c r="B7" s="105">
        <f>DAY(A7)</f>
        <v>1</v>
      </c>
      <c r="C7" s="23" t="str">
        <f t="shared" si="0"/>
        <v>=DAY(A7)</v>
      </c>
    </row>
    <row r="8" ht="16.5" spans="1:3">
      <c r="A8" s="105" t="s">
        <v>1687</v>
      </c>
      <c r="B8" s="105" t="e">
        <f>DAY(A8)</f>
        <v>#VALUE!</v>
      </c>
      <c r="C8" s="23" t="str">
        <f t="shared" si="0"/>
        <v>=DAY(A8)</v>
      </c>
    </row>
    <row r="9" ht="16.5" spans="1:3">
      <c r="A9" s="21" t="s">
        <v>1688</v>
      </c>
      <c r="B9" s="21"/>
      <c r="C9" s="21"/>
    </row>
  </sheetData>
  <mergeCells count="4">
    <mergeCell ref="A1:F1"/>
    <mergeCell ref="A2:F2"/>
    <mergeCell ref="B3:C3"/>
    <mergeCell ref="A9:C9"/>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17.625" customWidth="1"/>
    <col min="2" max="2" width="36.375" customWidth="1"/>
    <col min="3" max="3" width="19" customWidth="1"/>
    <col min="4" max="4" width="29.375" customWidth="1"/>
    <col min="5" max="5" width="36.25" customWidth="1"/>
    <col min="6" max="6" width="27.75" customWidth="1"/>
  </cols>
  <sheetData>
    <row r="1" ht="26" customHeight="1" spans="1:6">
      <c r="A1" s="2" t="s">
        <v>1691</v>
      </c>
      <c r="B1" s="2"/>
      <c r="C1" s="2"/>
      <c r="D1" s="2"/>
      <c r="E1" s="2"/>
      <c r="F1" s="2"/>
    </row>
    <row r="2" ht="103" customHeight="1" spans="1:6">
      <c r="A2" s="83" t="s">
        <v>1692</v>
      </c>
      <c r="B2" s="84"/>
      <c r="C2" s="84"/>
      <c r="D2" s="84"/>
      <c r="E2" s="84"/>
      <c r="F2" s="84"/>
    </row>
    <row r="3" ht="21" customHeight="1" spans="1:3">
      <c r="A3" s="100" t="s">
        <v>553</v>
      </c>
      <c r="B3" s="101"/>
      <c r="C3" s="45"/>
    </row>
    <row r="4" ht="20" customHeight="1" spans="1:4">
      <c r="A4" s="106" t="s">
        <v>586</v>
      </c>
      <c r="B4" s="106" t="s">
        <v>587</v>
      </c>
      <c r="C4" s="106" t="s">
        <v>560</v>
      </c>
      <c r="D4" s="106" t="s">
        <v>590</v>
      </c>
    </row>
    <row r="5" ht="28.5" spans="1:4">
      <c r="A5" s="214">
        <v>40179</v>
      </c>
      <c r="B5" s="126" t="s">
        <v>1693</v>
      </c>
      <c r="C5" s="126" t="str">
        <f>_xlfn.FORMULATEXT(D5)</f>
        <v>=DAYS360(A6,A7)</v>
      </c>
      <c r="D5" s="126">
        <f>DAYS360(A6,A7)</f>
        <v>27</v>
      </c>
    </row>
    <row r="6" ht="28.5" spans="1:4">
      <c r="A6" s="214">
        <v>40269</v>
      </c>
      <c r="B6" s="126" t="s">
        <v>1694</v>
      </c>
      <c r="C6" s="126" t="str">
        <f>_xlfn.FORMULATEXT(D6)</f>
        <v>=DAYS360(A5,A8)</v>
      </c>
      <c r="D6" s="126">
        <f>DAYS360(A5,A8)</f>
        <v>209</v>
      </c>
    </row>
    <row r="7" ht="28.5" spans="1:4">
      <c r="A7" s="214">
        <v>40296</v>
      </c>
      <c r="B7" s="126" t="s">
        <v>1695</v>
      </c>
      <c r="C7" s="126" t="str">
        <f>_xlfn.FORMULATEXT(D7)</f>
        <v>=DAYS360(A5,A7)</v>
      </c>
      <c r="D7" s="126">
        <f>DAYS360(A5,A7)</f>
        <v>117</v>
      </c>
    </row>
    <row r="8" ht="14.25" spans="1:4">
      <c r="A8" s="214">
        <v>40389</v>
      </c>
      <c r="B8" s="164"/>
      <c r="C8" s="126"/>
      <c r="D8" s="126"/>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35.375" customWidth="1"/>
    <col min="2" max="2" width="24.75" customWidth="1"/>
    <col min="3" max="3" width="19" customWidth="1"/>
    <col min="4" max="4" width="32.375" customWidth="1"/>
    <col min="5" max="5" width="36.25" customWidth="1"/>
    <col min="6" max="6" width="24.5" customWidth="1"/>
  </cols>
  <sheetData>
    <row r="1" ht="26" customHeight="1" spans="1:6">
      <c r="A1" s="2" t="s">
        <v>1696</v>
      </c>
      <c r="B1" s="2"/>
      <c r="C1" s="2"/>
      <c r="D1" s="2"/>
      <c r="E1" s="2"/>
      <c r="F1" s="2"/>
    </row>
    <row r="2" ht="90" customHeight="1" spans="1:6">
      <c r="A2" s="83" t="s">
        <v>1697</v>
      </c>
      <c r="B2" s="84"/>
      <c r="C2" s="84"/>
      <c r="D2" s="84"/>
      <c r="E2" s="84"/>
      <c r="F2" s="84"/>
    </row>
    <row r="3" ht="21" customHeight="1" spans="1:3">
      <c r="A3" s="100" t="s">
        <v>553</v>
      </c>
      <c r="B3" s="101"/>
      <c r="C3" s="45"/>
    </row>
    <row r="4" ht="19" customHeight="1" spans="1:3">
      <c r="A4" s="106" t="s">
        <v>622</v>
      </c>
      <c r="B4" s="106" t="s">
        <v>560</v>
      </c>
      <c r="C4" s="106" t="s">
        <v>590</v>
      </c>
    </row>
    <row r="5" ht="24" customHeight="1" spans="1:3">
      <c r="A5" s="86" t="s">
        <v>1698</v>
      </c>
      <c r="B5" s="127" t="str">
        <f>_xlfn.FORMULATEXT(C5)</f>
        <v>=MROUND(8,5)</v>
      </c>
      <c r="C5" s="86">
        <f>MROUND(8,5)</f>
        <v>10</v>
      </c>
    </row>
    <row r="6" ht="24" customHeight="1" spans="1:3">
      <c r="A6" s="86" t="s">
        <v>1699</v>
      </c>
      <c r="B6" s="127" t="str">
        <f>_xlfn.FORMULATEXT(C6)</f>
        <v>=MROUND(-8,-2)</v>
      </c>
      <c r="C6" s="86">
        <f>MROUND(-8,-2)</f>
        <v>-8</v>
      </c>
    </row>
    <row r="7" ht="24" customHeight="1" spans="1:3">
      <c r="A7" s="86" t="s">
        <v>1700</v>
      </c>
      <c r="B7" s="127" t="str">
        <f>_xlfn.FORMULATEXT(C7)</f>
        <v>=MROUND(4.7,0.5)</v>
      </c>
      <c r="C7" s="86">
        <f>MROUND(4.7,0.5)</f>
        <v>4.5</v>
      </c>
    </row>
    <row r="8" ht="24" customHeight="1" spans="1:3">
      <c r="A8" s="86" t="s">
        <v>1701</v>
      </c>
      <c r="B8" s="127" t="str">
        <f>_xlfn.FORMULATEXT(C8)</f>
        <v>=MROUND(8,-4)</v>
      </c>
      <c r="C8" s="86" t="e">
        <f>MROUND(8,-4)</f>
        <v>#NUM!</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35.375" customWidth="1"/>
    <col min="2" max="2" width="24.75" customWidth="1"/>
    <col min="3" max="3" width="19" customWidth="1"/>
    <col min="4" max="4" width="32.375" customWidth="1"/>
    <col min="5" max="5" width="36.25" customWidth="1"/>
    <col min="6" max="6" width="24.5" customWidth="1"/>
  </cols>
  <sheetData>
    <row r="1" ht="26" customHeight="1" spans="1:6">
      <c r="A1" s="2" t="s">
        <v>1702</v>
      </c>
      <c r="B1" s="2"/>
      <c r="C1" s="2"/>
      <c r="D1" s="2"/>
      <c r="E1" s="2"/>
      <c r="F1" s="2"/>
    </row>
    <row r="2" ht="63" customHeight="1" spans="1:6">
      <c r="A2" s="83" t="s">
        <v>1703</v>
      </c>
      <c r="B2" s="84"/>
      <c r="C2" s="84"/>
      <c r="D2" s="84"/>
      <c r="E2" s="84"/>
      <c r="F2" s="84"/>
    </row>
    <row r="3" ht="21" customHeight="1" spans="1:3">
      <c r="A3" s="100" t="s">
        <v>553</v>
      </c>
      <c r="B3" s="101"/>
      <c r="C3" s="45"/>
    </row>
    <row r="4" ht="19" customHeight="1" spans="1:4">
      <c r="A4" s="106" t="s">
        <v>622</v>
      </c>
      <c r="B4" s="106" t="s">
        <v>560</v>
      </c>
      <c r="C4" s="106" t="s">
        <v>590</v>
      </c>
      <c r="D4">
        <v>19.5</v>
      </c>
    </row>
    <row r="5" ht="24" customHeight="1" spans="1:3">
      <c r="A5" s="127" t="s">
        <v>1704</v>
      </c>
      <c r="B5" s="127" t="str">
        <f>_xlfn.FORMULATEXT(C5)</f>
        <v>=INT(8.9)</v>
      </c>
      <c r="C5" s="127">
        <f>INT(8.9)</f>
        <v>8</v>
      </c>
    </row>
    <row r="6" ht="24" customHeight="1" spans="1:3">
      <c r="A6" s="127" t="s">
        <v>1705</v>
      </c>
      <c r="B6" s="127" t="str">
        <f>_xlfn.FORMULATEXT(C6)</f>
        <v>=INT(-8.9)</v>
      </c>
      <c r="C6" s="127">
        <f>INT(-8.9)</f>
        <v>-9</v>
      </c>
    </row>
    <row r="7" ht="24" customHeight="1" spans="1:3">
      <c r="A7" s="127" t="s">
        <v>1706</v>
      </c>
      <c r="B7" s="127" t="str">
        <f>_xlfn.FORMULATEXT(C7)</f>
        <v>=D4-INT(D4)</v>
      </c>
      <c r="C7" s="127">
        <f>D4-INT(D4)</f>
        <v>0.5</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E6" sqref="E6"/>
    </sheetView>
  </sheetViews>
  <sheetFormatPr defaultColWidth="9" defaultRowHeight="13.5" outlineLevelCol="5"/>
  <cols>
    <col min="1" max="1" width="35.375" customWidth="1"/>
    <col min="2" max="2" width="24.75" customWidth="1"/>
    <col min="3" max="3" width="19" customWidth="1"/>
    <col min="4" max="4" width="32.375" customWidth="1"/>
    <col min="5" max="5" width="36.25" customWidth="1"/>
    <col min="6" max="6" width="24.5" customWidth="1"/>
  </cols>
  <sheetData>
    <row r="1" ht="26" customHeight="1" spans="1:6">
      <c r="A1" s="2" t="s">
        <v>1707</v>
      </c>
      <c r="B1" s="2"/>
      <c r="C1" s="2"/>
      <c r="D1" s="2"/>
      <c r="E1" s="2"/>
      <c r="F1" s="2"/>
    </row>
    <row r="2" ht="118" customHeight="1" spans="1:6">
      <c r="A2" s="83" t="s">
        <v>1708</v>
      </c>
      <c r="B2" s="84"/>
      <c r="C2" s="84"/>
      <c r="D2" s="84"/>
      <c r="E2" s="84"/>
      <c r="F2" s="84"/>
    </row>
    <row r="3" ht="21" customHeight="1" spans="1:3">
      <c r="A3" s="100" t="s">
        <v>553</v>
      </c>
      <c r="B3" s="101"/>
      <c r="C3" s="45"/>
    </row>
    <row r="4" ht="19" customHeight="1" spans="1:3">
      <c r="A4" s="106" t="s">
        <v>622</v>
      </c>
      <c r="B4" s="106" t="s">
        <v>560</v>
      </c>
      <c r="C4" s="106" t="s">
        <v>590</v>
      </c>
    </row>
    <row r="5" ht="30" customHeight="1" spans="1:3">
      <c r="A5" s="135" t="s">
        <v>1709</v>
      </c>
      <c r="B5" s="135" t="str">
        <f>_xlfn.FORMULATEXT(C5)</f>
        <v>=FLOOR(2.5,1)</v>
      </c>
      <c r="C5" s="135">
        <f>FLOOR(2.5,1)</f>
        <v>2</v>
      </c>
    </row>
    <row r="6" ht="27" customHeight="1" spans="1:3">
      <c r="A6" s="135" t="s">
        <v>1710</v>
      </c>
      <c r="B6" s="135" t="str">
        <f>_xlfn.FORMULATEXT(C6)</f>
        <v>=FLOOR(-2.5,-2)</v>
      </c>
      <c r="C6" s="135">
        <f>FLOOR(-2.5,-2)</f>
        <v>-2</v>
      </c>
    </row>
    <row r="7" ht="14.25" spans="1:3">
      <c r="A7" s="135" t="s">
        <v>1711</v>
      </c>
      <c r="B7" s="135" t="str">
        <f>_xlfn.FORMULATEXT(C7)</f>
        <v>=FLOOR(-2.5,2)</v>
      </c>
      <c r="C7" s="135" t="e">
        <f>FLOOR(-2.5,2)</f>
        <v>#NUM!</v>
      </c>
    </row>
    <row r="8" ht="28.5" spans="1:3">
      <c r="A8" s="135" t="s">
        <v>1712</v>
      </c>
      <c r="B8" s="135" t="str">
        <f>_xlfn.FORMULATEXT(C8)</f>
        <v>=FLOOR(1.5,0.1)</v>
      </c>
      <c r="C8" s="135">
        <f>FLOOR(1.5,0.1)</f>
        <v>1.5</v>
      </c>
    </row>
    <row r="9" ht="28.5" spans="1:3">
      <c r="A9" s="135" t="s">
        <v>1713</v>
      </c>
      <c r="B9" s="135" t="str">
        <f>_xlfn.FORMULATEXT(C9)</f>
        <v>=FLOOR(0.234,0.01)</v>
      </c>
      <c r="C9" s="135">
        <f>FLOOR(0.234,0.01)</f>
        <v>0.23</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B19" sqref="B19"/>
    </sheetView>
  </sheetViews>
  <sheetFormatPr defaultColWidth="9" defaultRowHeight="13.5" outlineLevelCol="5"/>
  <cols>
    <col min="1" max="1" width="32.625" customWidth="1"/>
    <col min="2" max="2" width="24.75" customWidth="1"/>
    <col min="3" max="3" width="19" customWidth="1"/>
    <col min="4" max="4" width="32.375" customWidth="1"/>
    <col min="5" max="5" width="36.25" customWidth="1"/>
    <col min="6" max="6" width="24.5" customWidth="1"/>
  </cols>
  <sheetData>
    <row r="1" ht="26" customHeight="1" spans="1:6">
      <c r="A1" s="2" t="s">
        <v>1714</v>
      </c>
      <c r="B1" s="2"/>
      <c r="C1" s="2"/>
      <c r="D1" s="2"/>
      <c r="E1" s="2"/>
      <c r="F1" s="2"/>
    </row>
    <row r="2" ht="101" customHeight="1" spans="1:6">
      <c r="A2" s="83" t="s">
        <v>1715</v>
      </c>
      <c r="B2" s="84"/>
      <c r="C2" s="84"/>
      <c r="D2" s="84"/>
      <c r="E2" s="84"/>
      <c r="F2" s="84"/>
    </row>
    <row r="3" ht="21" customHeight="1" spans="1:3">
      <c r="A3" s="100" t="s">
        <v>553</v>
      </c>
      <c r="B3" s="101"/>
      <c r="C3" s="45"/>
    </row>
    <row r="4" ht="19" customHeight="1" spans="1:3">
      <c r="A4" s="106" t="s">
        <v>622</v>
      </c>
      <c r="B4" s="106" t="s">
        <v>560</v>
      </c>
      <c r="C4" s="106" t="s">
        <v>590</v>
      </c>
    </row>
    <row r="5" ht="19" customHeight="1" spans="1:3">
      <c r="A5" s="86" t="s">
        <v>1716</v>
      </c>
      <c r="B5" s="127" t="str">
        <f>_xlfn.FORMULATEXT(C5)</f>
        <v>=CEILING(2.5,1)</v>
      </c>
      <c r="C5" s="86">
        <f>CEILING(2.5,1)</f>
        <v>3</v>
      </c>
    </row>
    <row r="6" ht="19" customHeight="1" spans="1:3">
      <c r="A6" s="86" t="s">
        <v>1717</v>
      </c>
      <c r="B6" s="127" t="str">
        <f>_xlfn.FORMULATEXT(C6)</f>
        <v>=CEILING(-2.5,-2)</v>
      </c>
      <c r="C6" s="86">
        <f>CEILING(-2.5,-2)</f>
        <v>-4</v>
      </c>
    </row>
    <row r="7" ht="14.25" spans="1:3">
      <c r="A7" s="86" t="s">
        <v>1718</v>
      </c>
      <c r="B7" s="127" t="str">
        <f>_xlfn.FORMULATEXT(C7)</f>
        <v>=CEILING(2.5,-2)</v>
      </c>
      <c r="C7" s="86" t="e">
        <f>CEILING(2.5,-2)</f>
        <v>#NUM!</v>
      </c>
    </row>
    <row r="8" ht="14.25" spans="1:3">
      <c r="A8" s="86" t="s">
        <v>1719</v>
      </c>
      <c r="B8" s="127" t="str">
        <f>_xlfn.FORMULATEXT(C8)</f>
        <v>=CEILING(1.5,0.1)</v>
      </c>
      <c r="C8" s="86">
        <f>CEILING(1.5,0.1)</f>
        <v>1.5</v>
      </c>
    </row>
    <row r="9" ht="14.25" spans="1:3">
      <c r="A9" s="86" t="s">
        <v>1720</v>
      </c>
      <c r="B9" s="127" t="str">
        <f>_xlfn.FORMULATEXT(C9)</f>
        <v>=CEILING(0.234,0.01)</v>
      </c>
      <c r="C9" s="86">
        <f>CEILING(0.234,0.01)</f>
        <v>0.24</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showGridLines="0" workbookViewId="0">
      <pane ySplit="2" topLeftCell="A3" activePane="bottomLeft" state="frozen"/>
      <selection/>
      <selection pane="bottomLeft" activeCell="D25" sqref="D25"/>
    </sheetView>
  </sheetViews>
  <sheetFormatPr defaultColWidth="9" defaultRowHeight="13.5" outlineLevelRow="6" outlineLevelCol="5"/>
  <cols>
    <col min="1" max="1" width="17.625" customWidth="1"/>
    <col min="2" max="2" width="24.75" customWidth="1"/>
    <col min="3" max="3" width="20.5" customWidth="1"/>
    <col min="4" max="4" width="32.375" customWidth="1"/>
    <col min="5" max="5" width="36.25" customWidth="1"/>
    <col min="6" max="6" width="24.5" customWidth="1"/>
  </cols>
  <sheetData>
    <row r="1" ht="26" customHeight="1" spans="1:6">
      <c r="A1" s="2" t="s">
        <v>1721</v>
      </c>
      <c r="B1" s="2"/>
      <c r="C1" s="2"/>
      <c r="D1" s="2"/>
      <c r="E1" s="2"/>
      <c r="F1" s="2"/>
    </row>
    <row r="2" ht="61" customHeight="1" spans="1:6">
      <c r="A2" s="83" t="s">
        <v>1722</v>
      </c>
      <c r="B2" s="84"/>
      <c r="C2" s="84"/>
      <c r="D2" s="84"/>
      <c r="E2" s="84"/>
      <c r="F2" s="84"/>
    </row>
    <row r="3" ht="21" customHeight="1" spans="1:3">
      <c r="A3" s="100" t="s">
        <v>553</v>
      </c>
      <c r="B3" s="101"/>
      <c r="C3" s="45"/>
    </row>
    <row r="4" ht="20" customHeight="1" spans="1:4">
      <c r="A4" s="106" t="s">
        <v>582</v>
      </c>
      <c r="B4" s="106" t="s">
        <v>558</v>
      </c>
      <c r="C4" s="106" t="s">
        <v>1723</v>
      </c>
      <c r="D4" s="106" t="s">
        <v>560</v>
      </c>
    </row>
    <row r="5" ht="19" customHeight="1" spans="1:4">
      <c r="A5" s="105">
        <v>125</v>
      </c>
      <c r="B5" s="209" t="s">
        <v>1724</v>
      </c>
      <c r="C5" s="23" t="str">
        <f>IF(A5&gt;120,"超速","合规")</f>
        <v>超速</v>
      </c>
      <c r="D5" s="210" t="str">
        <f>_xlfn.FORMULATEXT(C5)</f>
        <v>=IF(A5&gt;120,"超速","合规")</v>
      </c>
    </row>
    <row r="6" ht="19" customHeight="1" spans="1:4">
      <c r="A6" s="105">
        <v>115</v>
      </c>
      <c r="B6" s="211"/>
      <c r="C6" s="23" t="str">
        <f>IF(A6&gt;120,"超速","合规")</f>
        <v>合规</v>
      </c>
      <c r="D6" s="160"/>
    </row>
    <row r="7" ht="19" customHeight="1" spans="1:4">
      <c r="A7" s="105">
        <v>67</v>
      </c>
      <c r="B7" s="212"/>
      <c r="C7" s="23" t="str">
        <f>IF(A7&gt;120,"超速","合规")</f>
        <v>合规</v>
      </c>
      <c r="D7" s="213"/>
    </row>
  </sheetData>
  <mergeCells count="5">
    <mergeCell ref="A1:F1"/>
    <mergeCell ref="A2:F2"/>
    <mergeCell ref="B3:C3"/>
    <mergeCell ref="B5:B7"/>
    <mergeCell ref="D5:D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
  <sheetViews>
    <sheetView showGridLines="0" workbookViewId="0">
      <pane ySplit="2" topLeftCell="A3" activePane="bottomLeft" state="frozen"/>
      <selection/>
      <selection pane="bottomLeft" activeCell="A1" sqref="A1:G1"/>
    </sheetView>
  </sheetViews>
  <sheetFormatPr defaultColWidth="9" defaultRowHeight="13.5" outlineLevelRow="7" outlineLevelCol="6"/>
  <cols>
    <col min="1" max="1" width="17.625" customWidth="1"/>
    <col min="2" max="2" width="24.75" customWidth="1"/>
    <col min="3" max="3" width="27.375" customWidth="1"/>
    <col min="4" max="5" width="10" customWidth="1"/>
    <col min="6" max="6" width="42" customWidth="1"/>
    <col min="7" max="7" width="31.25" customWidth="1"/>
  </cols>
  <sheetData>
    <row r="1" ht="26" customHeight="1" spans="1:7">
      <c r="A1" s="2" t="s">
        <v>1725</v>
      </c>
      <c r="B1" s="2"/>
      <c r="C1" s="2"/>
      <c r="D1" s="2"/>
      <c r="E1" s="2"/>
      <c r="F1" s="2"/>
      <c r="G1" s="2"/>
    </row>
    <row r="2" ht="112" customHeight="1" spans="1:7">
      <c r="A2" s="83" t="s">
        <v>1726</v>
      </c>
      <c r="B2" s="84"/>
      <c r="C2" s="84"/>
      <c r="D2" s="84"/>
      <c r="E2" s="84"/>
      <c r="F2" s="84"/>
      <c r="G2" s="84"/>
    </row>
    <row r="3" ht="61" customHeight="1" spans="1:7">
      <c r="A3" s="182" t="s">
        <v>1727</v>
      </c>
      <c r="B3" s="182"/>
      <c r="C3" s="182"/>
      <c r="D3" s="182"/>
      <c r="E3" s="182"/>
      <c r="F3" s="182"/>
      <c r="G3" s="182"/>
    </row>
    <row r="4" ht="21" customHeight="1" spans="1:3">
      <c r="A4" s="100" t="s">
        <v>553</v>
      </c>
      <c r="B4" s="101"/>
      <c r="C4" s="45"/>
    </row>
    <row r="5" ht="19" customHeight="1" spans="1:3">
      <c r="A5" s="106" t="s">
        <v>1728</v>
      </c>
      <c r="B5" s="106" t="s">
        <v>558</v>
      </c>
      <c r="C5" s="106" t="s">
        <v>560</v>
      </c>
    </row>
    <row r="6" ht="19" customHeight="1" spans="1:5">
      <c r="A6" s="208" t="str">
        <f ca="1">OFFSET(B6,-2,-1,1,1)</f>
        <v>实例1</v>
      </c>
      <c r="B6" s="208" t="s">
        <v>1729</v>
      </c>
      <c r="C6" s="208" t="str">
        <f ca="1">_xlfn.FORMULATEXT(A6)</f>
        <v>=OFFSET(B6,-2,-1,1,1)</v>
      </c>
      <c r="E6" s="23">
        <v>6</v>
      </c>
    </row>
    <row r="7" ht="16.5" spans="1:5">
      <c r="A7" s="208">
        <f ca="1">SUM(OFFSET(B6:B8,0,3,3,1))</f>
        <v>21</v>
      </c>
      <c r="B7" s="208" t="s">
        <v>1730</v>
      </c>
      <c r="C7" s="208" t="str">
        <f ca="1">_xlfn.FORMULATEXT(A7)</f>
        <v>=SUM(OFFSET(B6:B8,0,3,3,1))</v>
      </c>
      <c r="E7" s="23">
        <v>7</v>
      </c>
    </row>
    <row r="8" ht="33" spans="1:5">
      <c r="A8" s="208" t="e">
        <f ca="1">OFFSET(B6:D8,0,-3,3,3)</f>
        <v>#REF!</v>
      </c>
      <c r="B8" s="208" t="s">
        <v>1731</v>
      </c>
      <c r="C8" s="208" t="str">
        <f ca="1">_xlfn.FORMULATEXT(A8)</f>
        <v>=OFFSET(B6:D8,0,-3,3,3)</v>
      </c>
      <c r="E8" s="23">
        <v>8</v>
      </c>
    </row>
  </sheetData>
  <mergeCells count="4">
    <mergeCell ref="A1:G1"/>
    <mergeCell ref="A2:G2"/>
    <mergeCell ref="A3:G3"/>
    <mergeCell ref="B4:C4"/>
  </mergeCells>
  <dataValidations count="1">
    <dataValidation type="list" allowBlank="1" showInputMessage="1" showErrorMessage="1" sqref="B2 B3">
      <formula1>函数!$C$1:$C$9</formula1>
    </dataValidation>
  </dataValidations>
  <pageMargins left="0.75" right="0.75" top="1" bottom="1" header="0.511805555555556" footer="0.511805555555556"/>
  <headerFooter/>
  <drawing r:id="rId1"/>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2"/>
  <sheetViews>
    <sheetView showGridLines="0" workbookViewId="0">
      <pane ySplit="2" topLeftCell="A18" activePane="bottomLeft" state="frozen"/>
      <selection/>
      <selection pane="bottomLeft" activeCell="O25" sqref="O25"/>
    </sheetView>
  </sheetViews>
  <sheetFormatPr defaultColWidth="9" defaultRowHeight="13.5"/>
  <cols>
    <col min="1" max="1" width="8" customWidth="1"/>
    <col min="2" max="2" width="10" customWidth="1"/>
    <col min="3" max="3" width="12.125" customWidth="1"/>
    <col min="4" max="4" width="12" customWidth="1"/>
    <col min="5" max="8" width="10" customWidth="1"/>
    <col min="9" max="9" width="8.125" customWidth="1"/>
    <col min="10" max="10" width="9.875" customWidth="1"/>
  </cols>
  <sheetData>
    <row r="1" ht="26" customHeight="1" spans="1:12">
      <c r="A1" s="2" t="s">
        <v>1732</v>
      </c>
      <c r="B1" s="2"/>
      <c r="C1" s="2"/>
      <c r="D1" s="2"/>
      <c r="E1" s="2"/>
      <c r="F1" s="2"/>
      <c r="G1" s="2"/>
      <c r="H1" s="2"/>
      <c r="I1" s="2"/>
      <c r="J1" s="2"/>
      <c r="K1" s="2"/>
      <c r="L1" s="2"/>
    </row>
    <row r="2" ht="48" customHeight="1" spans="1:12">
      <c r="A2" s="196" t="s">
        <v>1733</v>
      </c>
      <c r="B2" s="196"/>
      <c r="C2" s="196"/>
      <c r="D2" s="196"/>
      <c r="E2" s="196"/>
      <c r="F2" s="196"/>
      <c r="G2" s="196"/>
      <c r="H2" s="196"/>
      <c r="I2" s="196"/>
      <c r="J2" s="196"/>
      <c r="K2" s="196"/>
      <c r="L2" s="196"/>
    </row>
    <row r="3" ht="99" customHeight="1" spans="1:10">
      <c r="A3" s="182" t="s">
        <v>1734</v>
      </c>
      <c r="B3" s="182"/>
      <c r="C3" s="182"/>
      <c r="D3" s="182"/>
      <c r="E3" s="182"/>
      <c r="F3" s="182"/>
      <c r="G3" s="182"/>
      <c r="H3" s="182"/>
      <c r="I3" s="182"/>
      <c r="J3" s="182"/>
    </row>
    <row r="4" ht="144" customHeight="1" spans="1:10">
      <c r="A4" s="182" t="s">
        <v>1735</v>
      </c>
      <c r="B4" s="182"/>
      <c r="C4" s="182"/>
      <c r="D4" s="182"/>
      <c r="E4" s="182"/>
      <c r="F4" s="182"/>
      <c r="G4" s="182"/>
      <c r="H4" s="182"/>
      <c r="I4" s="182"/>
      <c r="J4" s="182"/>
    </row>
    <row r="5" customFormat="1" ht="21" customHeight="1" spans="1:5">
      <c r="A5" s="100" t="s">
        <v>553</v>
      </c>
      <c r="B5" s="100"/>
      <c r="C5" s="101" t="s">
        <v>1736</v>
      </c>
      <c r="D5" s="45"/>
      <c r="E5" s="45"/>
    </row>
    <row r="6" customFormat="1" ht="19" customHeight="1" spans="1:10">
      <c r="A6" s="197" t="s">
        <v>1737</v>
      </c>
      <c r="B6" s="197" t="s">
        <v>594</v>
      </c>
      <c r="C6" s="197" t="s">
        <v>1738</v>
      </c>
      <c r="D6" s="197" t="s">
        <v>1739</v>
      </c>
      <c r="E6" s="23" t="s">
        <v>1740</v>
      </c>
      <c r="G6" s="131" t="s">
        <v>594</v>
      </c>
      <c r="H6" s="131" t="s">
        <v>1738</v>
      </c>
      <c r="I6" s="131" t="s">
        <v>1739</v>
      </c>
      <c r="J6" s="131" t="s">
        <v>1740</v>
      </c>
    </row>
    <row r="7" customFormat="1" ht="19" customHeight="1" spans="1:10">
      <c r="A7" s="197" t="s">
        <v>1741</v>
      </c>
      <c r="B7" s="197" t="s">
        <v>1742</v>
      </c>
      <c r="C7" s="197">
        <v>62</v>
      </c>
      <c r="D7" s="197">
        <v>68</v>
      </c>
      <c r="E7" s="197">
        <v>72</v>
      </c>
      <c r="G7" s="23" t="s">
        <v>1743</v>
      </c>
      <c r="H7" s="23">
        <f>LOOKUP(G7,B7:B13,C7:C13)</f>
        <v>82</v>
      </c>
      <c r="I7" s="23">
        <f>LOOKUP(G7,B7:D13)</f>
        <v>71</v>
      </c>
      <c r="J7" s="23">
        <f>LOOKUP(G7,B7:E13)</f>
        <v>97</v>
      </c>
    </row>
    <row r="8" customFormat="1" ht="19" customHeight="1" spans="1:5">
      <c r="A8" s="197" t="s">
        <v>1744</v>
      </c>
      <c r="B8" s="197" t="s">
        <v>1745</v>
      </c>
      <c r="C8" s="197">
        <v>91</v>
      </c>
      <c r="D8" s="197">
        <v>73</v>
      </c>
      <c r="E8" s="197">
        <v>61</v>
      </c>
    </row>
    <row r="9" customFormat="1" ht="19" customHeight="1" spans="1:5">
      <c r="A9" s="197" t="s">
        <v>1746</v>
      </c>
      <c r="B9" s="197" t="s">
        <v>1747</v>
      </c>
      <c r="C9" s="197">
        <v>55</v>
      </c>
      <c r="D9" s="197">
        <v>95</v>
      </c>
      <c r="E9" s="197">
        <v>68</v>
      </c>
    </row>
    <row r="10" customFormat="1" ht="19" customHeight="1" spans="1:5">
      <c r="A10" s="197" t="s">
        <v>1748</v>
      </c>
      <c r="B10" s="197" t="s">
        <v>1743</v>
      </c>
      <c r="C10" s="197">
        <v>82</v>
      </c>
      <c r="D10" s="197">
        <v>71</v>
      </c>
      <c r="E10" s="197">
        <v>97</v>
      </c>
    </row>
    <row r="11" customFormat="1" ht="22" customHeight="1" spans="1:5">
      <c r="A11" s="197" t="s">
        <v>1749</v>
      </c>
      <c r="B11" s="197" t="s">
        <v>1750</v>
      </c>
      <c r="C11" s="197">
        <v>72</v>
      </c>
      <c r="D11" s="197">
        <v>61</v>
      </c>
      <c r="E11" s="197">
        <v>68</v>
      </c>
    </row>
    <row r="12" customFormat="1" ht="22" customHeight="1" spans="1:5">
      <c r="A12" s="197" t="s">
        <v>1751</v>
      </c>
      <c r="B12" s="197" t="s">
        <v>1752</v>
      </c>
      <c r="C12" s="197">
        <v>72</v>
      </c>
      <c r="D12" s="197">
        <v>73</v>
      </c>
      <c r="E12" s="197">
        <v>69</v>
      </c>
    </row>
    <row r="13" customFormat="1" ht="22" customHeight="1" spans="1:5">
      <c r="A13" s="197" t="s">
        <v>1753</v>
      </c>
      <c r="B13" s="197" t="s">
        <v>1493</v>
      </c>
      <c r="C13" s="197">
        <v>80</v>
      </c>
      <c r="D13" s="197">
        <v>98</v>
      </c>
      <c r="E13" s="197">
        <v>57</v>
      </c>
    </row>
    <row r="14" ht="21" customHeight="1" spans="1:4">
      <c r="A14" s="100" t="s">
        <v>574</v>
      </c>
      <c r="B14" s="100"/>
      <c r="C14" s="101" t="s">
        <v>1754</v>
      </c>
      <c r="D14" s="45"/>
    </row>
    <row r="15" ht="19" customHeight="1" spans="1:4">
      <c r="A15" s="198" t="s">
        <v>1755</v>
      </c>
      <c r="B15" s="199"/>
      <c r="C15" s="199"/>
      <c r="D15" s="200"/>
    </row>
    <row r="16" ht="123" customHeight="1" spans="1:9">
      <c r="A16" s="201" t="s">
        <v>1756</v>
      </c>
      <c r="B16" s="202"/>
      <c r="C16" s="202"/>
      <c r="D16" s="202"/>
      <c r="E16" s="202"/>
      <c r="F16" s="202"/>
      <c r="G16" s="202"/>
      <c r="H16" s="202"/>
      <c r="I16" s="202"/>
    </row>
    <row r="17" ht="20.25" spans="1:4">
      <c r="A17" s="203" t="s">
        <v>1757</v>
      </c>
      <c r="B17" s="203"/>
      <c r="C17" s="203"/>
      <c r="D17" s="204"/>
    </row>
    <row r="18" ht="14.25" spans="1:7">
      <c r="A18" s="195" t="s">
        <v>1758</v>
      </c>
      <c r="B18" s="195" t="s">
        <v>594</v>
      </c>
      <c r="C18" s="195" t="s">
        <v>1759</v>
      </c>
      <c r="D18" s="205" t="s">
        <v>1760</v>
      </c>
      <c r="F18" s="205" t="s">
        <v>594</v>
      </c>
      <c r="G18" s="205" t="s">
        <v>1758</v>
      </c>
    </row>
    <row r="19" ht="14.25" spans="1:7">
      <c r="A19" s="127" t="s">
        <v>1761</v>
      </c>
      <c r="B19" s="127" t="s">
        <v>1762</v>
      </c>
      <c r="C19" s="127" t="s">
        <v>1763</v>
      </c>
      <c r="D19" s="127">
        <v>201</v>
      </c>
      <c r="F19" s="127" t="s">
        <v>1764</v>
      </c>
      <c r="G19" s="127" t="str">
        <f>LOOKUP(1,0/(B19:B25=F19),A19:A25)</f>
        <v>w1004</v>
      </c>
    </row>
    <row r="20" ht="14.25" spans="1:4">
      <c r="A20" s="127" t="s">
        <v>1765</v>
      </c>
      <c r="B20" s="127" t="s">
        <v>1766</v>
      </c>
      <c r="C20" s="127" t="s">
        <v>1763</v>
      </c>
      <c r="D20" s="127">
        <v>204</v>
      </c>
    </row>
    <row r="21" ht="14.25" spans="1:4">
      <c r="A21" s="127" t="s">
        <v>1767</v>
      </c>
      <c r="B21" s="127" t="s">
        <v>1768</v>
      </c>
      <c r="C21" s="127" t="s">
        <v>1769</v>
      </c>
      <c r="D21" s="127">
        <v>302</v>
      </c>
    </row>
    <row r="22" ht="14.25" spans="1:4">
      <c r="A22" s="127" t="s">
        <v>1770</v>
      </c>
      <c r="B22" s="127" t="s">
        <v>1764</v>
      </c>
      <c r="C22" s="127" t="s">
        <v>1769</v>
      </c>
      <c r="D22" s="127">
        <v>303</v>
      </c>
    </row>
    <row r="23" ht="14.25" spans="1:4">
      <c r="A23" s="127" t="s">
        <v>1771</v>
      </c>
      <c r="B23" s="127" t="s">
        <v>1772</v>
      </c>
      <c r="C23" s="127" t="s">
        <v>1773</v>
      </c>
      <c r="D23" s="127">
        <v>403</v>
      </c>
    </row>
    <row r="24" ht="14.25" spans="1:4">
      <c r="A24" s="127" t="s">
        <v>1774</v>
      </c>
      <c r="B24" s="127" t="s">
        <v>1775</v>
      </c>
      <c r="C24" s="127" t="s">
        <v>1776</v>
      </c>
      <c r="D24" s="127">
        <v>501</v>
      </c>
    </row>
    <row r="25" ht="14.25" spans="1:4">
      <c r="A25" s="127" t="s">
        <v>1777</v>
      </c>
      <c r="B25" s="127" t="s">
        <v>1778</v>
      </c>
      <c r="C25" s="127" t="s">
        <v>1779</v>
      </c>
      <c r="D25" s="127">
        <v>602</v>
      </c>
    </row>
    <row r="26" ht="20.25" spans="1:4">
      <c r="A26" s="203" t="s">
        <v>1780</v>
      </c>
      <c r="B26" s="203"/>
      <c r="C26" s="203"/>
      <c r="D26" s="204"/>
    </row>
    <row r="27" ht="14.25" spans="1:8">
      <c r="A27" s="195" t="s">
        <v>1781</v>
      </c>
      <c r="B27" s="195" t="s">
        <v>594</v>
      </c>
      <c r="C27" s="195" t="s">
        <v>1759</v>
      </c>
      <c r="D27" s="205" t="s">
        <v>1782</v>
      </c>
      <c r="F27" s="205" t="s">
        <v>594</v>
      </c>
      <c r="G27" s="205" t="s">
        <v>1781</v>
      </c>
      <c r="H27" s="205" t="s">
        <v>1782</v>
      </c>
    </row>
    <row r="28" ht="14.25" spans="1:8">
      <c r="A28" s="127" t="s">
        <v>1783</v>
      </c>
      <c r="B28" s="127" t="s">
        <v>1762</v>
      </c>
      <c r="C28" s="127" t="s">
        <v>1763</v>
      </c>
      <c r="D28" s="127">
        <v>201</v>
      </c>
      <c r="F28" s="127" t="s">
        <v>1768</v>
      </c>
      <c r="G28" s="127" t="s">
        <v>1783</v>
      </c>
      <c r="H28" s="127">
        <f>LOOKUP(1,0/((B28:B34=F28)*(A28:A34=G28)),D28:D34)</f>
        <v>302</v>
      </c>
    </row>
    <row r="29" ht="14.25" spans="1:4">
      <c r="A29" s="127" t="s">
        <v>1783</v>
      </c>
      <c r="B29" s="127" t="s">
        <v>1766</v>
      </c>
      <c r="C29" s="127" t="s">
        <v>1763</v>
      </c>
      <c r="D29" s="127">
        <v>204</v>
      </c>
    </row>
    <row r="30" ht="14.25" spans="1:4">
      <c r="A30" s="127" t="s">
        <v>1783</v>
      </c>
      <c r="B30" s="127" t="s">
        <v>1768</v>
      </c>
      <c r="C30" s="127" t="s">
        <v>1769</v>
      </c>
      <c r="D30" s="127">
        <v>302</v>
      </c>
    </row>
    <row r="31" ht="14.25" spans="1:4">
      <c r="A31" s="127" t="s">
        <v>1784</v>
      </c>
      <c r="B31" s="127" t="s">
        <v>1762</v>
      </c>
      <c r="C31" s="127" t="s">
        <v>1763</v>
      </c>
      <c r="D31" s="127">
        <v>303</v>
      </c>
    </row>
    <row r="32" ht="14.25" spans="1:4">
      <c r="A32" s="127" t="s">
        <v>1784</v>
      </c>
      <c r="B32" s="127" t="s">
        <v>1766</v>
      </c>
      <c r="C32" s="127" t="s">
        <v>1763</v>
      </c>
      <c r="D32" s="127">
        <v>403</v>
      </c>
    </row>
    <row r="33" ht="14.25" spans="1:4">
      <c r="A33" s="127" t="s">
        <v>1784</v>
      </c>
      <c r="B33" s="127" t="s">
        <v>1768</v>
      </c>
      <c r="C33" s="127" t="s">
        <v>1769</v>
      </c>
      <c r="D33" s="127">
        <v>501</v>
      </c>
    </row>
    <row r="34" ht="14.25" spans="1:4">
      <c r="A34" s="127" t="s">
        <v>1784</v>
      </c>
      <c r="B34" s="127" t="s">
        <v>1778</v>
      </c>
      <c r="C34" s="127" t="s">
        <v>1779</v>
      </c>
      <c r="D34" s="127">
        <v>602</v>
      </c>
    </row>
    <row r="35" ht="20.25" spans="1:4">
      <c r="A35" s="203" t="s">
        <v>1785</v>
      </c>
      <c r="B35" s="203"/>
      <c r="C35" s="203"/>
      <c r="D35" s="204"/>
    </row>
    <row r="36" ht="14.25" spans="1:8">
      <c r="A36" s="195" t="s">
        <v>1781</v>
      </c>
      <c r="B36" s="195" t="s">
        <v>594</v>
      </c>
      <c r="C36" s="195" t="s">
        <v>1759</v>
      </c>
      <c r="D36" s="205" t="s">
        <v>1782</v>
      </c>
      <c r="F36" s="205" t="s">
        <v>594</v>
      </c>
      <c r="G36" s="205" t="s">
        <v>1786</v>
      </c>
      <c r="H36" s="205"/>
    </row>
    <row r="37" ht="14.25" spans="1:8">
      <c r="A37" s="206">
        <v>43103</v>
      </c>
      <c r="B37" s="127" t="s">
        <v>1762</v>
      </c>
      <c r="C37" s="127" t="s">
        <v>1763</v>
      </c>
      <c r="D37" s="127">
        <v>201</v>
      </c>
      <c r="F37" s="127" t="s">
        <v>1762</v>
      </c>
      <c r="G37" s="127">
        <f>LOOKUP(1,0/(B37:B46=F37),D37:D46)</f>
        <v>501</v>
      </c>
      <c r="H37" s="127"/>
    </row>
    <row r="38" ht="14.25" spans="1:4">
      <c r="A38" s="206">
        <v>43104</v>
      </c>
      <c r="B38" s="127" t="s">
        <v>1766</v>
      </c>
      <c r="C38" s="127" t="s">
        <v>1763</v>
      </c>
      <c r="D38" s="127">
        <v>204</v>
      </c>
    </row>
    <row r="39" ht="14.25" spans="1:4">
      <c r="A39" s="206">
        <v>43105</v>
      </c>
      <c r="B39" s="127" t="s">
        <v>1768</v>
      </c>
      <c r="C39" s="127" t="s">
        <v>1769</v>
      </c>
      <c r="D39" s="127">
        <v>302</v>
      </c>
    </row>
    <row r="40" ht="14.25" spans="1:4">
      <c r="A40" s="206">
        <v>43106</v>
      </c>
      <c r="B40" s="127" t="s">
        <v>1762</v>
      </c>
      <c r="C40" s="127" t="s">
        <v>1763</v>
      </c>
      <c r="D40" s="127">
        <v>303</v>
      </c>
    </row>
    <row r="41" ht="14.25" spans="1:4">
      <c r="A41" s="206">
        <v>43107</v>
      </c>
      <c r="B41" s="127" t="s">
        <v>1766</v>
      </c>
      <c r="C41" s="127" t="s">
        <v>1763</v>
      </c>
      <c r="D41" s="127">
        <v>403</v>
      </c>
    </row>
    <row r="42" ht="14.25" spans="1:4">
      <c r="A42" s="206">
        <v>43108</v>
      </c>
      <c r="B42" s="127" t="s">
        <v>1768</v>
      </c>
      <c r="C42" s="127" t="s">
        <v>1769</v>
      </c>
      <c r="D42" s="127">
        <v>501</v>
      </c>
    </row>
    <row r="43" ht="14.25" spans="1:4">
      <c r="A43" s="206">
        <v>43109</v>
      </c>
      <c r="B43" s="127" t="s">
        <v>1778</v>
      </c>
      <c r="C43" s="127" t="s">
        <v>1779</v>
      </c>
      <c r="D43" s="127">
        <v>602</v>
      </c>
    </row>
    <row r="44" ht="14.25" spans="1:4">
      <c r="A44" s="206">
        <v>43110</v>
      </c>
      <c r="B44" s="127" t="s">
        <v>1762</v>
      </c>
      <c r="C44" s="127" t="s">
        <v>1763</v>
      </c>
      <c r="D44" s="127">
        <v>501</v>
      </c>
    </row>
    <row r="45" ht="14.25" spans="1:4">
      <c r="A45" s="206">
        <v>43111</v>
      </c>
      <c r="B45" s="127" t="s">
        <v>1766</v>
      </c>
      <c r="C45" s="127" t="s">
        <v>1763</v>
      </c>
      <c r="D45" s="127">
        <v>602</v>
      </c>
    </row>
    <row r="46" ht="14.25" spans="1:4">
      <c r="A46" s="206">
        <v>43112</v>
      </c>
      <c r="B46" s="127" t="s">
        <v>1768</v>
      </c>
      <c r="C46" s="127" t="s">
        <v>1769</v>
      </c>
      <c r="D46" s="127">
        <v>501</v>
      </c>
    </row>
    <row r="47" ht="20.25" spans="1:4">
      <c r="A47" s="203" t="s">
        <v>1787</v>
      </c>
      <c r="B47" s="203"/>
      <c r="C47" s="203"/>
      <c r="D47" s="204"/>
    </row>
    <row r="48" s="69" customFormat="1" ht="18" customHeight="1" spans="1:1">
      <c r="A48" s="207" t="s">
        <v>1788</v>
      </c>
    </row>
    <row r="49" s="69" customFormat="1" ht="18" customHeight="1" spans="1:1">
      <c r="A49" s="69" t="s">
        <v>1789</v>
      </c>
    </row>
    <row r="50" ht="20.25" spans="1:4">
      <c r="A50" s="203" t="s">
        <v>1790</v>
      </c>
      <c r="B50" s="203"/>
      <c r="C50" s="203"/>
      <c r="D50" s="204"/>
    </row>
    <row r="51" ht="14.25" spans="1:7">
      <c r="A51" s="69" t="s">
        <v>1791</v>
      </c>
      <c r="B51" s="69"/>
      <c r="C51" s="69"/>
      <c r="D51" s="69"/>
      <c r="E51" s="69"/>
      <c r="F51" s="69"/>
      <c r="G51" s="69"/>
    </row>
    <row r="52" ht="14.25" spans="1:7">
      <c r="A52" s="69" t="s">
        <v>1792</v>
      </c>
      <c r="B52" s="69"/>
      <c r="C52" s="69"/>
      <c r="D52" s="69"/>
      <c r="E52" s="69"/>
      <c r="F52" s="69"/>
      <c r="G52" s="69"/>
    </row>
  </sheetData>
  <sortState ref="A7:E13">
    <sortCondition ref="B7:B13"/>
  </sortState>
  <mergeCells count="16">
    <mergeCell ref="A1:L1"/>
    <mergeCell ref="A2:L2"/>
    <mergeCell ref="A3:J3"/>
    <mergeCell ref="A4:J4"/>
    <mergeCell ref="A5:B5"/>
    <mergeCell ref="C5:E5"/>
    <mergeCell ref="C14:D14"/>
    <mergeCell ref="A15:D15"/>
    <mergeCell ref="A16:I16"/>
    <mergeCell ref="A17:D17"/>
    <mergeCell ref="A26:D26"/>
    <mergeCell ref="A35:D35"/>
    <mergeCell ref="G36:H36"/>
    <mergeCell ref="G37:H37"/>
    <mergeCell ref="A47:D47"/>
    <mergeCell ref="A50:D50"/>
  </mergeCells>
  <dataValidations count="4">
    <dataValidation type="list" allowBlank="1" showInputMessage="1" showErrorMessage="1" sqref="C2 C3 C4">
      <formula1>函数!$C$1:$C$9</formula1>
    </dataValidation>
    <dataValidation type="list" allowBlank="1" showInputMessage="1" showErrorMessage="1" sqref="G7">
      <formula1>$B$7:$B$13</formula1>
    </dataValidation>
    <dataValidation type="list" allowBlank="1" showInputMessage="1" showErrorMessage="1" sqref="F19 F28 F37">
      <formula1>$B$19:$B$25</formula1>
    </dataValidation>
    <dataValidation type="list" allowBlank="1" showInputMessage="1" showErrorMessage="1" sqref="G28">
      <formula1>"1月,2月"</formula1>
    </dataValidation>
  </dataValidations>
  <pageMargins left="0.75" right="0.75" top="1" bottom="1" header="0.511805555555556" footer="0.511805555555556"/>
  <headerFooter/>
  <drawing r:id="rId1"/>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showGridLines="0" workbookViewId="0">
      <pane ySplit="2" topLeftCell="A3" activePane="bottomLeft" state="frozen"/>
      <selection/>
      <selection pane="bottomLeft" activeCell="K16" sqref="K16"/>
    </sheetView>
  </sheetViews>
  <sheetFormatPr defaultColWidth="9" defaultRowHeight="13.5"/>
  <cols>
    <col min="1" max="1" width="17.625" customWidth="1"/>
    <col min="2" max="2" width="24" customWidth="1"/>
    <col min="3" max="3" width="13.875" customWidth="1"/>
    <col min="4" max="4" width="11.625" customWidth="1"/>
    <col min="5" max="5" width="12.25" customWidth="1"/>
    <col min="6" max="9" width="10" customWidth="1"/>
    <col min="10" max="10" width="15.625" customWidth="1"/>
    <col min="11" max="11" width="31.25" customWidth="1"/>
  </cols>
  <sheetData>
    <row r="1" ht="26" customHeight="1" spans="1:11">
      <c r="A1" s="2" t="s">
        <v>1793</v>
      </c>
      <c r="B1" s="2"/>
      <c r="C1" s="2"/>
      <c r="D1" s="2"/>
      <c r="E1" s="2"/>
      <c r="F1" s="2"/>
      <c r="G1" s="2"/>
      <c r="H1" s="2"/>
      <c r="I1" s="2"/>
      <c r="J1" s="2"/>
      <c r="K1" s="2"/>
    </row>
    <row r="2" ht="44" customHeight="1" spans="1:11">
      <c r="A2" s="83" t="s">
        <v>1794</v>
      </c>
      <c r="B2" s="83"/>
      <c r="C2" s="84"/>
      <c r="D2" s="84"/>
      <c r="E2" s="84"/>
      <c r="F2" s="84"/>
      <c r="G2" s="84"/>
      <c r="H2" s="84"/>
      <c r="I2" s="84"/>
      <c r="J2" s="84"/>
      <c r="K2" s="84"/>
    </row>
    <row r="3" ht="14.25" spans="1:4">
      <c r="A3" s="190" t="s">
        <v>557</v>
      </c>
      <c r="B3" s="190" t="s">
        <v>1795</v>
      </c>
      <c r="C3" s="190" t="s">
        <v>1796</v>
      </c>
      <c r="D3" s="191"/>
    </row>
    <row r="4" ht="28.5" spans="1:4">
      <c r="A4" s="192" t="s">
        <v>1797</v>
      </c>
      <c r="B4" s="192" t="s">
        <v>1798</v>
      </c>
      <c r="C4" s="192" t="s">
        <v>1799</v>
      </c>
      <c r="D4" s="193"/>
    </row>
    <row r="5" ht="14.25" spans="1:4">
      <c r="A5" s="192" t="s">
        <v>1800</v>
      </c>
      <c r="B5" s="192" t="s">
        <v>1801</v>
      </c>
      <c r="C5" s="192" t="s">
        <v>1802</v>
      </c>
      <c r="D5" s="193"/>
    </row>
    <row r="6" ht="15" customHeight="1" spans="1:4">
      <c r="A6" s="192" t="s">
        <v>1803</v>
      </c>
      <c r="B6" s="192" t="s">
        <v>1804</v>
      </c>
      <c r="C6" s="192" t="s">
        <v>1805</v>
      </c>
      <c r="D6" s="193"/>
    </row>
    <row r="7" ht="28.5" spans="1:4">
      <c r="A7" s="192" t="s">
        <v>1806</v>
      </c>
      <c r="B7" s="192" t="s">
        <v>1807</v>
      </c>
      <c r="C7" s="192" t="s">
        <v>1808</v>
      </c>
      <c r="D7" s="193"/>
    </row>
    <row r="8" ht="98" customHeight="1" spans="1:11">
      <c r="A8" s="194" t="s">
        <v>1809</v>
      </c>
      <c r="B8" s="194"/>
      <c r="C8" s="194"/>
      <c r="D8" s="194"/>
      <c r="E8" s="194"/>
      <c r="F8" s="194"/>
      <c r="G8" s="194"/>
      <c r="H8" s="194"/>
      <c r="I8" s="194"/>
      <c r="J8" s="194"/>
      <c r="K8" s="194"/>
    </row>
    <row r="9" ht="18" spans="1:2">
      <c r="A9" s="100" t="s">
        <v>553</v>
      </c>
      <c r="B9" s="101" t="s">
        <v>1810</v>
      </c>
    </row>
    <row r="10" ht="14.25" spans="1:5">
      <c r="A10" s="195" t="s">
        <v>1758</v>
      </c>
      <c r="B10" s="195" t="s">
        <v>594</v>
      </c>
      <c r="D10" s="195" t="s">
        <v>1758</v>
      </c>
      <c r="E10" s="195" t="s">
        <v>594</v>
      </c>
    </row>
    <row r="11" ht="14.25" spans="1:5">
      <c r="A11" s="127" t="s">
        <v>1761</v>
      </c>
      <c r="B11" s="127" t="s">
        <v>1762</v>
      </c>
      <c r="D11" s="127" t="s">
        <v>1765</v>
      </c>
      <c r="E11" s="127" t="str">
        <f>VLOOKUP(D11,A11:B17,2,0)</f>
        <v>郭根</v>
      </c>
    </row>
    <row r="12" ht="14.25" spans="1:2">
      <c r="A12" s="127" t="s">
        <v>1765</v>
      </c>
      <c r="B12" s="127" t="s">
        <v>1766</v>
      </c>
    </row>
    <row r="13" ht="14.25" spans="1:2">
      <c r="A13" s="127" t="s">
        <v>1767</v>
      </c>
      <c r="B13" s="127" t="s">
        <v>1768</v>
      </c>
    </row>
    <row r="14" ht="14.25" spans="1:2">
      <c r="A14" s="127" t="s">
        <v>1770</v>
      </c>
      <c r="B14" s="127" t="s">
        <v>1764</v>
      </c>
    </row>
    <row r="15" ht="14.25" spans="1:2">
      <c r="A15" s="127" t="s">
        <v>1771</v>
      </c>
      <c r="B15" s="127" t="s">
        <v>1772</v>
      </c>
    </row>
    <row r="16" ht="14.25" spans="1:2">
      <c r="A16" s="127" t="s">
        <v>1774</v>
      </c>
      <c r="B16" s="127" t="s">
        <v>1775</v>
      </c>
    </row>
    <row r="17" ht="14.25" spans="1:2">
      <c r="A17" s="127" t="s">
        <v>1777</v>
      </c>
      <c r="B17" s="127" t="s">
        <v>1778</v>
      </c>
    </row>
  </sheetData>
  <mergeCells count="3">
    <mergeCell ref="A1:K1"/>
    <mergeCell ref="A2:K2"/>
    <mergeCell ref="A8:K8"/>
  </mergeCells>
  <dataValidations count="1">
    <dataValidation type="list" allowBlank="1" showInputMessage="1" showErrorMessage="1" sqref="C2 D2">
      <formula1>函数!$C$1:$C$9</formula1>
    </dataValidation>
  </dataValidations>
  <pageMargins left="0.75" right="0.75" top="1" bottom="1" header="0.511805555555556" footer="0.511805555555556"/>
  <headerFooter/>
  <drawing r:id="rId1"/>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showGridLines="0" workbookViewId="0">
      <pane ySplit="2" topLeftCell="A6" activePane="bottomLeft" state="frozen"/>
      <selection/>
      <selection pane="bottomLeft" activeCell="A1" sqref="A1:K1"/>
    </sheetView>
  </sheetViews>
  <sheetFormatPr defaultColWidth="9" defaultRowHeight="13.5"/>
  <cols>
    <col min="1" max="1" width="17.625" customWidth="1"/>
    <col min="2" max="2" width="24" customWidth="1"/>
    <col min="3" max="3" width="13.875" customWidth="1"/>
    <col min="4" max="4" width="11.625" customWidth="1"/>
    <col min="5" max="5" width="12.25" customWidth="1"/>
    <col min="6" max="9" width="10" customWidth="1"/>
    <col min="10" max="10" width="15.625" customWidth="1"/>
    <col min="11" max="11" width="31.25" customWidth="1"/>
  </cols>
  <sheetData>
    <row r="1" ht="26" customHeight="1" spans="1:11">
      <c r="A1" s="2" t="s">
        <v>1811</v>
      </c>
      <c r="B1" s="2"/>
      <c r="C1" s="2"/>
      <c r="D1" s="2"/>
      <c r="E1" s="2"/>
      <c r="F1" s="2"/>
      <c r="G1" s="2"/>
      <c r="H1" s="2"/>
      <c r="I1" s="2"/>
      <c r="J1" s="2"/>
      <c r="K1" s="2"/>
    </row>
    <row r="2" ht="44" customHeight="1" spans="1:11">
      <c r="A2" s="83" t="s">
        <v>1812</v>
      </c>
      <c r="B2" s="83"/>
      <c r="C2" s="84"/>
      <c r="D2" s="84"/>
      <c r="E2" s="84"/>
      <c r="F2" s="84"/>
      <c r="G2" s="84"/>
      <c r="H2" s="84"/>
      <c r="I2" s="84"/>
      <c r="J2" s="84"/>
      <c r="K2" s="84"/>
    </row>
    <row r="3" ht="14.25" spans="1:4">
      <c r="A3" s="190" t="s">
        <v>557</v>
      </c>
      <c r="B3" s="190" t="s">
        <v>1795</v>
      </c>
      <c r="C3" s="190" t="s">
        <v>1796</v>
      </c>
      <c r="D3" s="191"/>
    </row>
    <row r="4" ht="28.5" spans="1:4">
      <c r="A4" s="192" t="s">
        <v>1797</v>
      </c>
      <c r="B4" s="192" t="s">
        <v>1798</v>
      </c>
      <c r="C4" s="192" t="s">
        <v>1799</v>
      </c>
      <c r="D4" s="193"/>
    </row>
    <row r="5" ht="14.25" spans="1:4">
      <c r="A5" s="192" t="s">
        <v>1800</v>
      </c>
      <c r="B5" s="192" t="s">
        <v>1801</v>
      </c>
      <c r="C5" s="192" t="s">
        <v>1802</v>
      </c>
      <c r="D5" s="193"/>
    </row>
    <row r="6" ht="15" customHeight="1" spans="1:4">
      <c r="A6" s="192" t="s">
        <v>1813</v>
      </c>
      <c r="B6" s="192" t="s">
        <v>1814</v>
      </c>
      <c r="C6" s="192" t="s">
        <v>1805</v>
      </c>
      <c r="D6" s="193"/>
    </row>
    <row r="7" ht="28.5" spans="1:4">
      <c r="A7" s="192" t="s">
        <v>1806</v>
      </c>
      <c r="B7" s="192" t="s">
        <v>1807</v>
      </c>
      <c r="C7" s="192" t="s">
        <v>1815</v>
      </c>
      <c r="D7" s="193"/>
    </row>
    <row r="8" ht="118" customHeight="1" spans="1:11">
      <c r="A8" s="194" t="s">
        <v>1816</v>
      </c>
      <c r="B8" s="194"/>
      <c r="C8" s="194"/>
      <c r="D8" s="194"/>
      <c r="E8" s="194"/>
      <c r="F8" s="194"/>
      <c r="G8" s="194"/>
      <c r="H8" s="194"/>
      <c r="I8" s="194"/>
      <c r="J8" s="194"/>
      <c r="K8" s="194"/>
    </row>
    <row r="9" ht="18" spans="1:2">
      <c r="A9" s="100" t="s">
        <v>553</v>
      </c>
      <c r="B9" s="101"/>
    </row>
    <row r="10" ht="14.25" spans="1:5">
      <c r="A10" s="195" t="s">
        <v>1817</v>
      </c>
      <c r="B10" s="195" t="s">
        <v>1818</v>
      </c>
      <c r="C10" s="195" t="s">
        <v>1819</v>
      </c>
      <c r="D10" s="195" t="s">
        <v>1820</v>
      </c>
      <c r="E10" s="195" t="s">
        <v>1821</v>
      </c>
    </row>
    <row r="11" ht="14.25" spans="1:5">
      <c r="A11" s="127" t="s">
        <v>1822</v>
      </c>
      <c r="B11" s="127">
        <v>200</v>
      </c>
      <c r="C11" s="127">
        <v>198</v>
      </c>
      <c r="D11" s="127">
        <v>123</v>
      </c>
      <c r="E11" s="127">
        <v>199</v>
      </c>
    </row>
    <row r="13" ht="14.25" spans="1:2">
      <c r="A13" s="195" t="s">
        <v>1817</v>
      </c>
      <c r="B13" s="195" t="s">
        <v>594</v>
      </c>
    </row>
    <row r="14" ht="14.25" spans="1:2">
      <c r="A14" s="127" t="s">
        <v>1819</v>
      </c>
      <c r="B14" s="127">
        <f>HLOOKUP(A14,A10:E11,2,0)</f>
        <v>198</v>
      </c>
    </row>
  </sheetData>
  <mergeCells count="3">
    <mergeCell ref="A1:K1"/>
    <mergeCell ref="A2:K2"/>
    <mergeCell ref="A8:K8"/>
  </mergeCells>
  <dataValidations count="1">
    <dataValidation type="list" allowBlank="1" showInputMessage="1" showErrorMessage="1" sqref="C2 D2">
      <formula1>函数!$C$1:$C$9</formula1>
    </dataValidation>
  </dataValidations>
  <pageMargins left="0.75" right="0.75" top="1" bottom="1" header="0.511805555555556" footer="0.511805555555556"/>
  <headerFooter/>
  <drawing r:id="rId1"/>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
  <sheetViews>
    <sheetView showGridLines="0" workbookViewId="0">
      <pane ySplit="2" topLeftCell="A5" activePane="bottomLeft" state="frozen"/>
      <selection/>
      <selection pane="bottomLeft" activeCell="A1" sqref="A1:G1"/>
    </sheetView>
  </sheetViews>
  <sheetFormatPr defaultColWidth="9" defaultRowHeight="13.5" outlineLevelCol="6"/>
  <cols>
    <col min="1" max="1" width="17.625" customWidth="1"/>
    <col min="2" max="2" width="16.75" customWidth="1"/>
    <col min="3" max="3" width="18.75" customWidth="1"/>
    <col min="4" max="4" width="14.375" customWidth="1"/>
    <col min="5" max="5" width="18.875" customWidth="1"/>
    <col min="6" max="6" width="26.75" customWidth="1"/>
    <col min="7" max="7" width="31.25" customWidth="1"/>
  </cols>
  <sheetData>
    <row r="1" ht="26" customHeight="1" spans="1:7">
      <c r="A1" s="2" t="s">
        <v>1725</v>
      </c>
      <c r="B1" s="2"/>
      <c r="C1" s="2"/>
      <c r="D1" s="2"/>
      <c r="E1" s="2"/>
      <c r="F1" s="2"/>
      <c r="G1" s="2"/>
    </row>
    <row r="2" ht="103" customHeight="1" spans="1:7">
      <c r="A2" s="83" t="s">
        <v>1823</v>
      </c>
      <c r="B2" s="84"/>
      <c r="C2" s="84"/>
      <c r="D2" s="84"/>
      <c r="E2" s="84"/>
      <c r="F2" s="84"/>
      <c r="G2" s="84"/>
    </row>
    <row r="3" ht="57" customHeight="1" spans="1:7">
      <c r="A3" s="182" t="s">
        <v>1824</v>
      </c>
      <c r="B3" s="182"/>
      <c r="C3" s="182"/>
      <c r="D3" s="182"/>
      <c r="E3" s="182"/>
      <c r="F3" s="182"/>
      <c r="G3" s="182"/>
    </row>
    <row r="4" ht="57" customHeight="1" spans="1:7">
      <c r="A4" s="182" t="s">
        <v>1825</v>
      </c>
      <c r="B4" s="182"/>
      <c r="C4" s="182"/>
      <c r="D4" s="182"/>
      <c r="E4" s="182"/>
      <c r="F4" s="182"/>
      <c r="G4" s="182"/>
    </row>
    <row r="5" ht="21" customHeight="1" spans="1:3">
      <c r="A5" s="100" t="s">
        <v>553</v>
      </c>
      <c r="B5" s="101"/>
      <c r="C5" s="45"/>
    </row>
    <row r="6" ht="19" customHeight="1" spans="1:6">
      <c r="A6" s="106" t="s">
        <v>1826</v>
      </c>
      <c r="B6" s="106" t="s">
        <v>1827</v>
      </c>
      <c r="C6" s="106" t="s">
        <v>1828</v>
      </c>
      <c r="D6" s="106" t="s">
        <v>1829</v>
      </c>
      <c r="E6" s="114" t="s">
        <v>560</v>
      </c>
      <c r="F6" s="116"/>
    </row>
    <row r="7" ht="14.25" spans="1:6">
      <c r="A7" s="65" t="s">
        <v>1830</v>
      </c>
      <c r="B7" s="65">
        <v>25</v>
      </c>
      <c r="C7" s="183" t="s">
        <v>1831</v>
      </c>
      <c r="D7" s="127">
        <f>MATCH(C7,A7:A10,0)</f>
        <v>2</v>
      </c>
      <c r="E7" s="184" t="str">
        <f>_xlfn.FORMULATEXT(D7)</f>
        <v>=MATCH(C7,A7:A10,0)</v>
      </c>
      <c r="F7" s="185"/>
    </row>
    <row r="8" ht="14.25" spans="1:6">
      <c r="A8" s="64" t="s">
        <v>1831</v>
      </c>
      <c r="B8" s="65">
        <v>38</v>
      </c>
      <c r="C8" s="74"/>
      <c r="D8" s="186" t="s">
        <v>1832</v>
      </c>
      <c r="E8" s="186" t="s">
        <v>560</v>
      </c>
      <c r="F8" s="127"/>
    </row>
    <row r="9" ht="14.25" spans="1:6">
      <c r="A9" s="65" t="s">
        <v>1833</v>
      </c>
      <c r="B9" s="65">
        <v>40</v>
      </c>
      <c r="C9" s="74"/>
      <c r="D9" s="127">
        <f>INDEX(B7:B10,MATCH(C7,A7:A10,0))</f>
        <v>38</v>
      </c>
      <c r="E9" s="184" t="str">
        <f>_xlfn.FORMULATEXT(D9)</f>
        <v>=INDEX(B7:B10,MATCH(C7,A7:A10,0))</v>
      </c>
      <c r="F9" s="185"/>
    </row>
    <row r="10" ht="14.25" spans="1:6">
      <c r="A10" s="65" t="s">
        <v>1834</v>
      </c>
      <c r="B10" s="65">
        <v>41</v>
      </c>
      <c r="C10" s="187" t="s">
        <v>1835</v>
      </c>
      <c r="D10" s="188"/>
      <c r="E10" s="188"/>
      <c r="F10" s="189"/>
    </row>
  </sheetData>
  <mergeCells count="9">
    <mergeCell ref="A1:G1"/>
    <mergeCell ref="A2:G2"/>
    <mergeCell ref="A3:G3"/>
    <mergeCell ref="A4:G4"/>
    <mergeCell ref="B5:C5"/>
    <mergeCell ref="E6:F6"/>
    <mergeCell ref="E7:F7"/>
    <mergeCell ref="E9:F9"/>
    <mergeCell ref="C10:F10"/>
  </mergeCells>
  <dataValidations count="2">
    <dataValidation type="list" allowBlank="1" showInputMessage="1" showErrorMessage="1" sqref="B2 B3 B4">
      <formula1>函数!$C$1:$C$9</formula1>
    </dataValidation>
    <dataValidation type="list" allowBlank="1" showInputMessage="1" showErrorMessage="1" sqref="C7">
      <formula1>"梅,兰,竹,菊"</formula1>
    </dataValidation>
  </dataValidations>
  <pageMargins left="0.75" right="0.75" top="1" bottom="1" header="0.511805555555556" footer="0.511805555555556"/>
  <headerFooter/>
  <drawing r:id="rId1"/>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20.5" customWidth="1"/>
    <col min="4" max="4" width="32.375" customWidth="1"/>
    <col min="5" max="5" width="36.25" customWidth="1"/>
    <col min="6" max="6" width="24.5" customWidth="1"/>
  </cols>
  <sheetData>
    <row r="1" ht="26" customHeight="1" spans="1:6">
      <c r="A1" s="2" t="s">
        <v>1836</v>
      </c>
      <c r="B1" s="2"/>
      <c r="C1" s="2"/>
      <c r="D1" s="2"/>
      <c r="E1" s="2"/>
      <c r="F1" s="2"/>
    </row>
    <row r="2" ht="89" customHeight="1" spans="1:6">
      <c r="A2" s="83" t="s">
        <v>1837</v>
      </c>
      <c r="B2" s="84"/>
      <c r="C2" s="84"/>
      <c r="D2" s="84"/>
      <c r="E2" s="84"/>
      <c r="F2" s="84"/>
    </row>
    <row r="3" ht="21" customHeight="1" spans="1:3">
      <c r="A3" s="100" t="s">
        <v>553</v>
      </c>
      <c r="B3" s="101" t="s">
        <v>1838</v>
      </c>
      <c r="C3" s="45"/>
    </row>
    <row r="4" ht="20" customHeight="1" spans="1:4">
      <c r="A4" s="106" t="s">
        <v>594</v>
      </c>
      <c r="B4" s="106" t="s">
        <v>1839</v>
      </c>
      <c r="C4" s="106" t="s">
        <v>1840</v>
      </c>
      <c r="D4" s="173" t="s">
        <v>1841</v>
      </c>
    </row>
    <row r="5" ht="19" customHeight="1" spans="1:4">
      <c r="A5" s="164" t="s">
        <v>1842</v>
      </c>
      <c r="B5" s="164" t="s">
        <v>1843</v>
      </c>
      <c r="C5" s="127">
        <v>66</v>
      </c>
      <c r="D5" s="161" t="str">
        <f>_xlfn.IFS(C5=100,"满分",C5&gt;=95,"优秀",C5&gt;=80,"良好",C5&gt;=60,"及格",C5&lt;60,"不及格")</f>
        <v>及格</v>
      </c>
    </row>
    <row r="6" ht="19" customHeight="1" spans="1:4">
      <c r="A6" s="164" t="s">
        <v>1844</v>
      </c>
      <c r="B6" s="164" t="s">
        <v>1845</v>
      </c>
      <c r="C6" s="127">
        <v>78</v>
      </c>
      <c r="D6" s="161" t="str">
        <f t="shared" ref="D6:D12" si="0">_xlfn.IFS(C6=100,"满分",C6&gt;=95,"优秀",C6&gt;=80,"良好",C6&gt;=60,"及格",C6&lt;60,"不及格")</f>
        <v>及格</v>
      </c>
    </row>
    <row r="7" ht="15" customHeight="1" spans="1:4">
      <c r="A7" s="164" t="s">
        <v>1846</v>
      </c>
      <c r="B7" s="164" t="s">
        <v>1845</v>
      </c>
      <c r="C7" s="127">
        <v>100</v>
      </c>
      <c r="D7" s="161" t="str">
        <f t="shared" si="0"/>
        <v>满分</v>
      </c>
    </row>
    <row r="8" ht="14.25" spans="1:4">
      <c r="A8" s="127" t="s">
        <v>1847</v>
      </c>
      <c r="B8" s="127" t="s">
        <v>1845</v>
      </c>
      <c r="C8" s="127">
        <v>67</v>
      </c>
      <c r="D8" s="161" t="str">
        <f t="shared" si="0"/>
        <v>及格</v>
      </c>
    </row>
    <row r="9" ht="14.25" spans="1:4">
      <c r="A9" s="127" t="s">
        <v>1848</v>
      </c>
      <c r="B9" s="127" t="s">
        <v>1845</v>
      </c>
      <c r="C9" s="127">
        <v>86</v>
      </c>
      <c r="D9" s="161" t="str">
        <f t="shared" si="0"/>
        <v>良好</v>
      </c>
    </row>
    <row r="10" ht="14.25" spans="1:4">
      <c r="A10" s="127" t="s">
        <v>1849</v>
      </c>
      <c r="B10" s="164" t="s">
        <v>1843</v>
      </c>
      <c r="C10" s="127">
        <v>80</v>
      </c>
      <c r="D10" s="161" t="str">
        <f t="shared" si="0"/>
        <v>良好</v>
      </c>
    </row>
    <row r="11" ht="14.25" spans="1:4">
      <c r="A11" s="127" t="s">
        <v>1850</v>
      </c>
      <c r="B11" s="164" t="s">
        <v>1843</v>
      </c>
      <c r="C11" s="127">
        <v>57</v>
      </c>
      <c r="D11" s="161" t="str">
        <f t="shared" si="0"/>
        <v>不及格</v>
      </c>
    </row>
    <row r="12" ht="14.25" spans="1:4">
      <c r="A12" s="127" t="s">
        <v>1851</v>
      </c>
      <c r="B12" s="164" t="s">
        <v>1843</v>
      </c>
      <c r="C12" s="127">
        <v>99</v>
      </c>
      <c r="D12" s="161" t="str">
        <f t="shared" si="0"/>
        <v>优秀</v>
      </c>
    </row>
    <row r="13" ht="21" customHeight="1" spans="1:4">
      <c r="A13" s="179" t="str">
        <f>"公式:"&amp;_xlfn.FORMULATEXT(D5)</f>
        <v>公式:=IFS(C5=100,"满分",C5&gt;=95,"优秀",C5&gt;=80,"良好",C5&gt;=60,"及格",C5&lt;60,"不及格")</v>
      </c>
      <c r="B13" s="180"/>
      <c r="C13" s="180"/>
      <c r="D13" s="181"/>
    </row>
    <row r="22" ht="16.5" spans="4:4">
      <c r="D22" s="7"/>
    </row>
  </sheetData>
  <mergeCells count="4">
    <mergeCell ref="A1:F1"/>
    <mergeCell ref="A2:F2"/>
    <mergeCell ref="B3:C3"/>
    <mergeCell ref="A13:D1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5.75" customWidth="1"/>
    <col min="2" max="2" width="21.75" customWidth="1"/>
    <col min="3" max="3" width="17.125" customWidth="1"/>
    <col min="4" max="4" width="32.375" customWidth="1"/>
    <col min="5" max="5" width="36.25" customWidth="1"/>
    <col min="6" max="6" width="24.5" customWidth="1"/>
  </cols>
  <sheetData>
    <row r="1" ht="26" customHeight="1" spans="1:6">
      <c r="A1" s="2" t="s">
        <v>1852</v>
      </c>
      <c r="B1" s="2"/>
      <c r="C1" s="2"/>
      <c r="D1" s="2"/>
      <c r="E1" s="2"/>
      <c r="F1" s="2"/>
    </row>
    <row r="2" ht="85" customHeight="1" spans="1:6">
      <c r="A2" s="83" t="s">
        <v>1853</v>
      </c>
      <c r="B2" s="84"/>
      <c r="C2" s="84"/>
      <c r="D2" s="84"/>
      <c r="E2" s="84"/>
      <c r="F2" s="84"/>
    </row>
    <row r="3" ht="21" customHeight="1" spans="1:3">
      <c r="A3" s="100" t="s">
        <v>553</v>
      </c>
      <c r="B3" s="101"/>
      <c r="C3" s="45"/>
    </row>
    <row r="4" ht="20" customHeight="1" spans="1:4">
      <c r="A4" s="106" t="s">
        <v>594</v>
      </c>
      <c r="B4" s="106" t="s">
        <v>1854</v>
      </c>
      <c r="C4" s="106" t="s">
        <v>595</v>
      </c>
      <c r="D4" s="173" t="s">
        <v>1855</v>
      </c>
    </row>
    <row r="5" ht="19" customHeight="1" spans="1:4">
      <c r="A5" s="164" t="s">
        <v>1818</v>
      </c>
      <c r="B5" s="164" t="s">
        <v>1856</v>
      </c>
      <c r="C5" s="164">
        <v>4</v>
      </c>
      <c r="D5" s="161">
        <f>COUNTIF(A5:A13,"拖1")</f>
        <v>2</v>
      </c>
    </row>
    <row r="6" ht="19" customHeight="1" spans="1:4">
      <c r="A6" s="164" t="s">
        <v>1819</v>
      </c>
      <c r="B6" s="164" t="s">
        <v>1857</v>
      </c>
      <c r="C6" s="164">
        <v>3</v>
      </c>
      <c r="D6" s="161" t="str">
        <f>_xlfn.FORMULATEXT(D5)</f>
        <v>=COUNTIF(A5:A13,"拖1")</v>
      </c>
    </row>
    <row r="7" ht="19" customHeight="1" spans="1:4">
      <c r="A7" s="164" t="s">
        <v>1820</v>
      </c>
      <c r="B7" s="164" t="s">
        <v>1856</v>
      </c>
      <c r="C7" s="164">
        <v>2</v>
      </c>
      <c r="D7" s="176" t="s">
        <v>1858</v>
      </c>
    </row>
    <row r="8" ht="16" customHeight="1" spans="1:4">
      <c r="A8" s="164" t="s">
        <v>1818</v>
      </c>
      <c r="B8" s="164" t="s">
        <v>1859</v>
      </c>
      <c r="C8" s="164">
        <v>4</v>
      </c>
      <c r="D8" s="177">
        <f>COUNTIF(C5:C13,"&gt;=4")</f>
        <v>3</v>
      </c>
    </row>
    <row r="9" ht="15" customHeight="1" spans="1:4">
      <c r="A9" s="164" t="s">
        <v>1819</v>
      </c>
      <c r="B9" s="164" t="s">
        <v>1860</v>
      </c>
      <c r="C9" s="164">
        <v>3</v>
      </c>
      <c r="D9" s="177" t="str">
        <f>_xlfn.FORMULATEXT(D8)</f>
        <v>=COUNTIF(C5:C13,"&gt;=4")</v>
      </c>
    </row>
    <row r="10" ht="14.25" spans="1:4">
      <c r="A10" s="164" t="s">
        <v>1821</v>
      </c>
      <c r="B10" s="164" t="s">
        <v>1857</v>
      </c>
      <c r="C10" s="164">
        <v>4</v>
      </c>
      <c r="D10" s="178"/>
    </row>
    <row r="11" ht="14.25" spans="1:4">
      <c r="A11" s="164" t="s">
        <v>1861</v>
      </c>
      <c r="B11" s="164" t="s">
        <v>1862</v>
      </c>
      <c r="C11" s="164">
        <v>3</v>
      </c>
      <c r="D11" s="178"/>
    </row>
    <row r="12" ht="14.25" spans="1:4">
      <c r="A12" s="164" t="s">
        <v>1863</v>
      </c>
      <c r="B12" s="164" t="s">
        <v>1864</v>
      </c>
      <c r="C12" s="164">
        <v>2</v>
      </c>
      <c r="D12" s="178"/>
    </row>
    <row r="13" ht="14.25" spans="1:4">
      <c r="A13" s="164" t="s">
        <v>1865</v>
      </c>
      <c r="B13" s="164" t="s">
        <v>1856</v>
      </c>
      <c r="C13" s="164">
        <v>2</v>
      </c>
      <c r="D13" s="178"/>
    </row>
    <row r="22" ht="16.5" spans="4:4">
      <c r="D22" s="7"/>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2"/>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5.75" customWidth="1"/>
    <col min="2" max="2" width="21.75" customWidth="1"/>
    <col min="3" max="3" width="17.125" customWidth="1"/>
    <col min="4" max="4" width="32.375" customWidth="1"/>
    <col min="5" max="5" width="36.25" customWidth="1"/>
    <col min="6" max="6" width="24.5" customWidth="1"/>
  </cols>
  <sheetData>
    <row r="1" ht="26" customHeight="1" spans="1:6">
      <c r="A1" s="2" t="s">
        <v>1866</v>
      </c>
      <c r="B1" s="2"/>
      <c r="C1" s="2"/>
      <c r="D1" s="2"/>
      <c r="E1" s="2"/>
      <c r="F1" s="2"/>
    </row>
    <row r="2" ht="85" customHeight="1" spans="1:6">
      <c r="A2" s="83" t="s">
        <v>1867</v>
      </c>
      <c r="B2" s="84"/>
      <c r="C2" s="84"/>
      <c r="D2" s="84"/>
      <c r="E2" s="84"/>
      <c r="F2" s="84"/>
    </row>
    <row r="3" ht="21" customHeight="1" spans="1:3">
      <c r="A3" s="100" t="s">
        <v>553</v>
      </c>
      <c r="B3" s="101"/>
      <c r="C3" s="45"/>
    </row>
    <row r="4" ht="20" customHeight="1" spans="1:4">
      <c r="A4" s="106" t="s">
        <v>1817</v>
      </c>
      <c r="B4" s="106" t="s">
        <v>1854</v>
      </c>
      <c r="C4" s="106" t="s">
        <v>595</v>
      </c>
      <c r="D4" s="173" t="s">
        <v>1868</v>
      </c>
    </row>
    <row r="5" ht="19" customHeight="1" spans="1:4">
      <c r="A5" s="164" t="s">
        <v>1818</v>
      </c>
      <c r="B5" s="164" t="s">
        <v>1856</v>
      </c>
      <c r="C5" s="164">
        <v>4</v>
      </c>
      <c r="D5" s="161">
        <f>COUNTIFS(A5:A13,"拖1",B5:B13,"张*")</f>
        <v>2</v>
      </c>
    </row>
    <row r="6" ht="19" customHeight="1" spans="1:4">
      <c r="A6" s="164" t="s">
        <v>1819</v>
      </c>
      <c r="B6" s="164" t="s">
        <v>1857</v>
      </c>
      <c r="C6" s="164">
        <v>3</v>
      </c>
      <c r="D6" s="161" t="str">
        <f>_xlfn.FORMULATEXT(D5)</f>
        <v>=COUNTIFS(A5:A13,"拖1",B5:B13,"张*")</v>
      </c>
    </row>
    <row r="7" ht="19" customHeight="1" spans="1:4">
      <c r="A7" s="164" t="s">
        <v>1820</v>
      </c>
      <c r="B7" s="164" t="s">
        <v>1856</v>
      </c>
      <c r="C7" s="164">
        <v>2</v>
      </c>
      <c r="D7" s="176"/>
    </row>
    <row r="8" ht="16" customHeight="1" spans="1:4">
      <c r="A8" s="164" t="s">
        <v>1818</v>
      </c>
      <c r="B8" s="164" t="s">
        <v>1859</v>
      </c>
      <c r="C8" s="164">
        <v>4</v>
      </c>
      <c r="D8" s="177"/>
    </row>
    <row r="9" ht="15" customHeight="1" spans="1:4">
      <c r="A9" s="164" t="s">
        <v>1819</v>
      </c>
      <c r="B9" s="164" t="s">
        <v>1860</v>
      </c>
      <c r="C9" s="164">
        <v>3</v>
      </c>
      <c r="D9" s="177"/>
    </row>
    <row r="10" ht="14.25" spans="1:4">
      <c r="A10" s="164" t="s">
        <v>1821</v>
      </c>
      <c r="B10" s="164" t="s">
        <v>1857</v>
      </c>
      <c r="C10" s="164">
        <v>4</v>
      </c>
      <c r="D10" s="178"/>
    </row>
    <row r="11" ht="14.25" spans="1:4">
      <c r="A11" s="164" t="s">
        <v>1861</v>
      </c>
      <c r="B11" s="164" t="s">
        <v>1862</v>
      </c>
      <c r="C11" s="164">
        <v>3</v>
      </c>
      <c r="D11" s="178"/>
    </row>
    <row r="12" ht="14.25" spans="1:4">
      <c r="A12" s="164" t="s">
        <v>1863</v>
      </c>
      <c r="B12" s="164" t="s">
        <v>1864</v>
      </c>
      <c r="C12" s="164">
        <v>2</v>
      </c>
      <c r="D12" s="178"/>
    </row>
    <row r="13" ht="14.25" spans="1:4">
      <c r="A13" s="164" t="s">
        <v>1865</v>
      </c>
      <c r="B13" s="164" t="s">
        <v>1856</v>
      </c>
      <c r="C13" s="164">
        <v>2</v>
      </c>
      <c r="D13" s="178"/>
    </row>
    <row r="22" ht="16.5" spans="4:4">
      <c r="D22" s="7"/>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20.5" customWidth="1"/>
    <col min="4" max="4" width="32.375" customWidth="1"/>
    <col min="5" max="5" width="41.125" customWidth="1"/>
    <col min="6" max="6" width="24.5" customWidth="1"/>
  </cols>
  <sheetData>
    <row r="1" ht="26" customHeight="1" spans="1:6">
      <c r="A1" s="2" t="s">
        <v>1869</v>
      </c>
      <c r="B1" s="2"/>
      <c r="C1" s="2"/>
      <c r="D1" s="2"/>
      <c r="E1" s="2"/>
      <c r="F1" s="2"/>
    </row>
    <row r="2" ht="44" customHeight="1" spans="1:6">
      <c r="A2" s="83" t="s">
        <v>1870</v>
      </c>
      <c r="B2" s="84"/>
      <c r="C2" s="84"/>
      <c r="D2" s="84"/>
      <c r="E2" s="84"/>
      <c r="F2" s="84"/>
    </row>
    <row r="3" ht="21" customHeight="1" spans="1:3">
      <c r="A3" s="100" t="s">
        <v>553</v>
      </c>
      <c r="B3" s="101" t="s">
        <v>1838</v>
      </c>
      <c r="C3" s="45"/>
    </row>
    <row r="4" ht="20" customHeight="1" spans="1:5">
      <c r="A4" s="106" t="s">
        <v>594</v>
      </c>
      <c r="B4" s="106" t="s">
        <v>1840</v>
      </c>
      <c r="C4" s="106" t="s">
        <v>1871</v>
      </c>
      <c r="D4" s="106" t="s">
        <v>1840</v>
      </c>
      <c r="E4" s="106" t="s">
        <v>560</v>
      </c>
    </row>
    <row r="5" ht="19" customHeight="1" spans="1:5">
      <c r="A5" s="164" t="s">
        <v>1842</v>
      </c>
      <c r="B5" s="127">
        <v>66</v>
      </c>
      <c r="C5" s="161" t="s">
        <v>1872</v>
      </c>
      <c r="D5" s="173" t="e">
        <f>VLOOKUP(C5,A5:B12,2,0)</f>
        <v>#N/A</v>
      </c>
      <c r="E5" s="174" t="str">
        <f>_xlfn.FORMULATEXT(D5)</f>
        <v>=VLOOKUP(C5,A5:B12,2,0)</v>
      </c>
    </row>
    <row r="6" ht="19" customHeight="1" spans="1:5">
      <c r="A6" s="164" t="s">
        <v>1844</v>
      </c>
      <c r="B6" s="127">
        <v>78</v>
      </c>
      <c r="C6" s="161" t="s">
        <v>1873</v>
      </c>
      <c r="D6" s="161"/>
      <c r="E6" s="161"/>
    </row>
    <row r="7" ht="15" customHeight="1" spans="1:5">
      <c r="A7" s="164" t="s">
        <v>1846</v>
      </c>
      <c r="B7" s="127">
        <v>100</v>
      </c>
      <c r="C7" s="175" t="s">
        <v>1874</v>
      </c>
      <c r="D7" s="175"/>
      <c r="E7" s="175"/>
    </row>
    <row r="8" ht="14.25" spans="1:5">
      <c r="A8" s="127" t="s">
        <v>1847</v>
      </c>
      <c r="B8" s="127">
        <v>67</v>
      </c>
      <c r="C8" s="175" t="s">
        <v>1872</v>
      </c>
      <c r="D8" s="175" t="str">
        <f>IFERROR(VLOOKUP(C8,A5:B12,2,0),"查无此人")</f>
        <v>查无此人</v>
      </c>
      <c r="E8" s="175" t="str">
        <f>_xlfn.FORMULATEXT(D8)</f>
        <v>=IFERROR(VLOOKUP(C8,A5:B12,2,0),"查无此人")</v>
      </c>
    </row>
    <row r="9" ht="14.25" spans="1:5">
      <c r="A9" s="127" t="s">
        <v>1848</v>
      </c>
      <c r="B9" s="127">
        <v>86</v>
      </c>
      <c r="C9" s="58"/>
      <c r="D9" s="58"/>
      <c r="E9" s="58"/>
    </row>
    <row r="10" ht="14.25" spans="1:5">
      <c r="A10" s="127" t="s">
        <v>1849</v>
      </c>
      <c r="B10" s="127">
        <v>80</v>
      </c>
      <c r="C10" s="58"/>
      <c r="D10" s="58"/>
      <c r="E10" s="58"/>
    </row>
    <row r="11" ht="14.25" spans="1:5">
      <c r="A11" s="127" t="s">
        <v>1850</v>
      </c>
      <c r="B11" s="127">
        <v>57</v>
      </c>
      <c r="C11" s="58"/>
      <c r="D11" s="58"/>
      <c r="E11" s="58"/>
    </row>
    <row r="12" ht="14.25" spans="1:5">
      <c r="A12" s="127" t="s">
        <v>1851</v>
      </c>
      <c r="B12" s="127">
        <v>99</v>
      </c>
      <c r="C12" s="58"/>
      <c r="D12" s="58"/>
      <c r="E12" s="58"/>
    </row>
    <row r="21" ht="16.5" spans="4:4">
      <c r="D21" s="7"/>
    </row>
  </sheetData>
  <mergeCells count="5">
    <mergeCell ref="A1:F1"/>
    <mergeCell ref="A2:F2"/>
    <mergeCell ref="B3:C3"/>
    <mergeCell ref="C6:E6"/>
    <mergeCell ref="C7:E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24.875" customWidth="1"/>
    <col min="4" max="4" width="32.375" customWidth="1"/>
    <col min="5" max="5" width="45.25" customWidth="1"/>
    <col min="6" max="6" width="24.5" customWidth="1"/>
  </cols>
  <sheetData>
    <row r="1" ht="26" customHeight="1" spans="1:6">
      <c r="A1" s="2" t="s">
        <v>1875</v>
      </c>
      <c r="B1" s="2"/>
      <c r="C1" s="2"/>
      <c r="D1" s="2"/>
      <c r="E1" s="2"/>
      <c r="F1" s="2"/>
    </row>
    <row r="2" ht="61" customHeight="1" spans="1:6">
      <c r="A2" s="83" t="s">
        <v>1876</v>
      </c>
      <c r="B2" s="84"/>
      <c r="C2" s="84"/>
      <c r="D2" s="84"/>
      <c r="E2" s="84"/>
      <c r="F2" s="84"/>
    </row>
    <row r="3" ht="21" customHeight="1" spans="1:3">
      <c r="A3" s="100" t="s">
        <v>553</v>
      </c>
      <c r="B3" s="101"/>
      <c r="C3" s="45"/>
    </row>
    <row r="4" ht="20" customHeight="1" spans="1:5">
      <c r="A4" s="167" t="s">
        <v>1877</v>
      </c>
      <c r="B4" s="167" t="s">
        <v>1878</v>
      </c>
      <c r="C4" s="167" t="s">
        <v>558</v>
      </c>
      <c r="D4" s="167" t="s">
        <v>1723</v>
      </c>
      <c r="E4" s="167" t="s">
        <v>560</v>
      </c>
    </row>
    <row r="5" s="68" customFormat="1" ht="14.25" spans="1:5">
      <c r="A5" s="168" t="s">
        <v>1879</v>
      </c>
      <c r="B5" s="168">
        <v>105</v>
      </c>
      <c r="C5" s="169" t="s">
        <v>1880</v>
      </c>
      <c r="D5" s="170" t="str">
        <f>_xlfn.IFNA(VLOOKUP("Seattle",$A$6:$B$11,0),"没有找到")</f>
        <v>没有找到</v>
      </c>
      <c r="E5" s="171" t="str">
        <f>_xlfn.FORMULATEXT(D5)</f>
        <v>=IFNA(VLOOKUP("Seattle",$A$6:$B$11,0),"没有找到")</v>
      </c>
    </row>
    <row r="6" s="68" customFormat="1" ht="14.25" spans="1:5">
      <c r="A6" s="168" t="s">
        <v>1881</v>
      </c>
      <c r="B6" s="168">
        <v>142</v>
      </c>
      <c r="C6" s="169"/>
      <c r="D6" s="172"/>
      <c r="E6" s="172"/>
    </row>
    <row r="7" s="68" customFormat="1" ht="14.25" spans="1:5">
      <c r="A7" s="168" t="s">
        <v>1882</v>
      </c>
      <c r="B7" s="168">
        <v>175</v>
      </c>
      <c r="C7" s="169"/>
      <c r="D7" s="172"/>
      <c r="E7" s="172"/>
    </row>
    <row r="8" s="68" customFormat="1" ht="14.25" spans="1:5">
      <c r="A8" s="168" t="s">
        <v>1883</v>
      </c>
      <c r="B8" s="168">
        <v>251</v>
      </c>
      <c r="C8" s="169"/>
      <c r="D8" s="172"/>
      <c r="E8" s="172"/>
    </row>
    <row r="9" s="68" customFormat="1" ht="14.25" spans="1:5">
      <c r="A9" s="168" t="s">
        <v>1884</v>
      </c>
      <c r="B9" s="168">
        <v>266</v>
      </c>
      <c r="C9" s="169"/>
      <c r="D9" s="172"/>
      <c r="E9" s="172"/>
    </row>
    <row r="10" s="68" customFormat="1" ht="14.25" spans="1:5">
      <c r="A10" s="168" t="s">
        <v>1885</v>
      </c>
      <c r="B10" s="168">
        <v>275</v>
      </c>
      <c r="C10" s="169"/>
      <c r="D10" s="172"/>
      <c r="E10" s="172"/>
    </row>
  </sheetData>
  <mergeCells count="4">
    <mergeCell ref="A1:F1"/>
    <mergeCell ref="A2:F2"/>
    <mergeCell ref="B3:C3"/>
    <mergeCell ref="C5:C10"/>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1886</v>
      </c>
      <c r="B1" s="2"/>
      <c r="C1" s="2"/>
      <c r="D1" s="2"/>
      <c r="E1" s="2"/>
      <c r="F1" s="2"/>
    </row>
    <row r="2" ht="101" customHeight="1" spans="1:6">
      <c r="A2" s="83" t="s">
        <v>1887</v>
      </c>
      <c r="B2" s="84"/>
      <c r="C2" s="84"/>
      <c r="D2" s="84"/>
      <c r="E2" s="84"/>
      <c r="F2" s="84"/>
    </row>
    <row r="3" ht="21" customHeight="1" spans="1:3">
      <c r="A3" s="100" t="s">
        <v>553</v>
      </c>
      <c r="B3" s="101"/>
      <c r="C3" s="45"/>
    </row>
    <row r="4" ht="20" customHeight="1" spans="1:4">
      <c r="A4" s="106" t="s">
        <v>582</v>
      </c>
      <c r="B4" s="106" t="s">
        <v>583</v>
      </c>
      <c r="C4" s="106" t="s">
        <v>560</v>
      </c>
      <c r="D4" s="162"/>
    </row>
    <row r="5" ht="19" customHeight="1" spans="1:4">
      <c r="A5" s="164">
        <v>23</v>
      </c>
      <c r="B5" s="164">
        <f>AVERAGE(A5:A8)</f>
        <v>45</v>
      </c>
      <c r="C5" s="127" t="str">
        <f>_xlfn.FORMULATEXT(B5)</f>
        <v>=AVERAGE(A5:A8)</v>
      </c>
      <c r="D5" s="127" t="s">
        <v>1888</v>
      </c>
    </row>
    <row r="6" ht="19" customHeight="1" spans="1:4">
      <c r="A6" s="164" t="s">
        <v>1889</v>
      </c>
      <c r="B6" s="164">
        <f>AVERAGEA(A5:A8)</f>
        <v>22.75</v>
      </c>
      <c r="C6" s="127" t="str">
        <f>_xlfn.FORMULATEXT(B6)</f>
        <v>=AVERAGEA(A5:A8)</v>
      </c>
      <c r="D6" s="127" t="s">
        <v>1890</v>
      </c>
    </row>
    <row r="7" ht="19" customHeight="1" spans="1:4">
      <c r="A7" s="164">
        <v>67</v>
      </c>
      <c r="B7" s="164"/>
      <c r="C7" s="127"/>
      <c r="D7" s="127"/>
    </row>
    <row r="8" ht="23" customHeight="1" spans="1:4">
      <c r="A8" s="164" t="b">
        <v>1</v>
      </c>
      <c r="B8" s="164"/>
      <c r="C8" s="127"/>
      <c r="D8" s="127"/>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showGridLines="0" workbookViewId="0">
      <pane ySplit="2" topLeftCell="A3" activePane="bottomLeft" state="frozen"/>
      <selection/>
      <selection pane="bottomLeft" activeCell="A1" sqref="A1:E1"/>
    </sheetView>
  </sheetViews>
  <sheetFormatPr defaultColWidth="9" defaultRowHeight="13.5" outlineLevelCol="4"/>
  <cols>
    <col min="1" max="1" width="17.625" customWidth="1"/>
    <col min="2" max="2" width="24.75" customWidth="1"/>
    <col min="3" max="3" width="19" customWidth="1"/>
    <col min="4" max="4" width="32.375" customWidth="1"/>
    <col min="5" max="5" width="63.875" customWidth="1"/>
  </cols>
  <sheetData>
    <row r="1" ht="26" customHeight="1" spans="1:5">
      <c r="A1" s="2" t="s">
        <v>1891</v>
      </c>
      <c r="B1" s="2"/>
      <c r="C1" s="2"/>
      <c r="D1" s="2"/>
      <c r="E1" s="2"/>
    </row>
    <row r="2" ht="101" customHeight="1" spans="1:5">
      <c r="A2" s="83" t="s">
        <v>1892</v>
      </c>
      <c r="B2" s="84"/>
      <c r="C2" s="84"/>
      <c r="D2" s="84"/>
      <c r="E2" s="84"/>
    </row>
    <row r="3" ht="21" customHeight="1" spans="1:3">
      <c r="A3" s="100" t="s">
        <v>553</v>
      </c>
      <c r="B3" s="101" t="s">
        <v>1893</v>
      </c>
      <c r="C3" s="45"/>
    </row>
    <row r="4" ht="20" customHeight="1" spans="1:5">
      <c r="A4" s="106" t="s">
        <v>1894</v>
      </c>
      <c r="B4" s="106" t="s">
        <v>1877</v>
      </c>
      <c r="C4" s="106" t="s">
        <v>1895</v>
      </c>
      <c r="D4" s="162" t="s">
        <v>1893</v>
      </c>
      <c r="E4" s="163" t="s">
        <v>1896</v>
      </c>
    </row>
    <row r="5" ht="18" customHeight="1" spans="1:5">
      <c r="A5" s="164" t="s">
        <v>1897</v>
      </c>
      <c r="B5" s="164" t="s">
        <v>1898</v>
      </c>
      <c r="C5" s="127">
        <v>45</v>
      </c>
      <c r="D5" s="127">
        <f>AVERAGEIF(A5:A11,"中国",C5:C11)</f>
        <v>44.25</v>
      </c>
      <c r="E5" s="165"/>
    </row>
    <row r="6" ht="18" customHeight="1" spans="1:5">
      <c r="A6" s="164" t="s">
        <v>1897</v>
      </c>
      <c r="B6" s="164" t="s">
        <v>1219</v>
      </c>
      <c r="C6" s="127">
        <v>56</v>
      </c>
      <c r="D6" s="127" t="str">
        <f>_xlfn.FORMULATEXT(D5)</f>
        <v>=AVERAGEIF(A5:A11,"中国",C5:C11)</v>
      </c>
      <c r="E6" s="165"/>
    </row>
    <row r="7" ht="18" customHeight="1" spans="1:5">
      <c r="A7" s="164" t="s">
        <v>1897</v>
      </c>
      <c r="B7" s="164" t="s">
        <v>1899</v>
      </c>
      <c r="C7" s="127">
        <v>32</v>
      </c>
      <c r="D7" s="127"/>
      <c r="E7" s="165"/>
    </row>
    <row r="8" ht="18" customHeight="1" spans="1:5">
      <c r="A8" s="164" t="s">
        <v>1900</v>
      </c>
      <c r="B8" s="164" t="s">
        <v>1901</v>
      </c>
      <c r="C8" s="127">
        <v>45</v>
      </c>
      <c r="D8" s="127"/>
      <c r="E8" s="165"/>
    </row>
    <row r="9" ht="18" customHeight="1" spans="1:5">
      <c r="A9" s="164" t="s">
        <v>1900</v>
      </c>
      <c r="B9" s="164" t="s">
        <v>1902</v>
      </c>
      <c r="C9" s="127">
        <v>54</v>
      </c>
      <c r="D9" s="127"/>
      <c r="E9" s="165"/>
    </row>
    <row r="10" ht="18" customHeight="1" spans="1:5">
      <c r="A10" s="164" t="s">
        <v>1903</v>
      </c>
      <c r="B10" s="164" t="s">
        <v>1883</v>
      </c>
      <c r="C10" s="127">
        <v>48</v>
      </c>
      <c r="D10" s="127"/>
      <c r="E10" s="165"/>
    </row>
    <row r="11" ht="18" customHeight="1" spans="1:5">
      <c r="A11" s="164" t="s">
        <v>1897</v>
      </c>
      <c r="B11" s="164" t="s">
        <v>1904</v>
      </c>
      <c r="C11" s="127">
        <v>44</v>
      </c>
      <c r="D11" s="127"/>
      <c r="E11" s="166"/>
    </row>
  </sheetData>
  <mergeCells count="4">
    <mergeCell ref="A1:E1"/>
    <mergeCell ref="A2:E2"/>
    <mergeCell ref="B3:C3"/>
    <mergeCell ref="E4:E11"/>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showGridLines="0" workbookViewId="0">
      <pane ySplit="2" topLeftCell="A3" activePane="bottomLeft" state="frozen"/>
      <selection/>
      <selection pane="bottomLeft" activeCell="A1" sqref="A1:E1"/>
    </sheetView>
  </sheetViews>
  <sheetFormatPr defaultColWidth="9" defaultRowHeight="13.5" outlineLevelCol="4"/>
  <cols>
    <col min="1" max="1" width="17.625" customWidth="1"/>
    <col min="2" max="2" width="24.75" customWidth="1"/>
    <col min="3" max="3" width="19" customWidth="1"/>
    <col min="4" max="4" width="39.375" customWidth="1"/>
    <col min="5" max="5" width="63.875" customWidth="1"/>
  </cols>
  <sheetData>
    <row r="1" ht="26" customHeight="1" spans="1:5">
      <c r="A1" s="2" t="s">
        <v>1905</v>
      </c>
      <c r="B1" s="2"/>
      <c r="C1" s="2"/>
      <c r="D1" s="2"/>
      <c r="E1" s="2"/>
    </row>
    <row r="2" ht="101" customHeight="1" spans="1:5">
      <c r="A2" s="83" t="s">
        <v>1906</v>
      </c>
      <c r="B2" s="84"/>
      <c r="C2" s="84"/>
      <c r="D2" s="84"/>
      <c r="E2" s="84"/>
    </row>
    <row r="3" ht="21" customHeight="1" spans="1:3">
      <c r="A3" s="100" t="s">
        <v>553</v>
      </c>
      <c r="B3" s="101" t="s">
        <v>1893</v>
      </c>
      <c r="C3" s="45"/>
    </row>
    <row r="4" ht="20" customHeight="1" spans="1:5">
      <c r="A4" s="106" t="s">
        <v>1894</v>
      </c>
      <c r="B4" s="106" t="s">
        <v>1877</v>
      </c>
      <c r="C4" s="106" t="s">
        <v>1895</v>
      </c>
      <c r="D4" s="162" t="s">
        <v>1907</v>
      </c>
      <c r="E4" s="163" t="s">
        <v>1908</v>
      </c>
    </row>
    <row r="5" ht="18" customHeight="1" spans="1:5">
      <c r="A5" s="164" t="s">
        <v>1897</v>
      </c>
      <c r="B5" s="164" t="s">
        <v>1898</v>
      </c>
      <c r="C5" s="127">
        <v>45</v>
      </c>
      <c r="D5" s="127">
        <f>AVERAGEIFS(C5:C11,A5:A11,"中国",C5:C11,"&gt;40")</f>
        <v>48.3333333333333</v>
      </c>
      <c r="E5" s="165"/>
    </row>
    <row r="6" ht="18" customHeight="1" spans="1:5">
      <c r="A6" s="164" t="s">
        <v>1897</v>
      </c>
      <c r="B6" s="164" t="s">
        <v>1219</v>
      </c>
      <c r="C6" s="127">
        <v>56</v>
      </c>
      <c r="D6" s="127" t="str">
        <f>_xlfn.FORMULATEXT(D5)</f>
        <v>=AVERAGEIFS(C5:C11,A5:A11,"中国",C5:C11,"&gt;40")</v>
      </c>
      <c r="E6" s="165"/>
    </row>
    <row r="7" ht="18" customHeight="1" spans="1:5">
      <c r="A7" s="164" t="s">
        <v>1897</v>
      </c>
      <c r="B7" s="164" t="s">
        <v>1899</v>
      </c>
      <c r="C7" s="127">
        <v>32</v>
      </c>
      <c r="D7" s="127"/>
      <c r="E7" s="165"/>
    </row>
    <row r="8" ht="18" customHeight="1" spans="1:5">
      <c r="A8" s="164" t="s">
        <v>1900</v>
      </c>
      <c r="B8" s="164" t="s">
        <v>1901</v>
      </c>
      <c r="C8" s="127">
        <v>45</v>
      </c>
      <c r="D8" s="127"/>
      <c r="E8" s="165"/>
    </row>
    <row r="9" ht="18" customHeight="1" spans="1:5">
      <c r="A9" s="164" t="s">
        <v>1900</v>
      </c>
      <c r="B9" s="164" t="s">
        <v>1902</v>
      </c>
      <c r="C9" s="127">
        <v>54</v>
      </c>
      <c r="D9" s="127"/>
      <c r="E9" s="165"/>
    </row>
    <row r="10" ht="18" customHeight="1" spans="1:5">
      <c r="A10" s="164" t="s">
        <v>1903</v>
      </c>
      <c r="B10" s="164" t="s">
        <v>1883</v>
      </c>
      <c r="C10" s="127">
        <v>48</v>
      </c>
      <c r="D10" s="127"/>
      <c r="E10" s="165"/>
    </row>
    <row r="11" ht="18" customHeight="1" spans="1:5">
      <c r="A11" s="164" t="s">
        <v>1897</v>
      </c>
      <c r="B11" s="164" t="s">
        <v>1904</v>
      </c>
      <c r="C11" s="127">
        <v>44</v>
      </c>
      <c r="D11" s="127"/>
      <c r="E11" s="166"/>
    </row>
  </sheetData>
  <mergeCells count="4">
    <mergeCell ref="A1:E1"/>
    <mergeCell ref="A2:E2"/>
    <mergeCell ref="B3:C3"/>
    <mergeCell ref="E4:E11"/>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pane ySplit="2" topLeftCell="A6"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19" customWidth="1"/>
    <col min="4" max="4" width="42.875" customWidth="1"/>
    <col min="5" max="5" width="36.25" customWidth="1"/>
    <col min="6" max="6" width="24.5" customWidth="1"/>
  </cols>
  <sheetData>
    <row r="1" ht="26" customHeight="1" spans="1:6">
      <c r="A1" s="2" t="s">
        <v>1909</v>
      </c>
      <c r="B1" s="2"/>
      <c r="C1" s="2"/>
      <c r="D1" s="2"/>
      <c r="E1" s="2"/>
      <c r="F1" s="2"/>
    </row>
    <row r="2" ht="88" customHeight="1" spans="1:6">
      <c r="A2" s="83" t="s">
        <v>1910</v>
      </c>
      <c r="B2" s="84"/>
      <c r="C2" s="84"/>
      <c r="D2" s="84"/>
      <c r="E2" s="84"/>
      <c r="F2" s="84"/>
    </row>
    <row r="3" ht="21" customHeight="1" spans="1:3">
      <c r="A3" s="100" t="s">
        <v>558</v>
      </c>
      <c r="B3" s="101"/>
      <c r="C3" s="45"/>
    </row>
    <row r="4" ht="51" customHeight="1" spans="1:6">
      <c r="A4" s="159" t="s">
        <v>1911</v>
      </c>
      <c r="B4" s="159"/>
      <c r="C4" s="159"/>
      <c r="D4" s="159"/>
      <c r="E4" s="159"/>
      <c r="F4" s="159"/>
    </row>
    <row r="5" ht="78" customHeight="1" spans="1:6">
      <c r="A5" s="159" t="s">
        <v>1912</v>
      </c>
      <c r="B5" s="159"/>
      <c r="C5" s="159"/>
      <c r="D5" s="159"/>
      <c r="E5" s="159"/>
      <c r="F5" s="159"/>
    </row>
    <row r="6" ht="19" customHeight="1" spans="1:4">
      <c r="A6" s="100" t="s">
        <v>553</v>
      </c>
      <c r="B6" s="101" t="s">
        <v>1913</v>
      </c>
      <c r="C6" s="45"/>
      <c r="D6" s="160"/>
    </row>
    <row r="7" ht="19" customHeight="1" spans="1:4">
      <c r="A7" s="134" t="s">
        <v>1914</v>
      </c>
      <c r="B7" s="134" t="s">
        <v>1915</v>
      </c>
      <c r="C7" s="134" t="s">
        <v>1916</v>
      </c>
      <c r="D7" s="161" t="s">
        <v>1917</v>
      </c>
    </row>
    <row r="8" ht="19" customHeight="1" spans="1:4">
      <c r="A8" s="135">
        <v>10</v>
      </c>
      <c r="B8" s="135" t="s">
        <v>1918</v>
      </c>
      <c r="C8" s="135" t="s">
        <v>1493</v>
      </c>
      <c r="D8" s="127">
        <f>SUMIFS(A8:A14,B8:B14,"花生",C8:C14,"张三")</f>
        <v>20</v>
      </c>
    </row>
    <row r="9" ht="19" customHeight="1" spans="1:4">
      <c r="A9" s="135">
        <v>20</v>
      </c>
      <c r="B9" s="135" t="s">
        <v>1918</v>
      </c>
      <c r="C9" s="135" t="s">
        <v>1919</v>
      </c>
      <c r="D9" s="127" t="str">
        <f>_xlfn.FORMULATEXT(D8)</f>
        <v>=SUMIFS(A8:A14,B8:B14,"花生",C8:C14,"张三")</v>
      </c>
    </row>
    <row r="10" ht="19" customHeight="1" spans="1:4">
      <c r="A10" s="135">
        <v>30</v>
      </c>
      <c r="B10" s="135" t="s">
        <v>1920</v>
      </c>
      <c r="C10" s="135" t="s">
        <v>1493</v>
      </c>
      <c r="D10" s="127"/>
    </row>
    <row r="11" ht="14.25" spans="1:4">
      <c r="A11" s="135">
        <v>20</v>
      </c>
      <c r="B11" s="135" t="s">
        <v>1920</v>
      </c>
      <c r="C11" s="135" t="s">
        <v>1919</v>
      </c>
      <c r="D11" s="127"/>
    </row>
    <row r="12" ht="14.25" spans="1:4">
      <c r="A12" s="135">
        <v>15</v>
      </c>
      <c r="B12" s="135" t="s">
        <v>1921</v>
      </c>
      <c r="C12" s="135" t="s">
        <v>1493</v>
      </c>
      <c r="D12" s="127"/>
    </row>
    <row r="13" ht="14.25" spans="1:4">
      <c r="A13" s="135">
        <v>10</v>
      </c>
      <c r="B13" s="135" t="s">
        <v>1918</v>
      </c>
      <c r="C13" s="135" t="s">
        <v>1493</v>
      </c>
      <c r="D13" s="127"/>
    </row>
    <row r="14" ht="14.25" spans="1:4">
      <c r="A14" s="135">
        <v>10</v>
      </c>
      <c r="B14" s="135" t="s">
        <v>1921</v>
      </c>
      <c r="C14" s="135" t="s">
        <v>1919</v>
      </c>
      <c r="D14" s="127"/>
    </row>
  </sheetData>
  <mergeCells count="6">
    <mergeCell ref="A1:F1"/>
    <mergeCell ref="A2:F2"/>
    <mergeCell ref="B3:C3"/>
    <mergeCell ref="A4:F4"/>
    <mergeCell ref="A5:F5"/>
    <mergeCell ref="B6:C6"/>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38.125" customWidth="1"/>
    <col min="2" max="2" width="30" customWidth="1"/>
    <col min="3" max="3" width="27.5" customWidth="1"/>
    <col min="4" max="4" width="32.375" customWidth="1"/>
    <col min="5" max="5" width="36.25" customWidth="1"/>
    <col min="6" max="6" width="24.5" customWidth="1"/>
  </cols>
  <sheetData>
    <row r="1" ht="26" customHeight="1" spans="1:6">
      <c r="A1" s="2" t="s">
        <v>1922</v>
      </c>
      <c r="B1" s="2"/>
      <c r="C1" s="2"/>
      <c r="D1" s="2"/>
      <c r="E1" s="2"/>
      <c r="F1" s="2"/>
    </row>
    <row r="2" ht="100" customHeight="1" spans="1:6">
      <c r="A2" s="83" t="s">
        <v>1923</v>
      </c>
      <c r="B2" s="84"/>
      <c r="C2" s="84"/>
      <c r="D2" s="84"/>
      <c r="E2" s="84"/>
      <c r="F2" s="84"/>
    </row>
    <row r="3" ht="21" customHeight="1" spans="1:3">
      <c r="A3" s="100" t="s">
        <v>553</v>
      </c>
      <c r="B3" s="101"/>
      <c r="C3" s="45"/>
    </row>
    <row r="4" ht="19" customHeight="1" spans="1:3">
      <c r="A4" s="127" t="s">
        <v>1924</v>
      </c>
      <c r="B4" s="127" t="str">
        <f>_xlfn.FORMULATEXT(C4)</f>
        <v>=ROUNDDOWN(6.3,0)</v>
      </c>
      <c r="C4" s="127">
        <f>ROUNDDOWN(6.3,0)</f>
        <v>6</v>
      </c>
    </row>
    <row r="5" ht="19" customHeight="1" spans="1:3">
      <c r="A5" s="127" t="s">
        <v>1925</v>
      </c>
      <c r="B5" s="127" t="str">
        <f>_xlfn.FORMULATEXT(C5)</f>
        <v>=ROUNDDOWN(68.8,0)</v>
      </c>
      <c r="C5" s="127">
        <f>ROUNDDOWN(68.8,0)</f>
        <v>68</v>
      </c>
    </row>
    <row r="6" ht="19" customHeight="1" spans="1:3">
      <c r="A6" s="127" t="s">
        <v>1926</v>
      </c>
      <c r="B6" s="127" t="str">
        <f>_xlfn.FORMULATEXT(C6)</f>
        <v>=ROUNDDOWN(3.141592,4)</v>
      </c>
      <c r="C6" s="127">
        <f>ROUNDDOWN(3.141592,4)</f>
        <v>3.1415</v>
      </c>
    </row>
    <row r="7" ht="19" customHeight="1" spans="1:3">
      <c r="A7" s="127" t="s">
        <v>1927</v>
      </c>
      <c r="B7" s="127" t="str">
        <f>_xlfn.FORMULATEXT(C7)</f>
        <v>=ROUNDDOWN(-3.141592,3)</v>
      </c>
      <c r="C7" s="127">
        <f>ROUNDDOWN(-3.141592,3)</f>
        <v>-3.141</v>
      </c>
    </row>
    <row r="8" ht="19" customHeight="1" spans="1:3">
      <c r="A8" s="127" t="s">
        <v>1928</v>
      </c>
      <c r="B8" s="127" t="str">
        <f>_xlfn.FORMULATEXT(C8)</f>
        <v>=ROUNDDOWN(31415.92,-3)</v>
      </c>
      <c r="C8" s="127">
        <f>ROUNDDOWN(31415.92,-3)</f>
        <v>31000</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38.125" customWidth="1"/>
    <col min="2" max="2" width="30" customWidth="1"/>
    <col min="3" max="3" width="27.5" customWidth="1"/>
    <col min="4" max="4" width="32.375" customWidth="1"/>
    <col min="5" max="5" width="36.25" customWidth="1"/>
    <col min="6" max="6" width="24.5" customWidth="1"/>
  </cols>
  <sheetData>
    <row r="1" ht="26" customHeight="1" spans="1:6">
      <c r="A1" s="2" t="s">
        <v>1929</v>
      </c>
      <c r="B1" s="2"/>
      <c r="C1" s="2"/>
      <c r="D1" s="2"/>
      <c r="E1" s="2"/>
      <c r="F1" s="2"/>
    </row>
    <row r="2" ht="117" customHeight="1" spans="1:6">
      <c r="A2" s="83" t="s">
        <v>1930</v>
      </c>
      <c r="B2" s="84"/>
      <c r="C2" s="84"/>
      <c r="D2" s="84"/>
      <c r="E2" s="84"/>
      <c r="F2" s="84"/>
    </row>
    <row r="3" ht="21" customHeight="1" spans="1:3">
      <c r="A3" s="100" t="s">
        <v>553</v>
      </c>
      <c r="B3" s="101"/>
      <c r="C3" s="45"/>
    </row>
    <row r="4" ht="19" customHeight="1" spans="1:3">
      <c r="A4" s="126" t="s">
        <v>1931</v>
      </c>
      <c r="B4" s="126">
        <f>ROUNDUP(6.3,0)</f>
        <v>7</v>
      </c>
      <c r="C4" s="127" t="str">
        <f>_xlfn.FORMULATEXT(B4)</f>
        <v>=ROUNDUP(6.3,0)</v>
      </c>
    </row>
    <row r="5" ht="19" customHeight="1" spans="1:3">
      <c r="A5" s="126" t="s">
        <v>1932</v>
      </c>
      <c r="B5" s="126">
        <f>ROUNDUP(68.8,0)</f>
        <v>69</v>
      </c>
      <c r="C5" s="127" t="str">
        <f>_xlfn.FORMULATEXT(B5)</f>
        <v>=ROUNDUP(68.8,0)</v>
      </c>
    </row>
    <row r="6" ht="19" customHeight="1" spans="1:3">
      <c r="A6" s="126" t="s">
        <v>1933</v>
      </c>
      <c r="B6" s="126">
        <f>ROUNDUP(3.141592,4)</f>
        <v>3.1416</v>
      </c>
      <c r="C6" s="127" t="str">
        <f>_xlfn.FORMULATEXT(B6)</f>
        <v>=ROUNDUP(3.141592,4)</v>
      </c>
    </row>
    <row r="7" ht="19" customHeight="1" spans="1:3">
      <c r="A7" s="126" t="s">
        <v>1934</v>
      </c>
      <c r="B7" s="126">
        <f>ROUNDUP(-3.141592,3)</f>
        <v>-3.142</v>
      </c>
      <c r="C7" s="127" t="str">
        <f>_xlfn.FORMULATEXT(B7)</f>
        <v>=ROUNDUP(-3.141592,3)</v>
      </c>
    </row>
    <row r="8" ht="19" customHeight="1" spans="1:3">
      <c r="A8" s="126" t="s">
        <v>1935</v>
      </c>
      <c r="B8" s="126">
        <f>ROUNDUP(31415.92,-3)</f>
        <v>32000</v>
      </c>
      <c r="C8" s="127" t="str">
        <f>_xlfn.FORMULATEXT(B8)</f>
        <v>=ROUNDUP(31415.92,-3)</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19" customWidth="1"/>
    <col min="4" max="4" width="32.375" customWidth="1"/>
    <col min="5" max="5" width="36.25" customWidth="1"/>
    <col min="6" max="6" width="26.75" customWidth="1"/>
  </cols>
  <sheetData>
    <row r="1" ht="26" customHeight="1" spans="1:6">
      <c r="A1" s="2" t="s">
        <v>1936</v>
      </c>
      <c r="B1" s="2"/>
      <c r="C1" s="2"/>
      <c r="D1" s="2"/>
      <c r="E1" s="2"/>
      <c r="F1" s="2"/>
    </row>
    <row r="2" ht="93" customHeight="1" spans="1:6">
      <c r="A2" s="4" t="s">
        <v>1937</v>
      </c>
      <c r="B2" s="5"/>
      <c r="C2" s="5"/>
      <c r="D2" s="5"/>
      <c r="E2" s="5"/>
      <c r="F2" s="5"/>
    </row>
    <row r="3" ht="21" customHeight="1" spans="1:3">
      <c r="A3" s="100" t="s">
        <v>553</v>
      </c>
      <c r="B3" s="101" t="s">
        <v>1938</v>
      </c>
      <c r="C3" s="45"/>
    </row>
    <row r="4" ht="19" customHeight="1" spans="1:4">
      <c r="A4" s="129" t="s">
        <v>1939</v>
      </c>
      <c r="B4" s="129">
        <f ca="1">COUNT(A4:A10)</f>
        <v>4</v>
      </c>
      <c r="C4" s="155" t="s">
        <v>1940</v>
      </c>
      <c r="D4" s="156"/>
    </row>
    <row r="5" ht="19" customHeight="1" spans="1:4">
      <c r="A5" s="105">
        <v>12</v>
      </c>
      <c r="B5" s="105" t="str">
        <f ca="1">_xlfn.FORMULATEXT(B4)</f>
        <v>=COUNT(A4:A10)</v>
      </c>
      <c r="C5" s="157"/>
      <c r="D5" s="158"/>
    </row>
    <row r="6" ht="19" customHeight="1" spans="1:4">
      <c r="A6" s="147">
        <v>43102</v>
      </c>
      <c r="B6" s="105">
        <f ca="1">COUNTA(A4:A10)</f>
        <v>6</v>
      </c>
      <c r="C6" s="155" t="s">
        <v>1941</v>
      </c>
      <c r="D6" s="156"/>
    </row>
    <row r="7" ht="19" customHeight="1" spans="1:4">
      <c r="A7" s="147"/>
      <c r="B7" s="105" t="str">
        <f ca="1">_xlfn.FORMULATEXT(B6)</f>
        <v>=COUNTA(A4:A10)</v>
      </c>
      <c r="C7" s="157"/>
      <c r="D7" s="158"/>
    </row>
    <row r="8" ht="19" customHeight="1" spans="1:4">
      <c r="A8" s="105" t="e">
        <f>2/0</f>
        <v>#DIV/0!</v>
      </c>
      <c r="B8" s="105"/>
      <c r="C8" s="23"/>
      <c r="D8" s="23"/>
    </row>
    <row r="9" ht="19" customHeight="1" spans="1:4">
      <c r="A9" s="152">
        <f ca="1">TODAY()</f>
        <v>43945</v>
      </c>
      <c r="B9" s="105"/>
      <c r="C9" s="23"/>
      <c r="D9" s="23"/>
    </row>
    <row r="10" ht="19" customHeight="1" spans="1:4">
      <c r="A10" s="105">
        <f>4+5</f>
        <v>9</v>
      </c>
      <c r="B10" s="105"/>
      <c r="C10" s="23"/>
      <c r="D10" s="23"/>
    </row>
  </sheetData>
  <mergeCells count="5">
    <mergeCell ref="A1:F1"/>
    <mergeCell ref="A2:F2"/>
    <mergeCell ref="B3:C3"/>
    <mergeCell ref="C4:D5"/>
    <mergeCell ref="C6:D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E10" sqref="E10"/>
    </sheetView>
  </sheetViews>
  <sheetFormatPr defaultColWidth="9" defaultRowHeight="13.5" outlineLevelCol="5"/>
  <cols>
    <col min="1" max="1" width="17.625" customWidth="1"/>
    <col min="2" max="2" width="24.75" customWidth="1"/>
    <col min="3" max="3" width="19" customWidth="1"/>
    <col min="4" max="4" width="32.375" customWidth="1"/>
    <col min="5" max="5" width="36.25" customWidth="1"/>
    <col min="6" max="6" width="26.75" customWidth="1"/>
  </cols>
  <sheetData>
    <row r="1" ht="26" customHeight="1" spans="1:6">
      <c r="A1" s="2" t="s">
        <v>1942</v>
      </c>
      <c r="B1" s="2"/>
      <c r="C1" s="2"/>
      <c r="D1" s="2"/>
      <c r="E1" s="2"/>
      <c r="F1" s="2"/>
    </row>
    <row r="2" ht="82" customHeight="1" spans="1:6">
      <c r="A2" s="4" t="s">
        <v>1943</v>
      </c>
      <c r="B2" s="5"/>
      <c r="C2" s="5"/>
      <c r="D2" s="5"/>
      <c r="E2" s="5"/>
      <c r="F2" s="5"/>
    </row>
    <row r="3" ht="21" customHeight="1" spans="1:3">
      <c r="A3" s="100" t="s">
        <v>553</v>
      </c>
      <c r="B3" s="101" t="s">
        <v>1944</v>
      </c>
      <c r="C3" s="45"/>
    </row>
    <row r="4" ht="19" customHeight="1" spans="1:4">
      <c r="A4" s="129" t="s">
        <v>1939</v>
      </c>
      <c r="B4" s="129">
        <f ca="1">COUNT(A4:A10)</f>
        <v>4</v>
      </c>
      <c r="C4" s="155" t="s">
        <v>1940</v>
      </c>
      <c r="D4" s="156"/>
    </row>
    <row r="5" ht="19" customHeight="1" spans="1:4">
      <c r="A5" s="105">
        <v>12</v>
      </c>
      <c r="B5" s="105" t="str">
        <f ca="1">_xlfn.FORMULATEXT(B4)</f>
        <v>=COUNT(A4:A10)</v>
      </c>
      <c r="C5" s="157"/>
      <c r="D5" s="158"/>
    </row>
    <row r="6" ht="19" customHeight="1" spans="1:4">
      <c r="A6" s="147">
        <v>43102</v>
      </c>
      <c r="B6" s="105">
        <f ca="1">COUNTA(A4:A10)</f>
        <v>6</v>
      </c>
      <c r="C6" s="155" t="s">
        <v>1941</v>
      </c>
      <c r="D6" s="156"/>
    </row>
    <row r="7" ht="19" customHeight="1" spans="1:4">
      <c r="A7" s="147"/>
      <c r="B7" s="105" t="str">
        <f ca="1">_xlfn.FORMULATEXT(B6)</f>
        <v>=COUNTA(A4:A10)</v>
      </c>
      <c r="C7" s="157"/>
      <c r="D7" s="158"/>
    </row>
    <row r="8" ht="19" customHeight="1" spans="1:4">
      <c r="A8" s="105" t="e">
        <f>2/0</f>
        <v>#DIV/0!</v>
      </c>
      <c r="B8" s="105"/>
      <c r="C8" s="23"/>
      <c r="D8" s="23"/>
    </row>
    <row r="9" ht="19" customHeight="1" spans="1:4">
      <c r="A9" s="152">
        <f ca="1">TODAY()</f>
        <v>43945</v>
      </c>
      <c r="B9" s="105"/>
      <c r="C9" s="23"/>
      <c r="D9" s="23"/>
    </row>
    <row r="10" ht="19" customHeight="1" spans="1:4">
      <c r="A10" s="105">
        <f>4+5</f>
        <v>9</v>
      </c>
      <c r="B10" s="105"/>
      <c r="C10" s="23"/>
      <c r="D10" s="23"/>
    </row>
  </sheetData>
  <mergeCells count="5">
    <mergeCell ref="A1:F1"/>
    <mergeCell ref="A2:F2"/>
    <mergeCell ref="B3:C3"/>
    <mergeCell ref="C4:D5"/>
    <mergeCell ref="C6:D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19" customWidth="1"/>
    <col min="4" max="4" width="32.375" customWidth="1"/>
    <col min="5" max="5" width="36.25" customWidth="1"/>
    <col min="6" max="6" width="26.75" customWidth="1"/>
  </cols>
  <sheetData>
    <row r="1" ht="26" customHeight="1" spans="1:6">
      <c r="A1" s="2" t="s">
        <v>1945</v>
      </c>
      <c r="B1" s="2"/>
      <c r="C1" s="2"/>
      <c r="D1" s="2"/>
      <c r="E1" s="2"/>
      <c r="F1" s="2"/>
    </row>
    <row r="2" ht="80" customHeight="1" spans="1:6">
      <c r="A2" s="4" t="s">
        <v>1946</v>
      </c>
      <c r="B2" s="5"/>
      <c r="C2" s="5"/>
      <c r="D2" s="5"/>
      <c r="E2" s="5"/>
      <c r="F2" s="5"/>
    </row>
    <row r="3" ht="21" customHeight="1" spans="1:3">
      <c r="A3" s="100" t="s">
        <v>553</v>
      </c>
      <c r="B3" s="101" t="s">
        <v>1947</v>
      </c>
      <c r="C3" s="45"/>
    </row>
    <row r="4" ht="19" customHeight="1" spans="1:4">
      <c r="A4" s="129" t="s">
        <v>1939</v>
      </c>
      <c r="B4" s="129">
        <f ca="1">COUNT(A4:A10)</f>
        <v>4</v>
      </c>
      <c r="C4" s="146" t="s">
        <v>1948</v>
      </c>
      <c r="D4" s="146">
        <f ca="1">COUNTBLANK(A4:B10)</f>
        <v>2</v>
      </c>
    </row>
    <row r="5" ht="19" customHeight="1" spans="1:4">
      <c r="A5" s="105">
        <v>12</v>
      </c>
      <c r="B5" s="105" t="str">
        <f>IF(A5&gt;0,"",A5)</f>
        <v/>
      </c>
      <c r="C5" s="23" t="str">
        <f ca="1">_xlfn.FORMULATEXT(D4)</f>
        <v>=COUNTBLANK(A4:B10)</v>
      </c>
      <c r="D5" s="23"/>
    </row>
    <row r="6" ht="19" customHeight="1" spans="1:4">
      <c r="A6" s="147">
        <v>43102</v>
      </c>
      <c r="B6" s="105">
        <f ca="1">COUNTA(A4:A10)</f>
        <v>6</v>
      </c>
      <c r="C6" s="148" t="s">
        <v>1949</v>
      </c>
      <c r="D6" s="149"/>
    </row>
    <row r="7" ht="19" customHeight="1" spans="1:4">
      <c r="A7" s="147"/>
      <c r="B7" s="105" t="str">
        <f ca="1">_xlfn.FORMULATEXT(B6)</f>
        <v>=COUNTA(A4:A10)</v>
      </c>
      <c r="C7" s="150"/>
      <c r="D7" s="151"/>
    </row>
    <row r="8" ht="19" customHeight="1" spans="1:4">
      <c r="A8" s="105" t="e">
        <f>2/0</f>
        <v>#DIV/0!</v>
      </c>
      <c r="B8" s="105" t="s">
        <v>561</v>
      </c>
      <c r="C8" s="150"/>
      <c r="D8" s="151"/>
    </row>
    <row r="9" ht="19" customHeight="1" spans="1:4">
      <c r="A9" s="152">
        <f ca="1">TODAY()</f>
        <v>43945</v>
      </c>
      <c r="B9" s="105" t="s">
        <v>1950</v>
      </c>
      <c r="C9" s="150"/>
      <c r="D9" s="151"/>
    </row>
    <row r="10" ht="19" customHeight="1" spans="1:4">
      <c r="A10" s="105">
        <f>4+5</f>
        <v>9</v>
      </c>
      <c r="B10" s="105" t="s">
        <v>1616</v>
      </c>
      <c r="C10" s="153"/>
      <c r="D10" s="154"/>
    </row>
  </sheetData>
  <mergeCells count="5">
    <mergeCell ref="A1:F1"/>
    <mergeCell ref="A2:F2"/>
    <mergeCell ref="B3:C3"/>
    <mergeCell ref="C5:D5"/>
    <mergeCell ref="C6:D10"/>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
  <sheetViews>
    <sheetView workbookViewId="0">
      <pane ySplit="2" topLeftCell="A3" activePane="bottomLeft" state="frozen"/>
      <selection/>
      <selection pane="bottomLeft" activeCell="A1" sqref="A1:F1"/>
    </sheetView>
  </sheetViews>
  <sheetFormatPr defaultColWidth="9" defaultRowHeight="13.5" outlineLevelCol="5"/>
  <cols>
    <col min="1" max="1" width="15.25" customWidth="1"/>
    <col min="2" max="2" width="17.125" customWidth="1"/>
    <col min="3" max="3" width="23.625" customWidth="1"/>
    <col min="4" max="4" width="29.5" customWidth="1"/>
    <col min="5" max="5" width="24.125" customWidth="1"/>
    <col min="6" max="6" width="24.5" customWidth="1"/>
  </cols>
  <sheetData>
    <row r="1" ht="26" customHeight="1" spans="1:6">
      <c r="A1" s="2" t="s">
        <v>1951</v>
      </c>
      <c r="B1" s="2"/>
      <c r="C1" s="2"/>
      <c r="D1" s="2"/>
      <c r="E1" s="2"/>
      <c r="F1" s="2"/>
    </row>
    <row r="2" ht="81" customHeight="1" spans="1:6">
      <c r="A2" s="4" t="s">
        <v>1952</v>
      </c>
      <c r="B2" s="5"/>
      <c r="C2" s="5"/>
      <c r="D2" s="5"/>
      <c r="E2" s="5"/>
      <c r="F2" s="5"/>
    </row>
    <row r="3" ht="21" customHeight="1" spans="1:3">
      <c r="A3" s="137" t="s">
        <v>1953</v>
      </c>
      <c r="B3" s="137"/>
      <c r="C3" s="137"/>
    </row>
    <row r="4" ht="34" customHeight="1" spans="1:4">
      <c r="A4" s="106" t="s">
        <v>1954</v>
      </c>
      <c r="B4" s="106" t="s">
        <v>1955</v>
      </c>
      <c r="C4" s="106" t="s">
        <v>1956</v>
      </c>
      <c r="D4" s="106" t="s">
        <v>1957</v>
      </c>
    </row>
    <row r="5" ht="17" customHeight="1" spans="1:4">
      <c r="A5" s="138">
        <v>1</v>
      </c>
      <c r="B5" s="138">
        <v>101</v>
      </c>
      <c r="C5" s="138" t="s">
        <v>198</v>
      </c>
      <c r="D5" s="138" t="s">
        <v>1958</v>
      </c>
    </row>
    <row r="6" ht="17" customHeight="1" spans="1:4">
      <c r="A6" s="138">
        <v>2</v>
      </c>
      <c r="B6" s="138">
        <v>102</v>
      </c>
      <c r="C6" s="138" t="s">
        <v>218</v>
      </c>
      <c r="D6" s="138" t="s">
        <v>1959</v>
      </c>
    </row>
    <row r="7" ht="17" customHeight="1" spans="1:4">
      <c r="A7" s="138">
        <v>3</v>
      </c>
      <c r="B7" s="138">
        <v>103</v>
      </c>
      <c r="C7" s="138" t="s">
        <v>220</v>
      </c>
      <c r="D7" s="138" t="s">
        <v>1960</v>
      </c>
    </row>
    <row r="8" ht="17" customHeight="1" spans="1:4">
      <c r="A8" s="138">
        <v>4</v>
      </c>
      <c r="B8" s="138">
        <v>104</v>
      </c>
      <c r="C8" s="138" t="s">
        <v>282</v>
      </c>
      <c r="D8" s="138" t="s">
        <v>1961</v>
      </c>
    </row>
    <row r="9" ht="17" customHeight="1" spans="1:4">
      <c r="A9" s="138">
        <v>5</v>
      </c>
      <c r="B9" s="138">
        <v>105</v>
      </c>
      <c r="C9" s="138" t="s">
        <v>290</v>
      </c>
      <c r="D9" s="138" t="s">
        <v>1962</v>
      </c>
    </row>
    <row r="10" ht="17" customHeight="1" spans="1:4">
      <c r="A10" s="138">
        <v>6</v>
      </c>
      <c r="B10" s="138">
        <v>106</v>
      </c>
      <c r="C10" s="138" t="s">
        <v>83</v>
      </c>
      <c r="D10" s="138" t="s">
        <v>1963</v>
      </c>
    </row>
    <row r="11" ht="17" customHeight="1" spans="1:4">
      <c r="A11" s="138">
        <v>7</v>
      </c>
      <c r="B11" s="138">
        <v>107</v>
      </c>
      <c r="C11" s="138" t="s">
        <v>336</v>
      </c>
      <c r="D11" s="138" t="s">
        <v>1964</v>
      </c>
    </row>
    <row r="12" ht="17" customHeight="1" spans="1:4">
      <c r="A12" s="138">
        <v>8</v>
      </c>
      <c r="B12" s="138">
        <v>108</v>
      </c>
      <c r="C12" s="138" t="s">
        <v>340</v>
      </c>
      <c r="D12" s="138" t="s">
        <v>1965</v>
      </c>
    </row>
    <row r="13" ht="17" customHeight="1" spans="1:4">
      <c r="A13" s="138">
        <v>9</v>
      </c>
      <c r="B13" s="138">
        <v>109</v>
      </c>
      <c r="C13" s="138" t="s">
        <v>1966</v>
      </c>
      <c r="D13" s="138" t="s">
        <v>1967</v>
      </c>
    </row>
    <row r="14" ht="17" customHeight="1" spans="1:4">
      <c r="A14" s="138">
        <v>10</v>
      </c>
      <c r="B14" s="138">
        <v>110</v>
      </c>
      <c r="C14" s="138" t="s">
        <v>354</v>
      </c>
      <c r="D14" s="138" t="s">
        <v>1968</v>
      </c>
    </row>
    <row r="15" ht="17" customHeight="1" spans="1:4">
      <c r="A15" s="138">
        <v>11</v>
      </c>
      <c r="B15" s="138">
        <v>111</v>
      </c>
      <c r="C15" s="138" t="s">
        <v>358</v>
      </c>
      <c r="D15" s="138" t="s">
        <v>1969</v>
      </c>
    </row>
    <row r="16" ht="18" spans="1:3">
      <c r="A16" s="100" t="s">
        <v>553</v>
      </c>
      <c r="B16" s="101" t="s">
        <v>575</v>
      </c>
      <c r="C16" s="45"/>
    </row>
    <row r="17" ht="14.25" spans="1:5">
      <c r="A17" s="139" t="s">
        <v>594</v>
      </c>
      <c r="B17" s="139" t="s">
        <v>1839</v>
      </c>
      <c r="C17" s="139" t="s">
        <v>1782</v>
      </c>
      <c r="D17" s="140"/>
      <c r="E17" s="140"/>
    </row>
    <row r="18" ht="14.25" spans="1:5">
      <c r="A18" s="127" t="s">
        <v>1493</v>
      </c>
      <c r="B18" s="127" t="s">
        <v>1843</v>
      </c>
      <c r="C18" s="127">
        <v>62</v>
      </c>
      <c r="D18" s="140"/>
      <c r="E18" s="140"/>
    </row>
    <row r="19" ht="14.25" spans="1:5">
      <c r="A19" s="127" t="s">
        <v>1919</v>
      </c>
      <c r="B19" s="127" t="s">
        <v>1843</v>
      </c>
      <c r="C19" s="127">
        <v>102</v>
      </c>
      <c r="D19" s="140"/>
      <c r="E19" s="140"/>
    </row>
    <row r="20" ht="14.25" spans="1:5">
      <c r="A20" s="127" t="s">
        <v>1970</v>
      </c>
      <c r="B20" s="127" t="s">
        <v>1845</v>
      </c>
      <c r="C20" s="127">
        <v>89</v>
      </c>
      <c r="D20" s="140"/>
      <c r="E20" s="140"/>
    </row>
    <row r="21" ht="14.25" spans="1:5">
      <c r="A21" s="127" t="s">
        <v>1971</v>
      </c>
      <c r="B21" s="127" t="s">
        <v>1843</v>
      </c>
      <c r="C21" s="127">
        <v>95</v>
      </c>
      <c r="D21" s="140"/>
      <c r="E21" s="140"/>
    </row>
    <row r="22" ht="14.25" hidden="1" spans="1:5">
      <c r="A22" s="127" t="s">
        <v>1972</v>
      </c>
      <c r="B22" s="127" t="s">
        <v>1843</v>
      </c>
      <c r="C22" s="127">
        <v>75</v>
      </c>
      <c r="D22" s="140"/>
      <c r="E22" s="140"/>
    </row>
    <row r="23" ht="14.25" spans="1:5">
      <c r="A23" s="127" t="s">
        <v>1973</v>
      </c>
      <c r="B23" s="127" t="s">
        <v>1843</v>
      </c>
      <c r="C23" s="127">
        <v>72</v>
      </c>
      <c r="D23" s="140"/>
      <c r="E23" s="140"/>
    </row>
    <row r="24" ht="14.25" spans="1:5">
      <c r="A24" s="127" t="s">
        <v>1974</v>
      </c>
      <c r="B24" s="127" t="s">
        <v>1843</v>
      </c>
      <c r="C24" s="127">
        <v>88</v>
      </c>
      <c r="D24" s="140"/>
      <c r="E24" s="140"/>
    </row>
    <row r="25" ht="14.25" spans="1:5">
      <c r="A25" s="127" t="s">
        <v>598</v>
      </c>
      <c r="B25" s="127" t="s">
        <v>1843</v>
      </c>
      <c r="C25" s="127">
        <v>99</v>
      </c>
      <c r="D25" s="140"/>
      <c r="E25" s="140"/>
    </row>
    <row r="26" ht="14.25" spans="1:5">
      <c r="A26" s="127" t="s">
        <v>1975</v>
      </c>
      <c r="B26" s="127" t="s">
        <v>1845</v>
      </c>
      <c r="C26" s="127">
        <v>111</v>
      </c>
      <c r="D26" s="140"/>
      <c r="E26" s="140"/>
    </row>
    <row r="27" ht="14.25" spans="1:5">
      <c r="A27" s="127" t="s">
        <v>1976</v>
      </c>
      <c r="B27" s="127" t="s">
        <v>1843</v>
      </c>
      <c r="C27" s="127">
        <v>98</v>
      </c>
      <c r="D27" s="140"/>
      <c r="E27" s="140"/>
    </row>
    <row r="28" ht="14.25" spans="1:5">
      <c r="A28" s="141" t="s">
        <v>1977</v>
      </c>
      <c r="B28" s="141" t="s">
        <v>1843</v>
      </c>
      <c r="C28" s="141">
        <v>95</v>
      </c>
      <c r="D28" s="140"/>
      <c r="E28" s="140"/>
    </row>
    <row r="29" ht="14.25" spans="1:5">
      <c r="A29" s="142" t="s">
        <v>558</v>
      </c>
      <c r="B29" s="143"/>
      <c r="C29" s="144" t="s">
        <v>1978</v>
      </c>
      <c r="D29" s="144" t="s">
        <v>560</v>
      </c>
      <c r="E29" s="144" t="s">
        <v>1979</v>
      </c>
    </row>
    <row r="30" ht="14.25" spans="1:5">
      <c r="A30" s="145" t="s">
        <v>1980</v>
      </c>
      <c r="B30" s="145"/>
      <c r="C30" s="145">
        <f>SUBTOTAL(1,$C$18:$C$28)</f>
        <v>89.6363636363636</v>
      </c>
      <c r="D30" s="145" t="str">
        <f>_xlfn.FORMULATEXT(C30)</f>
        <v>=SUBTOTAL(1,$C$18:$C$28)</v>
      </c>
      <c r="E30" s="145">
        <f>SUBTOTAL(101,$C$18:$C$28)</f>
        <v>91.1</v>
      </c>
    </row>
    <row r="31" ht="14.25" spans="1:5">
      <c r="A31" s="145" t="s">
        <v>1981</v>
      </c>
      <c r="B31" s="145"/>
      <c r="C31" s="145">
        <f>SUBTOTAL(2,$C$18:$C$28)</f>
        <v>11</v>
      </c>
      <c r="D31" s="145" t="str">
        <f>_xlfn.FORMULATEXT(C31)</f>
        <v>=SUBTOTAL(2,$C$18:$C$28)</v>
      </c>
      <c r="E31" s="145">
        <f>SUBTOTAL(102,$C$18:$C$28)</f>
        <v>10</v>
      </c>
    </row>
    <row r="32" ht="14.25" spans="1:5">
      <c r="A32" s="145" t="s">
        <v>1982</v>
      </c>
      <c r="B32" s="145"/>
      <c r="C32" s="145">
        <f>SUBTOTAL(3,$C$18:$C$28)</f>
        <v>11</v>
      </c>
      <c r="D32" s="145" t="str">
        <f>_xlfn.FORMULATEXT(C32)</f>
        <v>=SUBTOTAL(3,$C$18:$C$28)</v>
      </c>
      <c r="E32" s="145"/>
    </row>
    <row r="33" ht="14.25" spans="1:5">
      <c r="A33" s="145" t="s">
        <v>1961</v>
      </c>
      <c r="B33" s="145"/>
      <c r="C33" s="145">
        <f>SUBTOTAL(4,$C$18:$C$28)</f>
        <v>111</v>
      </c>
      <c r="D33" s="145" t="str">
        <f>_xlfn.FORMULATEXT(C33)</f>
        <v>=SUBTOTAL(4,$C$18:$C$28)</v>
      </c>
      <c r="E33" s="145"/>
    </row>
  </sheetData>
  <mergeCells count="9">
    <mergeCell ref="A1:F1"/>
    <mergeCell ref="A2:F2"/>
    <mergeCell ref="A3:C3"/>
    <mergeCell ref="B16:C16"/>
    <mergeCell ref="A29:B29"/>
    <mergeCell ref="A30:B30"/>
    <mergeCell ref="A31:B31"/>
    <mergeCell ref="A32:B32"/>
    <mergeCell ref="A33:B3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showGridLines="0" workbookViewId="0">
      <pane ySplit="2" topLeftCell="A3" activePane="bottomLeft" state="frozen"/>
      <selection/>
      <selection pane="bottomLeft" activeCell="A1" sqref="A1:F1"/>
    </sheetView>
  </sheetViews>
  <sheetFormatPr defaultColWidth="9" defaultRowHeight="13.5" outlineLevelRow="6" outlineLevelCol="5"/>
  <cols>
    <col min="1" max="1" width="48.125" customWidth="1"/>
    <col min="2" max="2" width="36.875" customWidth="1"/>
    <col min="3" max="3" width="23.625" customWidth="1"/>
    <col min="4" max="4" width="32.375" customWidth="1"/>
    <col min="5" max="5" width="36.25" customWidth="1"/>
    <col min="6" max="6" width="24.5" customWidth="1"/>
  </cols>
  <sheetData>
    <row r="1" ht="26" customHeight="1" spans="1:6">
      <c r="A1" s="2" t="s">
        <v>1983</v>
      </c>
      <c r="B1" s="2"/>
      <c r="C1" s="2"/>
      <c r="D1" s="2"/>
      <c r="E1" s="2"/>
      <c r="F1" s="2"/>
    </row>
    <row r="2" ht="63" customHeight="1" spans="1:6">
      <c r="A2" s="4" t="s">
        <v>1984</v>
      </c>
      <c r="B2" s="5"/>
      <c r="C2" s="5"/>
      <c r="D2" s="5"/>
      <c r="E2" s="5"/>
      <c r="F2" s="5"/>
    </row>
    <row r="3" ht="21" customHeight="1" spans="1:3">
      <c r="A3" s="100" t="s">
        <v>553</v>
      </c>
      <c r="B3" s="101" t="s">
        <v>1985</v>
      </c>
      <c r="C3" s="45"/>
    </row>
    <row r="4" ht="20" customHeight="1" spans="1:3">
      <c r="A4" s="134" t="s">
        <v>622</v>
      </c>
      <c r="B4" s="134" t="s">
        <v>590</v>
      </c>
      <c r="C4" s="106" t="s">
        <v>560</v>
      </c>
    </row>
    <row r="5" ht="19" customHeight="1" spans="1:3">
      <c r="A5" s="126" t="s">
        <v>1986</v>
      </c>
      <c r="B5" s="126" t="str">
        <f>BIN2HEX(11011011,4)</f>
        <v>00DB</v>
      </c>
      <c r="C5" s="127" t="str">
        <f>_xlfn.FORMULATEXT(B5)</f>
        <v>=BIN2HEX(11011011,4)</v>
      </c>
    </row>
    <row r="6" ht="19" customHeight="1" spans="1:3">
      <c r="A6" s="126" t="s">
        <v>1987</v>
      </c>
      <c r="B6" s="126" t="str">
        <f>BIN2HEX(1100)</f>
        <v>C</v>
      </c>
      <c r="C6" s="127" t="str">
        <f>_xlfn.FORMULATEXT(B6)</f>
        <v>=BIN2HEX(1100)</v>
      </c>
    </row>
    <row r="7" ht="19" customHeight="1" spans="1:3">
      <c r="A7" s="126" t="s">
        <v>1988</v>
      </c>
      <c r="B7" s="126" t="str">
        <f>BIN2HEX(1110001111)</f>
        <v>FFFFFFFF8F</v>
      </c>
      <c r="C7" s="127" t="str">
        <f>_xlfn.FORMULATEXT(B7)</f>
        <v>=BIN2HEX(1110001111)</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showGridLines="0" workbookViewId="0">
      <pane ySplit="2" topLeftCell="A3" activePane="bottomLeft" state="frozen"/>
      <selection/>
      <selection pane="bottomLeft" activeCell="A1" sqref="A1:F1"/>
    </sheetView>
  </sheetViews>
  <sheetFormatPr defaultColWidth="9" defaultRowHeight="13.5" outlineLevelRow="6" outlineLevelCol="5"/>
  <cols>
    <col min="1" max="1" width="27.625" customWidth="1"/>
    <col min="2" max="2" width="18.125" customWidth="1"/>
    <col min="3" max="3" width="33.875" customWidth="1"/>
    <col min="4" max="4" width="32.375" customWidth="1"/>
    <col min="5" max="5" width="36.25" customWidth="1"/>
    <col min="6" max="6" width="24.5" customWidth="1"/>
  </cols>
  <sheetData>
    <row r="1" ht="26" customHeight="1" spans="1:6">
      <c r="A1" s="2" t="s">
        <v>1989</v>
      </c>
      <c r="B1" s="2"/>
      <c r="C1" s="2"/>
      <c r="D1" s="2"/>
      <c r="E1" s="2"/>
      <c r="F1" s="2"/>
    </row>
    <row r="2" ht="77" customHeight="1" spans="1:6">
      <c r="A2" s="83" t="s">
        <v>1990</v>
      </c>
      <c r="B2" s="84"/>
      <c r="C2" s="84"/>
      <c r="D2" s="84"/>
      <c r="E2" s="84"/>
      <c r="F2" s="84"/>
    </row>
    <row r="3" ht="21" customHeight="1" spans="1:5">
      <c r="A3" s="100" t="s">
        <v>553</v>
      </c>
      <c r="B3" s="101"/>
      <c r="C3" s="45"/>
      <c r="D3" s="136" t="s">
        <v>1991</v>
      </c>
      <c r="E3" s="136"/>
    </row>
    <row r="4" ht="20" customHeight="1" spans="1:5">
      <c r="A4" s="134" t="s">
        <v>560</v>
      </c>
      <c r="B4" s="134" t="s">
        <v>590</v>
      </c>
      <c r="C4" s="106" t="s">
        <v>558</v>
      </c>
      <c r="D4" s="136"/>
      <c r="E4" s="136"/>
    </row>
    <row r="5" ht="19" customHeight="1" spans="1:5">
      <c r="A5" s="126" t="str">
        <f>_xlfn.FORMULATEXT(B5)</f>
        <v>=HEX2BIN("F",8)</v>
      </c>
      <c r="B5" s="126" t="str">
        <f>HEX2BIN("F",8)</f>
        <v>00001111</v>
      </c>
      <c r="C5" s="127" t="s">
        <v>1992</v>
      </c>
      <c r="D5" s="136"/>
      <c r="E5" s="136"/>
    </row>
    <row r="6" ht="19" customHeight="1" spans="1:5">
      <c r="A6" s="126" t="str">
        <f>_xlfn.FORMULATEXT(B6)</f>
        <v>=HEX2BIN("B7")</v>
      </c>
      <c r="B6" s="126" t="str">
        <f>HEX2BIN("B7")</f>
        <v>10110111</v>
      </c>
      <c r="C6" s="127" t="s">
        <v>1993</v>
      </c>
      <c r="D6" s="136"/>
      <c r="E6" s="136"/>
    </row>
    <row r="7" ht="19" customHeight="1" spans="1:5">
      <c r="A7" s="126" t="str">
        <f>_xlfn.FORMULATEXT(B7)</f>
        <v>=HEX2BIN("FFFFFFFFFF")</v>
      </c>
      <c r="B7" s="126" t="str">
        <f>HEX2BIN("FFFFFFFFFF")</f>
        <v>1111111111</v>
      </c>
      <c r="C7" s="127" t="s">
        <v>1994</v>
      </c>
      <c r="D7" s="136"/>
      <c r="E7" s="136"/>
    </row>
  </sheetData>
  <mergeCells count="4">
    <mergeCell ref="A1:F1"/>
    <mergeCell ref="A2:F2"/>
    <mergeCell ref="B3:C3"/>
    <mergeCell ref="D3:E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showGridLines="0" workbookViewId="0">
      <pane ySplit="2" topLeftCell="A3" activePane="bottomLeft" state="frozen"/>
      <selection/>
      <selection pane="bottomLeft" activeCell="A1" sqref="A1:F1"/>
    </sheetView>
  </sheetViews>
  <sheetFormatPr defaultColWidth="9" defaultRowHeight="13.5" outlineLevelRow="6" outlineLevelCol="5"/>
  <cols>
    <col min="1" max="1" width="27.625" customWidth="1"/>
    <col min="2" max="2" width="18.125" customWidth="1"/>
    <col min="3" max="3" width="42.25" customWidth="1"/>
    <col min="4" max="4" width="32.375" customWidth="1"/>
    <col min="5" max="5" width="36.25" customWidth="1"/>
    <col min="6" max="6" width="24.5" customWidth="1"/>
  </cols>
  <sheetData>
    <row r="1" ht="26" customHeight="1" spans="1:6">
      <c r="A1" s="2" t="s">
        <v>1995</v>
      </c>
      <c r="B1" s="2"/>
      <c r="C1" s="2"/>
      <c r="D1" s="2"/>
      <c r="E1" s="2"/>
      <c r="F1" s="2"/>
    </row>
    <row r="2" ht="60" customHeight="1" spans="1:6">
      <c r="A2" s="83" t="s">
        <v>1996</v>
      </c>
      <c r="B2" s="84"/>
      <c r="C2" s="84"/>
      <c r="D2" s="84"/>
      <c r="E2" s="84"/>
      <c r="F2" s="84"/>
    </row>
    <row r="3" ht="21" customHeight="1" spans="1:5">
      <c r="A3" s="100" t="s">
        <v>553</v>
      </c>
      <c r="B3" s="101"/>
      <c r="C3" s="45"/>
      <c r="D3" s="136"/>
      <c r="E3" s="136"/>
    </row>
    <row r="4" ht="20" customHeight="1" spans="1:5">
      <c r="A4" s="134" t="s">
        <v>560</v>
      </c>
      <c r="B4" s="134" t="s">
        <v>590</v>
      </c>
      <c r="C4" s="106" t="s">
        <v>558</v>
      </c>
      <c r="D4" s="136"/>
      <c r="E4" s="136"/>
    </row>
    <row r="5" ht="19" customHeight="1" spans="1:5">
      <c r="A5" s="126" t="str">
        <f>_xlfn.FORMULATEXT(B5)</f>
        <v>=HEX2DEC("FFFFFFFFFF")</v>
      </c>
      <c r="B5" s="126">
        <f>HEX2DEC("FFFFFFFFFF")</f>
        <v>-1</v>
      </c>
      <c r="C5" s="126" t="s">
        <v>1997</v>
      </c>
      <c r="D5" s="136"/>
      <c r="E5" s="136"/>
    </row>
    <row r="6" ht="19" customHeight="1" spans="1:5">
      <c r="A6" s="126" t="str">
        <f>_xlfn.FORMULATEXT(B6)</f>
        <v>=HEX2DEC("E6")</v>
      </c>
      <c r="B6" s="126">
        <f>HEX2DEC("E6")</f>
        <v>230</v>
      </c>
      <c r="C6" s="126" t="s">
        <v>1998</v>
      </c>
      <c r="D6" s="136"/>
      <c r="E6" s="136"/>
    </row>
    <row r="7" ht="19" customHeight="1" spans="1:5">
      <c r="A7" s="126" t="str">
        <f>_xlfn.FORMULATEXT(B7)</f>
        <v>=HEX2DEC("2BA568F9")</v>
      </c>
      <c r="B7" s="126">
        <f>HEX2DEC("2BA568F9")</f>
        <v>732260601</v>
      </c>
      <c r="C7" s="126" t="s">
        <v>1999</v>
      </c>
      <c r="D7" s="136"/>
      <c r="E7" s="136"/>
    </row>
  </sheetData>
  <mergeCells count="4">
    <mergeCell ref="A1:F1"/>
    <mergeCell ref="A2:F2"/>
    <mergeCell ref="B3:C3"/>
    <mergeCell ref="D3:E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
  <sheetViews>
    <sheetView showGridLines="0" workbookViewId="0">
      <pane ySplit="2" topLeftCell="A3" activePane="bottomLeft" state="frozen"/>
      <selection/>
      <selection pane="bottomLeft" activeCell="A1" sqref="A1:F1"/>
    </sheetView>
  </sheetViews>
  <sheetFormatPr defaultColWidth="9" defaultRowHeight="13.5" outlineLevelRow="5" outlineLevelCol="5"/>
  <cols>
    <col min="1" max="1" width="48.125" customWidth="1"/>
    <col min="2" max="2" width="36.875" customWidth="1"/>
    <col min="3" max="3" width="23.625" customWidth="1"/>
    <col min="4" max="4" width="32.375" customWidth="1"/>
    <col min="5" max="5" width="36.25" customWidth="1"/>
    <col min="6" max="6" width="24.5" customWidth="1"/>
  </cols>
  <sheetData>
    <row r="1" ht="26" customHeight="1" spans="1:6">
      <c r="A1" s="2" t="s">
        <v>2000</v>
      </c>
      <c r="B1" s="2"/>
      <c r="C1" s="2"/>
      <c r="D1" s="2"/>
      <c r="E1" s="2"/>
      <c r="F1" s="2"/>
    </row>
    <row r="2" ht="152" customHeight="1" spans="1:6">
      <c r="A2" s="4" t="s">
        <v>2001</v>
      </c>
      <c r="B2" s="5"/>
      <c r="C2" s="5"/>
      <c r="D2" s="5"/>
      <c r="E2" s="5"/>
      <c r="F2" s="5"/>
    </row>
    <row r="3" ht="21" customHeight="1" spans="1:3">
      <c r="A3" s="100" t="s">
        <v>553</v>
      </c>
      <c r="B3" s="101" t="s">
        <v>1985</v>
      </c>
      <c r="C3" s="45"/>
    </row>
    <row r="4" ht="20" customHeight="1" spans="1:3">
      <c r="A4" s="134" t="s">
        <v>622</v>
      </c>
      <c r="B4" s="134" t="s">
        <v>590</v>
      </c>
      <c r="C4" s="106" t="s">
        <v>560</v>
      </c>
    </row>
    <row r="5" ht="19" customHeight="1" spans="1:3">
      <c r="A5" s="127" t="s">
        <v>2002</v>
      </c>
      <c r="B5" s="127" t="str">
        <f>DEC2BIN(12,4)</f>
        <v>1100</v>
      </c>
      <c r="C5" s="127" t="str">
        <f>_xlfn.FORMULATEXT(B5)</f>
        <v>=DEC2BIN(12,4)</v>
      </c>
    </row>
    <row r="6" ht="19" customHeight="1" spans="1:3">
      <c r="A6" s="127" t="s">
        <v>2003</v>
      </c>
      <c r="B6" s="127" t="str">
        <f>DEC2BIN(-60)</f>
        <v>1111000100</v>
      </c>
      <c r="C6" s="127" t="str">
        <f>_xlfn.FORMULATEXT(B6)</f>
        <v>=DEC2BIN(-60)</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
  <sheetViews>
    <sheetView showGridLines="0" workbookViewId="0">
      <pane ySplit="2" topLeftCell="A3" activePane="bottomLeft" state="frozen"/>
      <selection/>
      <selection pane="bottomLeft" activeCell="A1" sqref="A1:F1"/>
    </sheetView>
  </sheetViews>
  <sheetFormatPr defaultColWidth="9" defaultRowHeight="13.5" outlineLevelRow="5" outlineLevelCol="5"/>
  <cols>
    <col min="1" max="1" width="48.125" customWidth="1"/>
    <col min="2" max="2" width="36.875" customWidth="1"/>
    <col min="3" max="3" width="23.625" customWidth="1"/>
    <col min="4" max="4" width="32.375" customWidth="1"/>
    <col min="5" max="5" width="36.25" customWidth="1"/>
    <col min="6" max="6" width="24.5" customWidth="1"/>
  </cols>
  <sheetData>
    <row r="1" ht="26" customHeight="1" spans="1:6">
      <c r="A1" s="2" t="s">
        <v>2004</v>
      </c>
      <c r="B1" s="2"/>
      <c r="C1" s="2"/>
      <c r="D1" s="2"/>
      <c r="E1" s="2"/>
      <c r="F1" s="2"/>
    </row>
    <row r="2" ht="152" customHeight="1" spans="1:6">
      <c r="A2" s="4" t="s">
        <v>2005</v>
      </c>
      <c r="B2" s="5"/>
      <c r="C2" s="5"/>
      <c r="D2" s="5"/>
      <c r="E2" s="5"/>
      <c r="F2" s="5"/>
    </row>
    <row r="3" ht="21" customHeight="1" spans="1:3">
      <c r="A3" s="100" t="s">
        <v>553</v>
      </c>
      <c r="B3" s="101" t="s">
        <v>1985</v>
      </c>
      <c r="C3" s="45"/>
    </row>
    <row r="4" ht="20" customHeight="1" spans="1:3">
      <c r="A4" s="134" t="s">
        <v>622</v>
      </c>
      <c r="B4" s="134" t="s">
        <v>590</v>
      </c>
      <c r="C4" s="106" t="s">
        <v>560</v>
      </c>
    </row>
    <row r="5" ht="19" customHeight="1" spans="1:3">
      <c r="A5" s="135" t="s">
        <v>2006</v>
      </c>
      <c r="B5" s="135" t="str">
        <f>DEC2HEX(100,4)</f>
        <v>0064</v>
      </c>
      <c r="C5" s="127" t="str">
        <f>_xlfn.FORMULATEXT(B5)</f>
        <v>=DEC2HEX(100,4)</v>
      </c>
    </row>
    <row r="6" ht="19" customHeight="1" spans="1:3">
      <c r="A6" s="127" t="s">
        <v>2007</v>
      </c>
      <c r="B6" s="127" t="s">
        <v>2008</v>
      </c>
      <c r="C6" s="127" t="e">
        <f>_xlfn.FORMULATEXT(B6)</f>
        <v>#N/A</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2009</v>
      </c>
      <c r="B1" s="2"/>
      <c r="C1" s="2"/>
      <c r="D1" s="2"/>
      <c r="E1" s="2"/>
      <c r="F1" s="2"/>
    </row>
    <row r="2" ht="93" customHeight="1" spans="1:6">
      <c r="A2" s="4" t="s">
        <v>2010</v>
      </c>
      <c r="B2" s="5"/>
      <c r="C2" s="5"/>
      <c r="D2" s="5"/>
      <c r="E2" s="5"/>
      <c r="F2" s="5"/>
    </row>
    <row r="3" ht="21" customHeight="1" spans="1:3">
      <c r="A3" s="100" t="s">
        <v>553</v>
      </c>
      <c r="B3" s="101" t="s">
        <v>1985</v>
      </c>
      <c r="C3" s="45"/>
    </row>
    <row r="4" ht="20" customHeight="1" spans="1:4">
      <c r="A4" s="106" t="s">
        <v>2011</v>
      </c>
      <c r="B4" s="106" t="s">
        <v>2012</v>
      </c>
      <c r="C4" s="106" t="s">
        <v>560</v>
      </c>
      <c r="D4" s="106" t="s">
        <v>558</v>
      </c>
    </row>
    <row r="5" ht="19" customHeight="1" spans="1:4">
      <c r="A5" s="129">
        <v>1100011</v>
      </c>
      <c r="B5" s="129">
        <f t="shared" ref="B5:B7" si="0">BIN2DEC(A5)</f>
        <v>99</v>
      </c>
      <c r="C5" s="129" t="str">
        <f>_xlfn.FORMULATEXT(B5)</f>
        <v>=BIN2DEC(A5)</v>
      </c>
      <c r="D5" s="41"/>
    </row>
    <row r="6" ht="19" customHeight="1" spans="1:4">
      <c r="A6" s="129">
        <v>11111100011</v>
      </c>
      <c r="B6" s="129" t="e">
        <f t="shared" si="0"/>
        <v>#NUM!</v>
      </c>
      <c r="C6" s="129"/>
      <c r="D6" s="23" t="s">
        <v>2013</v>
      </c>
    </row>
    <row r="7" ht="19" customHeight="1" spans="1:4">
      <c r="A7" s="129">
        <v>11123</v>
      </c>
      <c r="B7" s="129" t="e">
        <f t="shared" si="0"/>
        <v>#NUM!</v>
      </c>
      <c r="C7" s="23"/>
      <c r="D7" s="23" t="s">
        <v>2014</v>
      </c>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showGridLines="0" workbookViewId="0">
      <pane ySplit="2" topLeftCell="A3" activePane="bottomLeft" state="frozen"/>
      <selection/>
      <selection pane="bottomLeft" activeCell="B11" sqref="B11"/>
    </sheetView>
  </sheetViews>
  <sheetFormatPr defaultColWidth="9" defaultRowHeight="13.5" outlineLevelRow="3"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2015</v>
      </c>
      <c r="B1" s="2"/>
      <c r="C1" s="2"/>
      <c r="D1" s="2"/>
      <c r="E1" s="2"/>
      <c r="F1" s="2"/>
    </row>
    <row r="2" ht="93" customHeight="1" spans="1:6">
      <c r="A2" s="4" t="s">
        <v>2016</v>
      </c>
      <c r="B2" s="5"/>
      <c r="C2" s="5"/>
      <c r="D2" s="5"/>
      <c r="E2" s="5"/>
      <c r="F2" s="5"/>
    </row>
    <row r="3" ht="21" customHeight="1" spans="1:3">
      <c r="A3" s="100" t="s">
        <v>553</v>
      </c>
      <c r="B3" s="101" t="s">
        <v>2017</v>
      </c>
      <c r="C3" s="45"/>
    </row>
    <row r="4" ht="20" customHeight="1" spans="1:3">
      <c r="A4" s="105">
        <f ca="1">RANDBETWEEN(1,100)</f>
        <v>39</v>
      </c>
      <c r="B4" s="105" t="str">
        <f ca="1">_xlfn.FORMULATEXT(A4)</f>
        <v>=RANDBETWEEN(1,100)</v>
      </c>
      <c r="C4" s="105"/>
    </row>
  </sheetData>
  <mergeCells count="3">
    <mergeCell ref="A1:F1"/>
    <mergeCell ref="A2:F2"/>
    <mergeCell ref="B3:C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2" topLeftCell="A3" activePane="bottomLeft" state="frozen"/>
      <selection/>
      <selection pane="bottomLeft" activeCell="A1" sqref="A1:F1"/>
    </sheetView>
  </sheetViews>
  <sheetFormatPr defaultColWidth="9" defaultRowHeight="13.5" outlineLevelRow="6" outlineLevelCol="5"/>
  <cols>
    <col min="1" max="1" width="17.625" customWidth="1"/>
    <col min="2" max="2" width="24.75" customWidth="1"/>
    <col min="3" max="3" width="19" customWidth="1"/>
    <col min="4" max="4" width="32.375" customWidth="1"/>
    <col min="5" max="5" width="36.25" customWidth="1"/>
    <col min="6" max="6" width="24.5" customWidth="1"/>
  </cols>
  <sheetData>
    <row r="1" ht="26" customHeight="1" spans="1:6">
      <c r="A1" s="2" t="s">
        <v>2018</v>
      </c>
      <c r="B1" s="2"/>
      <c r="C1" s="2"/>
      <c r="D1" s="2"/>
      <c r="E1" s="2"/>
      <c r="F1" s="2"/>
    </row>
    <row r="2" ht="93" customHeight="1" spans="1:6">
      <c r="A2" s="4" t="s">
        <v>2019</v>
      </c>
      <c r="B2" s="5"/>
      <c r="C2" s="5"/>
      <c r="D2" s="5"/>
      <c r="E2" s="5"/>
      <c r="F2" s="5"/>
    </row>
    <row r="3" ht="21" customHeight="1" spans="1:3">
      <c r="A3" s="100" t="s">
        <v>553</v>
      </c>
      <c r="B3" s="101"/>
      <c r="C3" s="45"/>
    </row>
    <row r="4" ht="19" customHeight="1" spans="1:4">
      <c r="A4" s="132">
        <v>9</v>
      </c>
      <c r="B4" s="129">
        <f>FACTDOUBLE(A4)</f>
        <v>945</v>
      </c>
      <c r="C4" s="129"/>
      <c r="D4" s="41"/>
    </row>
    <row r="5" ht="19" customHeight="1" spans="1:4">
      <c r="A5" s="105">
        <v>10</v>
      </c>
      <c r="B5" s="129">
        <f>FACTDOUBLE(A5)</f>
        <v>3840</v>
      </c>
      <c r="C5" s="23"/>
      <c r="D5" s="23"/>
    </row>
    <row r="6" ht="19" customHeight="1" spans="1:4">
      <c r="A6" s="105">
        <v>4</v>
      </c>
      <c r="B6" s="129">
        <f>FACTDOUBLE(A6)</f>
        <v>8</v>
      </c>
      <c r="C6" s="23"/>
      <c r="D6" s="23"/>
    </row>
    <row r="7" ht="66" customHeight="1" spans="1:4">
      <c r="A7" s="117" t="s">
        <v>2020</v>
      </c>
      <c r="B7" s="133"/>
      <c r="C7" s="133"/>
      <c r="D7" s="118"/>
    </row>
  </sheetData>
  <mergeCells count="4">
    <mergeCell ref="A1:F1"/>
    <mergeCell ref="A2:F2"/>
    <mergeCell ref="B3:C3"/>
    <mergeCell ref="A7:D7"/>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21.375" customWidth="1"/>
    <col min="4" max="4" width="32.375" customWidth="1"/>
    <col min="5" max="5" width="36.25" customWidth="1"/>
    <col min="6" max="6" width="24.5" customWidth="1"/>
  </cols>
  <sheetData>
    <row r="1" ht="26" customHeight="1" spans="1:6">
      <c r="A1" s="2" t="s">
        <v>2021</v>
      </c>
      <c r="B1" s="2"/>
      <c r="C1" s="2"/>
      <c r="D1" s="2"/>
      <c r="E1" s="2"/>
      <c r="F1" s="2"/>
    </row>
    <row r="2" ht="60" customHeight="1" spans="1:6">
      <c r="A2" s="4" t="s">
        <v>2022</v>
      </c>
      <c r="B2" s="5"/>
      <c r="C2" s="5"/>
      <c r="D2" s="5"/>
      <c r="E2" s="5"/>
      <c r="F2" s="5"/>
    </row>
    <row r="3" ht="21" customHeight="1" spans="1:3">
      <c r="A3" s="100" t="s">
        <v>553</v>
      </c>
      <c r="B3" s="101" t="s">
        <v>554</v>
      </c>
      <c r="C3" s="45"/>
    </row>
    <row r="4" ht="20" customHeight="1" spans="1:4">
      <c r="A4" s="106" t="s">
        <v>609</v>
      </c>
      <c r="B4" s="106" t="s">
        <v>2023</v>
      </c>
      <c r="C4" s="106" t="s">
        <v>560</v>
      </c>
      <c r="D4" s="106"/>
    </row>
    <row r="5" ht="19" customHeight="1" spans="1:4">
      <c r="A5" s="128" t="s">
        <v>0</v>
      </c>
      <c r="B5" s="129">
        <f>FINDB("大",A5,1)</f>
        <v>16</v>
      </c>
      <c r="C5" s="129" t="str">
        <f>_xlfn.FORMULATEXT(B5)</f>
        <v>=FINDB("大",A5,1)</v>
      </c>
      <c r="D5" s="41" t="s">
        <v>2024</v>
      </c>
    </row>
    <row r="6" ht="19" customHeight="1" spans="1:4">
      <c r="A6" s="130"/>
      <c r="B6" s="129">
        <f>FIND("大",A5,1)</f>
        <v>10</v>
      </c>
      <c r="C6" s="129" t="str">
        <f>_xlfn.FORMULATEXT(B6)</f>
        <v>=FIND("大",A5,1)</v>
      </c>
      <c r="D6" s="23"/>
    </row>
    <row r="7" ht="22" customHeight="1" spans="1:3">
      <c r="A7" s="100" t="s">
        <v>574</v>
      </c>
      <c r="B7" s="101" t="s">
        <v>2025</v>
      </c>
      <c r="C7" s="45"/>
    </row>
    <row r="8" ht="20" customHeight="1" spans="1:3">
      <c r="A8" s="131" t="s">
        <v>2026</v>
      </c>
      <c r="B8" s="131" t="s">
        <v>2027</v>
      </c>
      <c r="C8" s="131" t="s">
        <v>560</v>
      </c>
    </row>
    <row r="9" ht="16.5" spans="1:3">
      <c r="A9" s="23" t="s">
        <v>2028</v>
      </c>
      <c r="B9" s="23">
        <f>LEN(A9)-FINDB(":",A9)</f>
        <v>3</v>
      </c>
      <c r="C9" s="23" t="str">
        <f>_xlfn.FORMULATEXT(B9)</f>
        <v>=LEN(A9)-FINDB(":",A9)</v>
      </c>
    </row>
    <row r="10" ht="16.5" spans="1:3">
      <c r="A10" s="23" t="s">
        <v>2029</v>
      </c>
      <c r="B10" s="23">
        <f>LEN(A10)-FINDB(":",A10)</f>
        <v>4</v>
      </c>
      <c r="C10" s="23"/>
    </row>
    <row r="11" ht="16.5" spans="1:3">
      <c r="A11" s="23" t="s">
        <v>2030</v>
      </c>
      <c r="B11" s="23">
        <f>LEN(A11)-FINDB(":",A11)</f>
        <v>3</v>
      </c>
      <c r="C11" s="23"/>
    </row>
  </sheetData>
  <mergeCells count="5">
    <mergeCell ref="A1:F1"/>
    <mergeCell ref="A2:F2"/>
    <mergeCell ref="B3:C3"/>
    <mergeCell ref="B7:C7"/>
    <mergeCell ref="A5:A6"/>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
  <sheetViews>
    <sheetView showGridLines="0" workbookViewId="0">
      <pane ySplit="2" topLeftCell="A3" activePane="bottomLeft" state="frozen"/>
      <selection/>
      <selection pane="bottomLeft" activeCell="A1" sqref="A1:F1"/>
    </sheetView>
  </sheetViews>
  <sheetFormatPr defaultColWidth="9" defaultRowHeight="13.5" outlineLevelCol="5"/>
  <cols>
    <col min="1" max="1" width="17.625" customWidth="1"/>
    <col min="2" max="2" width="24.75" customWidth="1"/>
    <col min="3" max="3" width="19" customWidth="1"/>
    <col min="4" max="4" width="32.375" customWidth="1"/>
    <col min="5" max="5" width="36.25" customWidth="1"/>
    <col min="6" max="6" width="25.875" customWidth="1"/>
  </cols>
  <sheetData>
    <row r="1" ht="26" customHeight="1" spans="1:6">
      <c r="A1" s="2" t="s">
        <v>2031</v>
      </c>
      <c r="B1" s="2"/>
      <c r="C1" s="2"/>
      <c r="D1" s="2"/>
      <c r="E1" s="2"/>
      <c r="F1" s="2"/>
    </row>
    <row r="2" ht="93" customHeight="1" spans="1:6">
      <c r="A2" s="4" t="s">
        <v>2032</v>
      </c>
      <c r="B2" s="5"/>
      <c r="C2" s="5"/>
      <c r="D2" s="5"/>
      <c r="E2" s="5"/>
      <c r="F2" s="5"/>
    </row>
    <row r="3" ht="21" customHeight="1" spans="1:3">
      <c r="A3" s="100" t="s">
        <v>553</v>
      </c>
      <c r="B3" s="101" t="s">
        <v>2033</v>
      </c>
      <c r="C3" s="45"/>
    </row>
    <row r="4" ht="20" customHeight="1" spans="1:4">
      <c r="A4" s="114" t="s">
        <v>2034</v>
      </c>
      <c r="B4" s="115"/>
      <c r="C4" s="115"/>
      <c r="D4" s="116"/>
    </row>
    <row r="5" ht="19" customHeight="1" spans="1:4">
      <c r="A5" s="41" t="s">
        <v>582</v>
      </c>
      <c r="B5" s="41" t="s">
        <v>582</v>
      </c>
      <c r="C5" s="23"/>
      <c r="D5" s="41"/>
    </row>
    <row r="6" ht="19" customHeight="1" spans="1:4">
      <c r="A6" s="23" t="s">
        <v>2035</v>
      </c>
      <c r="B6" s="23" t="s">
        <v>2036</v>
      </c>
      <c r="C6" s="23"/>
      <c r="D6" s="23"/>
    </row>
    <row r="7" ht="19" customHeight="1" spans="1:4">
      <c r="A7" s="23" t="s">
        <v>2037</v>
      </c>
      <c r="B7" s="23" t="s">
        <v>2038</v>
      </c>
      <c r="C7" s="23"/>
      <c r="D7" s="23"/>
    </row>
    <row r="8" ht="19" customHeight="1" spans="1:4">
      <c r="A8" s="105"/>
      <c r="B8" s="105"/>
      <c r="C8" s="23"/>
      <c r="D8" s="23"/>
    </row>
    <row r="9" ht="19" customHeight="1" spans="1:4">
      <c r="A9" s="117" t="s">
        <v>2039</v>
      </c>
      <c r="B9" s="118"/>
      <c r="C9" s="23" t="str">
        <f>INDEX(A6:B7,2,2)</f>
        <v>梨</v>
      </c>
      <c r="D9" s="23" t="str">
        <f>_xlfn.FORMULATEXT(C9)</f>
        <v>=INDEX(A6:B7,2,2)</v>
      </c>
    </row>
    <row r="10" ht="19" customHeight="1" spans="1:4">
      <c r="A10" s="117" t="s">
        <v>2040</v>
      </c>
      <c r="B10" s="118"/>
      <c r="C10" s="23">
        <f>INDEX({1,2;3,4},1,2)</f>
        <v>2</v>
      </c>
      <c r="D10" s="23" t="str">
        <f>_xlfn.FORMULATEXT(C10)</f>
        <v>=INDEX({1,2;3,4},1,2)</v>
      </c>
    </row>
    <row r="11" ht="19" customHeight="1" spans="1:4">
      <c r="A11" s="119" t="s">
        <v>2041</v>
      </c>
      <c r="B11" s="120"/>
      <c r="C11" s="120"/>
      <c r="D11" s="121"/>
    </row>
    <row r="12" ht="19" customHeight="1" spans="1:4">
      <c r="A12" s="122"/>
      <c r="B12" s="123"/>
      <c r="C12" s="123"/>
      <c r="D12" s="124"/>
    </row>
    <row r="13" ht="23" customHeight="1" spans="1:4">
      <c r="A13" s="114" t="s">
        <v>2042</v>
      </c>
      <c r="B13" s="115"/>
      <c r="C13" s="115"/>
      <c r="D13" s="116"/>
    </row>
    <row r="14" ht="15" spans="1:4">
      <c r="A14" s="41" t="s">
        <v>2043</v>
      </c>
      <c r="B14" s="41" t="s">
        <v>2044</v>
      </c>
      <c r="C14" s="41" t="s">
        <v>1827</v>
      </c>
      <c r="D14" s="58"/>
    </row>
    <row r="15" ht="21" customHeight="1" spans="1:4">
      <c r="A15" s="23" t="s">
        <v>2035</v>
      </c>
      <c r="B15" s="23">
        <v>0.69</v>
      </c>
      <c r="C15" s="23">
        <v>40</v>
      </c>
      <c r="D15" s="58"/>
    </row>
    <row r="16" ht="21" customHeight="1" spans="1:4">
      <c r="A16" s="23" t="s">
        <v>2037</v>
      </c>
      <c r="B16" s="23">
        <v>0.34</v>
      </c>
      <c r="C16" s="23">
        <v>38</v>
      </c>
      <c r="D16" s="58"/>
    </row>
    <row r="17" ht="16.5" spans="1:4">
      <c r="A17" s="23" t="s">
        <v>2036</v>
      </c>
      <c r="B17" s="23">
        <v>0.55</v>
      </c>
      <c r="C17" s="23">
        <v>15</v>
      </c>
      <c r="D17" s="58"/>
    </row>
    <row r="18" ht="16.5" spans="1:4">
      <c r="A18" s="23" t="s">
        <v>2045</v>
      </c>
      <c r="B18" s="23">
        <v>0.25</v>
      </c>
      <c r="C18" s="23">
        <v>25</v>
      </c>
      <c r="D18" s="58"/>
    </row>
    <row r="19" ht="16.5" spans="1:4">
      <c r="A19" s="23" t="s">
        <v>2038</v>
      </c>
      <c r="B19" s="23">
        <v>0.59</v>
      </c>
      <c r="C19" s="23">
        <v>40</v>
      </c>
      <c r="D19" s="58"/>
    </row>
    <row r="20" ht="16.5" spans="1:4">
      <c r="A20" s="23"/>
      <c r="B20" s="23"/>
      <c r="C20" s="23"/>
      <c r="D20" s="58"/>
    </row>
    <row r="21" ht="16.5" spans="1:4">
      <c r="A21" s="23" t="s">
        <v>2046</v>
      </c>
      <c r="B21" s="23">
        <v>2.8</v>
      </c>
      <c r="C21" s="23">
        <v>10</v>
      </c>
      <c r="D21" s="58"/>
    </row>
    <row r="22" ht="16.5" spans="1:4">
      <c r="A22" s="23" t="s">
        <v>2047</v>
      </c>
      <c r="B22" s="23">
        <v>3.55</v>
      </c>
      <c r="C22" s="23">
        <v>16</v>
      </c>
      <c r="D22" s="58"/>
    </row>
    <row r="23" ht="16.5" spans="1:4">
      <c r="A23" s="23" t="s">
        <v>1918</v>
      </c>
      <c r="B23" s="23">
        <v>1.25</v>
      </c>
      <c r="C23" s="23">
        <v>20</v>
      </c>
      <c r="D23" s="58"/>
    </row>
    <row r="24" ht="16.5" spans="1:4">
      <c r="A24" s="23" t="s">
        <v>2048</v>
      </c>
      <c r="B24" s="23">
        <v>1.75</v>
      </c>
      <c r="C24" s="23">
        <v>12</v>
      </c>
      <c r="D24" s="58"/>
    </row>
    <row r="25" ht="29" customHeight="1" spans="1:4">
      <c r="A25" s="125" t="s">
        <v>590</v>
      </c>
      <c r="B25" s="125" t="s">
        <v>558</v>
      </c>
      <c r="C25" s="125" t="s">
        <v>560</v>
      </c>
      <c r="D25" s="125"/>
    </row>
    <row r="26" ht="30" customHeight="1" spans="1:4">
      <c r="A26" s="126">
        <f>INDEX(A15:C19,2,3)</f>
        <v>38</v>
      </c>
      <c r="B26" s="126" t="s">
        <v>2049</v>
      </c>
      <c r="C26" s="126"/>
      <c r="D26" s="127" t="str">
        <f ca="1">_xlfn.FORMULATEXT(A26:A29)</f>
        <v>=INDEX(A15:C19,2,3)</v>
      </c>
    </row>
    <row r="27" ht="32" customHeight="1" spans="1:4">
      <c r="A27" s="126">
        <f>INDEX((A15:C19,A21:C24),2,2,2)</f>
        <v>3.55</v>
      </c>
      <c r="B27" s="126" t="s">
        <v>2050</v>
      </c>
      <c r="C27" s="126"/>
      <c r="D27" s="127" t="str">
        <f ca="1">_xlfn.FORMULATEXT(A27:A30)</f>
        <v>=INDEX((A15:C19,A21:C24),2,2,2)</v>
      </c>
    </row>
    <row r="28" ht="27" customHeight="1" spans="1:4">
      <c r="A28" s="126">
        <f>SUM(INDEX(A15:C24,0,3,1))</f>
        <v>216</v>
      </c>
      <c r="B28" s="126" t="s">
        <v>2051</v>
      </c>
      <c r="C28" s="126"/>
      <c r="D28" s="127" t="str">
        <f ca="1">_xlfn.FORMULATEXT(A28:A31)</f>
        <v>=SUM(INDEX(A15:C24,0,3,1))</v>
      </c>
    </row>
    <row r="29" ht="42" customHeight="1" spans="1:4">
      <c r="A29" s="126">
        <f ca="1">SUM(B15:INDEX(A15:C19,5,2))</f>
        <v>2.42</v>
      </c>
      <c r="B29" s="126" t="s">
        <v>2052</v>
      </c>
      <c r="C29" s="126"/>
      <c r="D29" s="127" t="str">
        <f ca="1">_xlfn.FORMULATEXT(A29:A32)</f>
        <v>=SUM(B15:INDEX(A15:C19,5,2))</v>
      </c>
    </row>
  </sheetData>
  <mergeCells count="12">
    <mergeCell ref="A1:F1"/>
    <mergeCell ref="A2:F2"/>
    <mergeCell ref="B3:C3"/>
    <mergeCell ref="A4:D4"/>
    <mergeCell ref="A9:B9"/>
    <mergeCell ref="A10:B10"/>
    <mergeCell ref="A13:D13"/>
    <mergeCell ref="B26:C26"/>
    <mergeCell ref="B27:C27"/>
    <mergeCell ref="B28:C28"/>
    <mergeCell ref="B29:C29"/>
    <mergeCell ref="A11:D12"/>
  </mergeCells>
  <dataValidations count="1">
    <dataValidation type="list" allowBlank="1" showInputMessage="1" showErrorMessage="1" sqref="B2">
      <formula1>函数!$C$1:$C$9</formula1>
    </dataValidation>
  </dataValidations>
  <pageMargins left="0.75" right="0.75" top="1" bottom="1" header="0.511805555555556" footer="0.511805555555556"/>
  <pageSetup paperSize="9" orientation="portrait"/>
  <headerFooter/>
  <drawing r:id="rId1"/>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2" topLeftCell="A3" activePane="bottomLeft" state="frozen"/>
      <selection/>
      <selection pane="bottomLeft" activeCell="A1" sqref="A1:F1"/>
    </sheetView>
  </sheetViews>
  <sheetFormatPr defaultColWidth="9" defaultRowHeight="13.5" outlineLevelCol="5"/>
  <cols>
    <col min="1" max="1" width="17.375" customWidth="1"/>
    <col min="2" max="3" width="19" customWidth="1"/>
    <col min="4" max="4" width="32.375" customWidth="1"/>
    <col min="5" max="5" width="36.25" customWidth="1"/>
    <col min="6" max="6" width="24.5" customWidth="1"/>
  </cols>
  <sheetData>
    <row r="1" ht="26" customHeight="1" spans="1:6">
      <c r="A1" s="2" t="s">
        <v>2053</v>
      </c>
      <c r="B1" s="2"/>
      <c r="C1" s="2"/>
      <c r="D1" s="2"/>
      <c r="E1" s="2"/>
      <c r="F1" s="2"/>
    </row>
    <row r="2" ht="136" customHeight="1" spans="1:6">
      <c r="A2" s="4" t="s">
        <v>2054</v>
      </c>
      <c r="B2" s="5"/>
      <c r="C2" s="5"/>
      <c r="D2" s="5"/>
      <c r="E2" s="5"/>
      <c r="F2" s="5"/>
    </row>
    <row r="3" ht="21" customHeight="1" spans="1:3">
      <c r="A3" s="100" t="s">
        <v>553</v>
      </c>
      <c r="B3" s="101" t="s">
        <v>2055</v>
      </c>
      <c r="C3" s="44"/>
    </row>
    <row r="4" ht="20" customHeight="1" spans="1:6">
      <c r="A4" s="106" t="s">
        <v>595</v>
      </c>
      <c r="B4" s="106" t="s">
        <v>2056</v>
      </c>
      <c r="C4" s="106" t="s">
        <v>2057</v>
      </c>
      <c r="D4" s="106" t="s">
        <v>560</v>
      </c>
      <c r="E4" s="106"/>
      <c r="F4" s="103"/>
    </row>
    <row r="5" ht="19" customHeight="1" spans="1:6">
      <c r="A5" s="105">
        <v>45</v>
      </c>
      <c r="B5" s="105">
        <v>26</v>
      </c>
      <c r="C5" s="23">
        <f t="array" ref="C5:C8">FREQUENCY(A5:A12,B5:B7)</f>
        <v>2</v>
      </c>
      <c r="D5" s="107" t="s">
        <v>2058</v>
      </c>
      <c r="E5" s="108" t="s">
        <v>2059</v>
      </c>
      <c r="F5" s="103"/>
    </row>
    <row r="6" ht="19" customHeight="1" spans="1:6">
      <c r="A6" s="105">
        <v>65</v>
      </c>
      <c r="B6" s="105">
        <v>45</v>
      </c>
      <c r="C6" s="23">
        <v>1</v>
      </c>
      <c r="D6" s="109"/>
      <c r="E6" s="110"/>
      <c r="F6" s="103"/>
    </row>
    <row r="7" ht="19" customHeight="1" spans="1:6">
      <c r="A7" s="105">
        <v>56</v>
      </c>
      <c r="B7" s="105">
        <v>65</v>
      </c>
      <c r="C7" s="23">
        <v>5</v>
      </c>
      <c r="D7" s="109"/>
      <c r="E7" s="110"/>
      <c r="F7" s="103"/>
    </row>
    <row r="8" ht="19" customHeight="1" spans="1:6">
      <c r="A8" s="105">
        <v>26</v>
      </c>
      <c r="B8" s="111"/>
      <c r="C8" s="23">
        <v>0</v>
      </c>
      <c r="D8" s="112"/>
      <c r="E8" s="113"/>
      <c r="F8" s="103"/>
    </row>
    <row r="9" ht="19" customHeight="1" spans="1:4">
      <c r="A9" s="105">
        <v>50</v>
      </c>
      <c r="B9" s="111"/>
      <c r="C9" s="23"/>
      <c r="D9" s="21"/>
    </row>
    <row r="10" ht="19" customHeight="1" spans="1:4">
      <c r="A10" s="105">
        <v>13</v>
      </c>
      <c r="B10" s="111"/>
      <c r="C10" s="23"/>
      <c r="D10" s="21"/>
    </row>
    <row r="11" ht="19" customHeight="1" spans="1:4">
      <c r="A11" s="105">
        <v>60</v>
      </c>
      <c r="B11" s="111"/>
      <c r="C11" s="23"/>
      <c r="D11" s="21"/>
    </row>
    <row r="12" ht="19" customHeight="1" spans="1:4">
      <c r="A12" s="105">
        <v>48</v>
      </c>
      <c r="B12" s="111"/>
      <c r="C12" s="23"/>
      <c r="D12" s="21"/>
    </row>
  </sheetData>
  <mergeCells count="4">
    <mergeCell ref="A1:F1"/>
    <mergeCell ref="A2:F2"/>
    <mergeCell ref="D5:D8"/>
    <mergeCell ref="E5:E8"/>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pane ySplit="2" topLeftCell="A3" activePane="bottomLeft" state="frozen"/>
      <selection/>
      <selection pane="bottomLeft" activeCell="A1" sqref="A1:F1"/>
    </sheetView>
  </sheetViews>
  <sheetFormatPr defaultColWidth="9" defaultRowHeight="13.5" outlineLevelCol="5"/>
  <cols>
    <col min="1" max="1" width="17.375" customWidth="1"/>
    <col min="2" max="3" width="19" customWidth="1"/>
    <col min="4" max="4" width="32.375" customWidth="1"/>
    <col min="5" max="5" width="36.25" customWidth="1"/>
    <col min="6" max="6" width="24.5" customWidth="1"/>
  </cols>
  <sheetData>
    <row r="1" ht="26" customHeight="1" spans="1:6">
      <c r="A1" s="2" t="s">
        <v>2060</v>
      </c>
      <c r="B1" s="2"/>
      <c r="C1" s="2"/>
      <c r="D1" s="2"/>
      <c r="E1" s="2"/>
      <c r="F1" s="2"/>
    </row>
    <row r="2" ht="93" customHeight="1" spans="1:6">
      <c r="A2" s="4" t="s">
        <v>2061</v>
      </c>
      <c r="B2" s="5"/>
      <c r="C2" s="5"/>
      <c r="D2" s="5"/>
      <c r="E2" s="5"/>
      <c r="F2" s="5"/>
    </row>
    <row r="3" ht="20" customHeight="1" spans="1:2">
      <c r="A3" s="97" t="s">
        <v>2062</v>
      </c>
      <c r="B3" s="97" t="s">
        <v>2063</v>
      </c>
    </row>
    <row r="4" ht="20" customHeight="1" spans="1:2">
      <c r="A4" s="98" t="s">
        <v>2064</v>
      </c>
      <c r="B4" s="98" t="s">
        <v>2065</v>
      </c>
    </row>
    <row r="5" ht="20" customHeight="1" spans="1:2">
      <c r="A5" s="99">
        <v>1</v>
      </c>
      <c r="B5" s="98" t="s">
        <v>2066</v>
      </c>
    </row>
    <row r="6" ht="20" customHeight="1" spans="1:2">
      <c r="A6" s="99">
        <v>2</v>
      </c>
      <c r="B6" s="98" t="s">
        <v>2067</v>
      </c>
    </row>
    <row r="7" ht="20" customHeight="1" spans="1:2">
      <c r="A7" s="99">
        <v>3</v>
      </c>
      <c r="B7" s="98" t="s">
        <v>2068</v>
      </c>
    </row>
    <row r="8" ht="20" customHeight="1" spans="1:2">
      <c r="A8" s="99">
        <v>4</v>
      </c>
      <c r="B8" s="98" t="s">
        <v>2069</v>
      </c>
    </row>
    <row r="9" ht="21" customHeight="1" spans="1:3">
      <c r="A9" s="100" t="s">
        <v>553</v>
      </c>
      <c r="B9" s="101"/>
      <c r="C9" s="44"/>
    </row>
    <row r="10" ht="20" customHeight="1" spans="1:6">
      <c r="A10" s="102" t="s">
        <v>582</v>
      </c>
      <c r="B10" s="102" t="s">
        <v>558</v>
      </c>
      <c r="C10" s="102" t="s">
        <v>2070</v>
      </c>
      <c r="D10" s="102" t="s">
        <v>558</v>
      </c>
      <c r="E10" s="102" t="s">
        <v>560</v>
      </c>
      <c r="F10" s="103"/>
    </row>
    <row r="11" ht="19" customHeight="1" spans="1:6">
      <c r="A11" s="104">
        <v>40195</v>
      </c>
      <c r="B11" s="105" t="s">
        <v>1643</v>
      </c>
      <c r="C11" s="105">
        <f>YEARFRAC(A11,A12,A13)</f>
        <v>0.13972602739726</v>
      </c>
      <c r="D11" s="105" t="s">
        <v>2071</v>
      </c>
      <c r="E11" s="105" t="str">
        <f>_xlfn.FORMULATEXT(C11)</f>
        <v>=YEARFRAC(A11,A12,A13)</v>
      </c>
      <c r="F11" s="103"/>
    </row>
    <row r="12" ht="19" customHeight="1" spans="1:6">
      <c r="A12" s="104">
        <v>40246</v>
      </c>
      <c r="B12" s="105" t="s">
        <v>2072</v>
      </c>
      <c r="C12" s="105">
        <f>YEARFRAC(A11,A12,A14)</f>
        <v>0.144444444444444</v>
      </c>
      <c r="D12" s="105" t="s">
        <v>2073</v>
      </c>
      <c r="E12" s="105" t="str">
        <f>_xlfn.FORMULATEXT(C12)</f>
        <v>=YEARFRAC(A11,A12,A14)</v>
      </c>
      <c r="F12" s="103"/>
    </row>
    <row r="13" ht="19" customHeight="1" spans="1:6">
      <c r="A13" s="105">
        <v>3</v>
      </c>
      <c r="B13" s="105" t="s">
        <v>2068</v>
      </c>
      <c r="C13" s="105"/>
      <c r="D13" s="105"/>
      <c r="E13" s="105"/>
      <c r="F13" s="103"/>
    </row>
    <row r="14" ht="19" customHeight="1" spans="1:6">
      <c r="A14" s="105">
        <v>4</v>
      </c>
      <c r="B14" s="105" t="s">
        <v>2069</v>
      </c>
      <c r="C14" s="105"/>
      <c r="D14" s="105"/>
      <c r="E14" s="105"/>
      <c r="F14" s="103"/>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pane ySplit="2" topLeftCell="A3" activePane="bottomLeft" state="frozen"/>
      <selection/>
      <selection pane="bottomLeft" activeCell="A1" sqref="A1:F1"/>
    </sheetView>
  </sheetViews>
  <sheetFormatPr defaultColWidth="9" defaultRowHeight="13.5" outlineLevelCol="5"/>
  <cols>
    <col min="1" max="1" width="15.5" customWidth="1"/>
    <col min="2" max="2" width="15" customWidth="1"/>
    <col min="3" max="3" width="42.125" customWidth="1"/>
    <col min="4" max="4" width="17.25" customWidth="1"/>
    <col min="5" max="5" width="21.75" customWidth="1"/>
    <col min="6" max="6" width="28" customWidth="1"/>
  </cols>
  <sheetData>
    <row r="1" ht="26" customHeight="1" spans="1:6">
      <c r="A1" s="2" t="s">
        <v>2074</v>
      </c>
      <c r="B1" s="2"/>
      <c r="C1" s="2"/>
      <c r="D1" s="2"/>
      <c r="E1" s="2"/>
      <c r="F1" s="2"/>
    </row>
    <row r="2" ht="113" customHeight="1" spans="1:6">
      <c r="A2" s="4" t="s">
        <v>2075</v>
      </c>
      <c r="B2" s="5"/>
      <c r="C2" s="5"/>
      <c r="D2" s="5"/>
      <c r="E2" s="5"/>
      <c r="F2" s="5"/>
    </row>
    <row r="3" ht="18" spans="1:1">
      <c r="A3" s="45" t="s">
        <v>553</v>
      </c>
    </row>
    <row r="4" spans="1:5">
      <c r="A4" s="18" t="s">
        <v>566</v>
      </c>
      <c r="B4" s="18" t="s">
        <v>564</v>
      </c>
      <c r="C4" s="18" t="s">
        <v>2076</v>
      </c>
      <c r="E4" s="18" t="s">
        <v>2077</v>
      </c>
    </row>
    <row r="5" spans="1:5">
      <c r="A5" s="18">
        <v>2018</v>
      </c>
      <c r="B5" s="18">
        <v>12</v>
      </c>
      <c r="C5" s="18">
        <v>5</v>
      </c>
      <c r="E5" s="95">
        <f>DATE(A5,B5,C5)</f>
        <v>43439</v>
      </c>
    </row>
    <row r="6" ht="18" spans="1:2">
      <c r="A6" s="45" t="s">
        <v>574</v>
      </c>
      <c r="B6" s="7" t="s">
        <v>2078</v>
      </c>
    </row>
    <row r="7" ht="21" customHeight="1" spans="1:3">
      <c r="A7" s="71" t="s">
        <v>2077</v>
      </c>
      <c r="B7" s="71" t="s">
        <v>2079</v>
      </c>
      <c r="C7" s="71" t="s">
        <v>560</v>
      </c>
    </row>
    <row r="8" ht="21" customHeight="1" spans="1:3">
      <c r="A8" s="96">
        <v>43155</v>
      </c>
      <c r="B8" s="21">
        <f>DAY(DATE(YEAR(A8),MONTH(A8)+1,1)-1)</f>
        <v>28</v>
      </c>
      <c r="C8" s="21" t="str">
        <f>_xlfn.FORMULATEXT(B8)</f>
        <v>=DAY(DATE(YEAR(A8),MONTH(A8)+1,1)-1)</v>
      </c>
    </row>
    <row r="9" ht="21" customHeight="1" spans="1:3">
      <c r="A9" s="96">
        <v>36403</v>
      </c>
      <c r="B9" s="21">
        <f>DAY(DATE(YEAR(A9),MONTH(A9)+1,1)-1)</f>
        <v>31</v>
      </c>
      <c r="C9" s="21" t="str">
        <f>_xlfn.FORMULATEXT(B9)</f>
        <v>=DAY(DATE(YEAR(A9),MONTH(A9)+1,1)-1)</v>
      </c>
    </row>
    <row r="10" ht="21" customHeight="1" spans="1:3">
      <c r="A10" s="96">
        <v>36404</v>
      </c>
      <c r="B10" s="21">
        <f>DAY(DATE(YEAR(A10),MONTH(A10)+1,1)-1)</f>
        <v>30</v>
      </c>
      <c r="C10" s="21" t="str">
        <f>_xlfn.FORMULATEXT(B10)</f>
        <v>=DAY(DATE(YEAR(A10),MONTH(A10)+1,1)-1)</v>
      </c>
    </row>
    <row r="11" ht="21" customHeight="1" spans="1:3">
      <c r="A11" s="21"/>
      <c r="B11" s="21"/>
      <c r="C11" s="21"/>
    </row>
    <row r="12" ht="21" customHeight="1" spans="1:3">
      <c r="A12" s="21"/>
      <c r="B12" s="21"/>
      <c r="C12" s="21"/>
    </row>
    <row r="13" ht="16.5" spans="1:3">
      <c r="A13" s="21"/>
      <c r="B13" s="21"/>
      <c r="C13" s="21"/>
    </row>
    <row r="14" ht="16.5" spans="1:3">
      <c r="A14" s="21"/>
      <c r="B14" s="21"/>
      <c r="C14" s="21"/>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2080</v>
      </c>
      <c r="B1" s="2"/>
      <c r="C1" s="2"/>
      <c r="D1" s="2"/>
      <c r="E1" s="2"/>
      <c r="F1" s="2"/>
    </row>
    <row r="2" ht="126" customHeight="1" spans="1:6">
      <c r="A2" s="4" t="s">
        <v>2081</v>
      </c>
      <c r="B2" s="5"/>
      <c r="C2" s="5"/>
      <c r="D2" s="5"/>
      <c r="E2" s="5"/>
      <c r="F2" s="5"/>
    </row>
    <row r="3" ht="21" customHeight="1" spans="1:3">
      <c r="A3" s="45" t="s">
        <v>553</v>
      </c>
      <c r="B3" s="44"/>
      <c r="C3" s="44"/>
    </row>
    <row r="4" ht="20" customHeight="1" spans="1:6">
      <c r="A4" s="64">
        <v>25</v>
      </c>
      <c r="B4" s="64">
        <f>MAX(A4:A7)</f>
        <v>59</v>
      </c>
      <c r="C4" s="64" t="str">
        <f>_xlfn.FORMULATEXT(B4)</f>
        <v>=MAX(A4:A7)</v>
      </c>
      <c r="D4" s="62" t="s">
        <v>2082</v>
      </c>
      <c r="E4" s="62"/>
      <c r="F4" s="62"/>
    </row>
    <row r="5" ht="20" customHeight="1" spans="1:6">
      <c r="A5" s="64">
        <v>23</v>
      </c>
      <c r="B5" s="64">
        <f>MAX(A4:A7,60)</f>
        <v>60</v>
      </c>
      <c r="C5" s="64" t="str">
        <f>_xlfn.FORMULATEXT(B5)</f>
        <v>=MAX(A4:A7,60)</v>
      </c>
      <c r="D5" s="62" t="s">
        <v>2083</v>
      </c>
      <c r="E5" s="62"/>
      <c r="F5" s="62"/>
    </row>
    <row r="6" ht="20" customHeight="1" spans="1:6">
      <c r="A6" s="64">
        <v>23</v>
      </c>
      <c r="B6" s="64"/>
      <c r="C6" s="64"/>
      <c r="D6" s="62"/>
      <c r="E6" s="62"/>
      <c r="F6" s="62"/>
    </row>
    <row r="7" ht="21" customHeight="1" spans="1:6">
      <c r="A7" s="64">
        <v>59</v>
      </c>
      <c r="B7" s="76"/>
      <c r="C7" s="64"/>
      <c r="D7" s="62"/>
      <c r="E7" s="62"/>
      <c r="F7" s="62"/>
    </row>
    <row r="8" ht="21" customHeight="1" spans="1:6">
      <c r="A8" s="64"/>
      <c r="B8" s="77"/>
      <c r="C8" s="64"/>
      <c r="D8" s="62"/>
      <c r="E8" s="62"/>
      <c r="F8" s="62"/>
    </row>
    <row r="9" spans="1:1">
      <c r="A9" s="79"/>
    </row>
    <row r="12" spans="1:1">
      <c r="A12" s="80"/>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2084</v>
      </c>
      <c r="B1" s="2"/>
      <c r="C1" s="2"/>
      <c r="D1" s="2"/>
      <c r="E1" s="2"/>
      <c r="F1" s="2"/>
    </row>
    <row r="2" ht="101" customHeight="1" spans="1:6">
      <c r="A2" s="83" t="s">
        <v>2085</v>
      </c>
      <c r="B2" s="84"/>
      <c r="C2" s="84"/>
      <c r="D2" s="84"/>
      <c r="E2" s="84"/>
      <c r="F2" s="84"/>
    </row>
    <row r="3" ht="21" customHeight="1" spans="1:3">
      <c r="A3" s="45" t="s">
        <v>553</v>
      </c>
      <c r="B3" s="44"/>
      <c r="C3" s="44"/>
    </row>
    <row r="4" ht="20" customHeight="1" spans="1:6">
      <c r="A4" s="64">
        <v>25</v>
      </c>
      <c r="B4" s="64">
        <f>MIN(A4:A7)</f>
        <v>23</v>
      </c>
      <c r="C4" s="64" t="str">
        <f>_xlfn.FORMULATEXT(B4)</f>
        <v>=MIN(A4:A7)</v>
      </c>
      <c r="D4" s="62" t="s">
        <v>2086</v>
      </c>
      <c r="E4" s="62"/>
      <c r="F4" s="62"/>
    </row>
    <row r="5" ht="20" customHeight="1" spans="1:6">
      <c r="A5" s="64">
        <v>23</v>
      </c>
      <c r="B5" s="64">
        <f>MIN(A4:A7,20)</f>
        <v>20</v>
      </c>
      <c r="C5" s="64" t="str">
        <f>_xlfn.FORMULATEXT(B5)</f>
        <v>=MIN(A4:A7,20)</v>
      </c>
      <c r="D5" s="62" t="s">
        <v>2087</v>
      </c>
      <c r="E5" s="62"/>
      <c r="F5" s="62"/>
    </row>
    <row r="6" ht="20" customHeight="1" spans="1:6">
      <c r="A6" s="64">
        <v>23</v>
      </c>
      <c r="B6" s="64"/>
      <c r="C6" s="64"/>
      <c r="D6" s="62"/>
      <c r="E6" s="62"/>
      <c r="F6" s="62"/>
    </row>
    <row r="7" ht="21" customHeight="1" spans="1:6">
      <c r="A7" s="64">
        <v>59</v>
      </c>
      <c r="B7" s="76"/>
      <c r="C7" s="64"/>
      <c r="D7" s="62"/>
      <c r="E7" s="62"/>
      <c r="F7" s="62"/>
    </row>
    <row r="8" ht="21" customHeight="1" spans="1:6">
      <c r="A8" s="64"/>
      <c r="B8" s="77"/>
      <c r="C8" s="64"/>
      <c r="D8" s="62"/>
      <c r="E8" s="62"/>
      <c r="F8" s="62"/>
    </row>
    <row r="9" spans="1:1">
      <c r="A9" s="79"/>
    </row>
    <row r="12" spans="1:1">
      <c r="A12" s="80"/>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19" customWidth="1"/>
    <col min="2" max="2" width="40.75" customWidth="1"/>
    <col min="3" max="3" width="14.75" customWidth="1"/>
    <col min="4" max="4" width="27.75" customWidth="1"/>
    <col min="5" max="5" width="36.25" customWidth="1"/>
    <col min="6" max="6" width="19" customWidth="1"/>
  </cols>
  <sheetData>
    <row r="1" ht="26" customHeight="1" spans="1:6">
      <c r="A1" s="2" t="s">
        <v>2088</v>
      </c>
      <c r="B1" s="2"/>
      <c r="C1" s="2"/>
      <c r="D1" s="2"/>
      <c r="E1" s="2"/>
      <c r="F1" s="2"/>
    </row>
    <row r="2" ht="114" customHeight="1" spans="1:6">
      <c r="A2" s="83" t="s">
        <v>2089</v>
      </c>
      <c r="B2" s="84"/>
      <c r="C2" s="84"/>
      <c r="D2" s="84"/>
      <c r="E2" s="84"/>
      <c r="F2" s="84"/>
    </row>
    <row r="3" ht="21" customHeight="1" spans="1:3">
      <c r="A3" s="45" t="s">
        <v>553</v>
      </c>
      <c r="B3" s="44"/>
      <c r="C3" s="44"/>
    </row>
    <row r="4" ht="20" customHeight="1" spans="1:6">
      <c r="A4" s="62" t="b">
        <v>0</v>
      </c>
      <c r="B4" s="62" t="s">
        <v>2090</v>
      </c>
      <c r="C4" s="62">
        <f>MINA(A4:A8)</f>
        <v>0</v>
      </c>
      <c r="D4" s="62" t="str">
        <f>_xlfn.FORMULATEXT(C4)</f>
        <v>=MINA(A4:A8)</v>
      </c>
      <c r="E4" s="62"/>
      <c r="F4" s="62"/>
    </row>
    <row r="5" ht="20" customHeight="1" spans="1:6">
      <c r="A5" s="62">
        <v>0.2</v>
      </c>
      <c r="B5" s="62"/>
      <c r="C5" s="62"/>
      <c r="D5" s="62"/>
      <c r="E5" s="62"/>
      <c r="F5" s="62"/>
    </row>
    <row r="6" ht="20" customHeight="1" spans="1:6">
      <c r="A6" s="62">
        <v>0.5</v>
      </c>
      <c r="B6" s="62"/>
      <c r="C6" s="62"/>
      <c r="D6" s="62"/>
      <c r="E6" s="62"/>
      <c r="F6" s="62"/>
    </row>
    <row r="7" ht="21" customHeight="1" spans="1:6">
      <c r="A7" s="62">
        <v>0.4</v>
      </c>
      <c r="B7" s="62"/>
      <c r="C7" s="62"/>
      <c r="D7" s="62"/>
      <c r="E7" s="62"/>
      <c r="F7" s="62"/>
    </row>
    <row r="8" ht="21" customHeight="1" spans="1:6">
      <c r="A8" s="62">
        <v>0.8</v>
      </c>
      <c r="B8" s="62"/>
      <c r="C8" s="62"/>
      <c r="D8" s="62"/>
      <c r="E8" s="62"/>
      <c r="F8" s="62"/>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3" width="19" customWidth="1"/>
    <col min="4" max="4" width="22.375" customWidth="1"/>
    <col min="5" max="5" width="36.25" customWidth="1"/>
    <col min="6" max="6" width="21.875" customWidth="1"/>
  </cols>
  <sheetData>
    <row r="1" ht="26" customHeight="1" spans="1:6">
      <c r="A1" s="2" t="s">
        <v>2091</v>
      </c>
      <c r="B1" s="2"/>
      <c r="C1" s="2"/>
      <c r="D1" s="2"/>
      <c r="E1" s="2"/>
      <c r="F1" s="2"/>
    </row>
    <row r="2" ht="117" customHeight="1" spans="1:6">
      <c r="A2" s="83" t="s">
        <v>2092</v>
      </c>
      <c r="B2" s="84"/>
      <c r="C2" s="84"/>
      <c r="D2" s="84"/>
      <c r="E2" s="84"/>
      <c r="F2" s="84"/>
    </row>
    <row r="3" ht="21" customHeight="1" spans="1:3">
      <c r="A3" s="45" t="s">
        <v>553</v>
      </c>
      <c r="B3" s="44"/>
      <c r="C3" s="44"/>
    </row>
    <row r="4" ht="20" customHeight="1" spans="1:6">
      <c r="A4" s="64">
        <v>0</v>
      </c>
      <c r="B4" s="64" t="s">
        <v>2093</v>
      </c>
      <c r="C4" s="64" t="str">
        <f>_xlfn.FORMULATEXT(D4)</f>
        <v>=MAXA(A4:A8)</v>
      </c>
      <c r="D4" s="62">
        <f>MAXA(A4:A8)</f>
        <v>1</v>
      </c>
      <c r="E4" s="62"/>
      <c r="F4" s="62"/>
    </row>
    <row r="5" ht="20" customHeight="1" spans="1:6">
      <c r="A5" s="64">
        <v>0.2</v>
      </c>
      <c r="B5" s="64"/>
      <c r="C5" s="64"/>
      <c r="D5" s="62"/>
      <c r="E5" s="62"/>
      <c r="F5" s="62"/>
    </row>
    <row r="6" ht="20" customHeight="1" spans="1:6">
      <c r="A6" s="64">
        <v>0.5</v>
      </c>
      <c r="B6" s="64"/>
      <c r="C6" s="64"/>
      <c r="D6" s="62"/>
      <c r="E6" s="62"/>
      <c r="F6" s="62"/>
    </row>
    <row r="7" ht="21" customHeight="1" spans="1:6">
      <c r="A7" s="64">
        <v>0.4</v>
      </c>
      <c r="B7" s="76"/>
      <c r="C7" s="64"/>
      <c r="D7" s="62"/>
      <c r="E7" s="62"/>
      <c r="F7" s="62"/>
    </row>
    <row r="8" ht="21" customHeight="1" spans="1:6">
      <c r="A8" s="64" t="b">
        <v>1</v>
      </c>
      <c r="B8" s="77"/>
      <c r="C8" s="64"/>
      <c r="D8" s="62"/>
      <c r="E8" s="62"/>
      <c r="F8" s="62"/>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5.25" customWidth="1"/>
    <col min="5" max="5" width="36.25" customWidth="1"/>
    <col min="6" max="6" width="21.875" customWidth="1"/>
  </cols>
  <sheetData>
    <row r="1" ht="26" customHeight="1" spans="1:6">
      <c r="A1" s="2" t="s">
        <v>2094</v>
      </c>
      <c r="B1" s="2"/>
      <c r="C1" s="2"/>
      <c r="D1" s="2"/>
      <c r="E1" s="2"/>
      <c r="F1" s="2"/>
    </row>
    <row r="2" ht="117" customHeight="1" spans="1:6">
      <c r="A2" s="83" t="s">
        <v>2095</v>
      </c>
      <c r="B2" s="84"/>
      <c r="C2" s="84"/>
      <c r="D2" s="84"/>
      <c r="E2" s="84"/>
      <c r="F2" s="84"/>
    </row>
    <row r="3" ht="21" customHeight="1" spans="1:3">
      <c r="A3" s="45" t="s">
        <v>553</v>
      </c>
      <c r="B3" s="44"/>
      <c r="C3" s="44"/>
    </row>
    <row r="4" customFormat="1" spans="1:4">
      <c r="A4" s="91" t="s">
        <v>2096</v>
      </c>
      <c r="B4" s="91" t="s">
        <v>2097</v>
      </c>
      <c r="C4" s="86" t="s">
        <v>2098</v>
      </c>
      <c r="D4" s="86"/>
    </row>
    <row r="5" customFormat="1" ht="14.25" spans="1:4">
      <c r="A5" s="92">
        <v>89</v>
      </c>
      <c r="B5" s="92">
        <v>1</v>
      </c>
      <c r="C5" s="86"/>
      <c r="D5" s="86"/>
    </row>
    <row r="6" customFormat="1" ht="14.25" spans="1:4">
      <c r="A6" s="93">
        <v>93</v>
      </c>
      <c r="B6" s="93">
        <v>2</v>
      </c>
      <c r="C6" s="86">
        <f>_xlfn.MAXIFS(A5:A10,B5:B10,1)</f>
        <v>91</v>
      </c>
      <c r="D6" s="89" t="str">
        <f>_xlfn.FORMULATEXT(C6)</f>
        <v>=MAXIFS(A5:A10,B5:B10,1)</v>
      </c>
    </row>
    <row r="7" customFormat="1" ht="14.25" spans="1:4">
      <c r="A7" s="92">
        <v>96</v>
      </c>
      <c r="B7" s="92">
        <v>2</v>
      </c>
      <c r="C7" s="86"/>
      <c r="D7" s="89"/>
    </row>
    <row r="8" customFormat="1" ht="14.25" spans="1:4">
      <c r="A8" s="93">
        <v>85</v>
      </c>
      <c r="B8" s="93">
        <v>3</v>
      </c>
      <c r="C8" s="86"/>
      <c r="D8" s="89"/>
    </row>
    <row r="9" customFormat="1" ht="14.25" spans="1:4">
      <c r="A9" s="92">
        <v>91</v>
      </c>
      <c r="B9" s="92">
        <v>1</v>
      </c>
      <c r="C9" s="90"/>
      <c r="D9" s="90"/>
    </row>
    <row r="10" customFormat="1" ht="15" spans="1:4">
      <c r="A10" s="94">
        <v>88</v>
      </c>
      <c r="B10" s="94">
        <v>1</v>
      </c>
      <c r="C10" s="90"/>
      <c r="D10" s="90"/>
    </row>
  </sheetData>
  <mergeCells count="3">
    <mergeCell ref="A1:F1"/>
    <mergeCell ref="A2:F2"/>
    <mergeCell ref="C4:D5"/>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4" sqref="$A4:$XFD10"/>
    </sheetView>
  </sheetViews>
  <sheetFormatPr defaultColWidth="9" defaultRowHeight="13.5" outlineLevelCol="5"/>
  <cols>
    <col min="1" max="2" width="19" customWidth="1"/>
    <col min="3" max="3" width="26.875" customWidth="1"/>
    <col min="4" max="4" width="31.875" customWidth="1"/>
    <col min="5" max="5" width="36.25" customWidth="1"/>
    <col min="6" max="6" width="21.875" customWidth="1"/>
  </cols>
  <sheetData>
    <row r="1" ht="26" customHeight="1" spans="1:6">
      <c r="A1" s="2" t="s">
        <v>2099</v>
      </c>
      <c r="B1" s="2"/>
      <c r="C1" s="2"/>
      <c r="D1" s="2"/>
      <c r="E1" s="2"/>
      <c r="F1" s="2"/>
    </row>
    <row r="2" ht="117" customHeight="1" spans="1:6">
      <c r="A2" s="83" t="s">
        <v>2100</v>
      </c>
      <c r="B2" s="84"/>
      <c r="C2" s="84"/>
      <c r="D2" s="84"/>
      <c r="E2" s="84"/>
      <c r="F2" s="84"/>
    </row>
    <row r="3" ht="21" customHeight="1" spans="1:3">
      <c r="A3" s="45" t="s">
        <v>553</v>
      </c>
      <c r="B3" s="44"/>
      <c r="C3" s="44"/>
    </row>
    <row r="4" spans="1:4">
      <c r="A4" s="85" t="s">
        <v>1841</v>
      </c>
      <c r="B4" s="85" t="s">
        <v>2101</v>
      </c>
      <c r="C4" s="86" t="s">
        <v>2102</v>
      </c>
      <c r="D4" s="86"/>
    </row>
    <row r="5" spans="1:4">
      <c r="A5" s="87">
        <v>89</v>
      </c>
      <c r="B5" s="87">
        <v>1</v>
      </c>
      <c r="C5" s="86"/>
      <c r="D5" s="86"/>
    </row>
    <row r="6" ht="14.25" spans="1:4">
      <c r="A6" s="88">
        <v>93</v>
      </c>
      <c r="B6" s="88">
        <v>2</v>
      </c>
      <c r="C6" s="86">
        <f>_xlfn.MINIFS(A5:A10,B5:B10,1)</f>
        <v>88</v>
      </c>
      <c r="D6" s="89" t="str">
        <f>_xlfn.FORMULATEXT(C6)</f>
        <v>=MINIFS(A5:A10,B5:B10,1)</v>
      </c>
    </row>
    <row r="7" ht="14.25" spans="1:4">
      <c r="A7" s="87">
        <v>96</v>
      </c>
      <c r="B7" s="87">
        <v>2</v>
      </c>
      <c r="C7" s="86"/>
      <c r="D7" s="89"/>
    </row>
    <row r="8" ht="14.25" spans="1:4">
      <c r="A8" s="88">
        <v>85</v>
      </c>
      <c r="B8" s="88">
        <v>3</v>
      </c>
      <c r="C8" s="86"/>
      <c r="D8" s="89"/>
    </row>
    <row r="9" ht="14.25" spans="1:4">
      <c r="A9" s="87">
        <v>91</v>
      </c>
      <c r="B9" s="87">
        <v>1</v>
      </c>
      <c r="C9" s="90"/>
      <c r="D9" s="90"/>
    </row>
    <row r="10" ht="14.25" spans="1:4">
      <c r="A10" s="88">
        <v>88</v>
      </c>
      <c r="B10" s="88">
        <v>1</v>
      </c>
      <c r="C10" s="90"/>
      <c r="D10" s="90"/>
    </row>
  </sheetData>
  <mergeCells count="3">
    <mergeCell ref="A1:F1"/>
    <mergeCell ref="A2:F2"/>
    <mergeCell ref="C4:D5"/>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3" max="3" width="12" customWidth="1"/>
    <col min="4" max="4" width="17.25" customWidth="1"/>
    <col min="5" max="5" width="21.75" customWidth="1"/>
    <col min="6" max="6" width="28" customWidth="1"/>
  </cols>
  <sheetData>
    <row r="1" ht="26" customHeight="1" spans="1:6">
      <c r="A1" s="2" t="s">
        <v>2103</v>
      </c>
      <c r="B1" s="2"/>
      <c r="C1" s="2"/>
      <c r="D1" s="2"/>
      <c r="E1" s="2"/>
      <c r="F1" s="2"/>
    </row>
    <row r="2" ht="67" customHeight="1" spans="1:6">
      <c r="A2" s="4" t="s">
        <v>2104</v>
      </c>
      <c r="B2" s="5"/>
      <c r="C2" s="5"/>
      <c r="D2" s="5"/>
      <c r="E2" s="5"/>
      <c r="F2" s="5"/>
    </row>
    <row r="4" ht="17.25" spans="1:5">
      <c r="A4" s="66" t="s">
        <v>2077</v>
      </c>
      <c r="B4" s="82">
        <v>39462</v>
      </c>
      <c r="C4" s="21"/>
      <c r="D4" s="7"/>
      <c r="E4" s="18"/>
    </row>
    <row r="5" ht="16.5" spans="1:4">
      <c r="A5" s="7"/>
      <c r="B5" s="21"/>
      <c r="C5" s="21"/>
      <c r="D5" s="7"/>
    </row>
    <row r="6" ht="17.25" spans="1:4">
      <c r="A6" s="66" t="s">
        <v>2105</v>
      </c>
      <c r="B6" s="7"/>
      <c r="C6" s="7"/>
      <c r="D6" s="7"/>
    </row>
    <row r="7" ht="17.25" spans="1:4">
      <c r="A7" s="55">
        <f>EDATE(B4,1)</f>
        <v>39493</v>
      </c>
      <c r="B7" s="7"/>
      <c r="C7" s="7"/>
      <c r="D7" s="7"/>
    </row>
    <row r="8" ht="17.25" spans="1:4">
      <c r="A8" s="66"/>
      <c r="B8" s="7"/>
      <c r="C8" s="7"/>
      <c r="D8" s="7"/>
    </row>
    <row r="9" ht="17.25" spans="1:4">
      <c r="A9" s="66" t="s">
        <v>2106</v>
      </c>
      <c r="B9" s="7"/>
      <c r="C9" s="7"/>
      <c r="D9" s="7"/>
    </row>
    <row r="10" ht="17.25" spans="1:4">
      <c r="A10" s="55">
        <f>EDATE(B4,-1)</f>
        <v>39431</v>
      </c>
      <c r="B10" s="7"/>
      <c r="C10" s="7"/>
      <c r="D10" s="7"/>
    </row>
    <row r="11" ht="16.5" spans="1:4">
      <c r="A11" s="7"/>
      <c r="B11" s="7"/>
      <c r="C11" s="7"/>
      <c r="D11" s="7"/>
    </row>
    <row r="12" ht="16.5" spans="1:4">
      <c r="A12" s="7" t="s">
        <v>2107</v>
      </c>
      <c r="B12" s="7"/>
      <c r="C12" s="7"/>
      <c r="D12" s="7"/>
    </row>
    <row r="13" ht="17.25" spans="1:4">
      <c r="A13" s="55">
        <f>EDATE(B4,2)</f>
        <v>39522</v>
      </c>
      <c r="B13" s="7"/>
      <c r="C13" s="7"/>
      <c r="D13" s="7"/>
    </row>
    <row r="14" ht="16.5" spans="1:4">
      <c r="A14" s="7"/>
      <c r="B14" s="7"/>
      <c r="C14" s="7"/>
      <c r="D14" s="7"/>
    </row>
    <row r="15" ht="16.5" spans="1:4">
      <c r="A15" s="7"/>
      <c r="B15" s="7"/>
      <c r="C15" s="7"/>
      <c r="D15" s="7"/>
    </row>
    <row r="16" ht="16.5" spans="1:4">
      <c r="A16" s="7"/>
      <c r="B16" s="7"/>
      <c r="C16" s="7"/>
      <c r="D16" s="7"/>
    </row>
    <row r="17" ht="17.25" spans="1:4">
      <c r="A17" s="66"/>
      <c r="B17" s="7"/>
      <c r="C17" s="7"/>
      <c r="D17" s="7"/>
    </row>
    <row r="18" ht="16.5" spans="1:4">
      <c r="A18" s="7"/>
      <c r="B18" s="7"/>
      <c r="C18" s="7"/>
      <c r="D18" s="7"/>
    </row>
    <row r="19" ht="16.5" spans="1:4">
      <c r="A19" s="7"/>
      <c r="B19" s="7"/>
      <c r="C19" s="7"/>
      <c r="D19" s="7"/>
    </row>
    <row r="20" ht="17.25" spans="1:4">
      <c r="A20" s="66"/>
      <c r="B20" s="7"/>
      <c r="C20" s="7"/>
      <c r="D20" s="7"/>
    </row>
    <row r="21" ht="16.5" spans="1:4">
      <c r="A21" s="7"/>
      <c r="B21" s="7"/>
      <c r="C21" s="7"/>
      <c r="D21" s="7"/>
    </row>
  </sheetData>
  <mergeCells count="3">
    <mergeCell ref="A1:F1"/>
    <mergeCell ref="A2:F2"/>
    <mergeCell ref="B4:C4"/>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3" max="3" width="12" customWidth="1"/>
    <col min="4" max="4" width="17.25" customWidth="1"/>
    <col min="5" max="5" width="21.75" customWidth="1"/>
    <col min="6" max="6" width="28" customWidth="1"/>
  </cols>
  <sheetData>
    <row r="1" ht="26" customHeight="1" spans="1:6">
      <c r="A1" s="2" t="s">
        <v>2108</v>
      </c>
      <c r="B1" s="2"/>
      <c r="C1" s="2"/>
      <c r="D1" s="2"/>
      <c r="E1" s="2"/>
      <c r="F1" s="2"/>
    </row>
    <row r="2" ht="39" customHeight="1" spans="1:6">
      <c r="A2" s="4" t="s">
        <v>2109</v>
      </c>
      <c r="B2" s="5"/>
      <c r="C2" s="5"/>
      <c r="D2" s="5"/>
      <c r="E2" s="5"/>
      <c r="F2" s="5"/>
    </row>
    <row r="3" ht="21" customHeight="1" spans="1:1">
      <c r="A3" s="7" t="s">
        <v>2110</v>
      </c>
    </row>
    <row r="4" ht="17.25" spans="1:5">
      <c r="A4" s="66">
        <f ca="1" t="shared" ref="A4:A9" si="0">RAND()</f>
        <v>0.53301622968383</v>
      </c>
      <c r="B4" s="82"/>
      <c r="C4" s="21"/>
      <c r="D4" s="7"/>
      <c r="E4" s="18"/>
    </row>
    <row r="5" ht="17.25" spans="1:4">
      <c r="A5" s="66">
        <f ca="1" t="shared" si="0"/>
        <v>0.0657166235306437</v>
      </c>
      <c r="B5" s="21"/>
      <c r="C5" s="21"/>
      <c r="D5" s="7"/>
    </row>
    <row r="6" ht="17.25" spans="1:4">
      <c r="A6" s="66">
        <f ca="1" t="shared" si="0"/>
        <v>0.997036527689031</v>
      </c>
      <c r="B6" s="7"/>
      <c r="C6" s="7"/>
      <c r="D6" s="7"/>
    </row>
    <row r="7" ht="17.25" spans="1:4">
      <c r="A7" s="66">
        <f ca="1" t="shared" si="0"/>
        <v>0.67843941260674</v>
      </c>
      <c r="B7" s="7"/>
      <c r="C7" s="7"/>
      <c r="D7" s="7"/>
    </row>
    <row r="8" ht="17.25" spans="1:4">
      <c r="A8" s="66">
        <f ca="1" t="shared" si="0"/>
        <v>0.379003422088953</v>
      </c>
      <c r="B8" s="7"/>
      <c r="C8" s="7"/>
      <c r="D8" s="7"/>
    </row>
    <row r="9" ht="17.25" spans="1:4">
      <c r="A9" s="66">
        <f ca="1" t="shared" si="0"/>
        <v>0.5103568006969</v>
      </c>
      <c r="B9" s="7"/>
      <c r="C9" s="7"/>
      <c r="D9" s="7"/>
    </row>
    <row r="10" ht="17.25" spans="1:4">
      <c r="A10" s="55"/>
      <c r="B10" s="7"/>
      <c r="C10" s="7"/>
      <c r="D10" s="7"/>
    </row>
    <row r="11" ht="16.5" spans="1:4">
      <c r="A11" s="7"/>
      <c r="B11" s="7"/>
      <c r="C11" s="7"/>
      <c r="D11" s="7"/>
    </row>
    <row r="12" ht="16.5" spans="1:4">
      <c r="A12" s="7"/>
      <c r="B12" s="7"/>
      <c r="C12" s="7"/>
      <c r="D12" s="7"/>
    </row>
    <row r="13" ht="17.25" spans="1:4">
      <c r="A13" s="55"/>
      <c r="B13" s="7"/>
      <c r="C13" s="7"/>
      <c r="D13" s="7"/>
    </row>
    <row r="14" ht="16.5" spans="1:4">
      <c r="A14" s="7"/>
      <c r="B14" s="7"/>
      <c r="C14" s="7"/>
      <c r="D14" s="7"/>
    </row>
    <row r="15" ht="16.5" spans="1:4">
      <c r="A15" s="7"/>
      <c r="B15" s="7"/>
      <c r="C15" s="7"/>
      <c r="D15" s="7"/>
    </row>
    <row r="16" ht="16.5" spans="1:4">
      <c r="A16" s="7"/>
      <c r="B16" s="7"/>
      <c r="C16" s="7"/>
      <c r="D16" s="7"/>
    </row>
    <row r="17" ht="17.25" spans="1:4">
      <c r="A17" s="66"/>
      <c r="B17" s="7"/>
      <c r="C17" s="7"/>
      <c r="D17" s="7"/>
    </row>
    <row r="18" ht="16.5" spans="1:4">
      <c r="A18" s="7"/>
      <c r="B18" s="7"/>
      <c r="C18" s="7"/>
      <c r="D18" s="7"/>
    </row>
    <row r="19" ht="16.5" spans="1:4">
      <c r="A19" s="7"/>
      <c r="B19" s="7"/>
      <c r="C19" s="7"/>
      <c r="D19" s="7"/>
    </row>
    <row r="20" ht="17.25" spans="1:4">
      <c r="A20" s="66"/>
      <c r="B20" s="7"/>
      <c r="C20" s="7"/>
      <c r="D20" s="7"/>
    </row>
    <row r="21" ht="16.5" spans="1:4">
      <c r="A21" s="7"/>
      <c r="B21" s="7"/>
      <c r="C21" s="7"/>
      <c r="D21" s="7"/>
    </row>
  </sheetData>
  <mergeCells count="3">
    <mergeCell ref="A1:F1"/>
    <mergeCell ref="A2:F2"/>
    <mergeCell ref="B4:C4"/>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2111</v>
      </c>
      <c r="B1" s="2"/>
      <c r="C1" s="2"/>
      <c r="D1" s="2"/>
      <c r="E1" s="2"/>
      <c r="F1" s="2"/>
    </row>
    <row r="2" ht="110" customHeight="1" spans="1:6">
      <c r="A2" s="4" t="s">
        <v>2112</v>
      </c>
      <c r="B2" s="5"/>
      <c r="C2" s="5"/>
      <c r="D2" s="5"/>
      <c r="E2" s="5"/>
      <c r="F2" s="5"/>
    </row>
    <row r="3" ht="21" customHeight="1" spans="1:3">
      <c r="A3" s="45" t="s">
        <v>553</v>
      </c>
      <c r="B3" s="44"/>
      <c r="C3" s="44"/>
    </row>
    <row r="4" ht="20" customHeight="1" spans="1:6">
      <c r="A4" s="64">
        <v>17</v>
      </c>
      <c r="B4" s="64" t="str">
        <f>USDOLLAR(A4)</f>
        <v>$17.00</v>
      </c>
      <c r="C4" s="64"/>
      <c r="D4" s="62"/>
      <c r="E4" s="62"/>
      <c r="F4" s="62"/>
    </row>
    <row r="5" ht="20" customHeight="1" spans="1:6">
      <c r="A5" s="64">
        <v>123.687</v>
      </c>
      <c r="B5" s="64" t="str">
        <f>USDOLLAR(A5,-1)</f>
        <v>$120</v>
      </c>
      <c r="C5" s="64" t="str">
        <f>USDOLLAR(A5,2)</f>
        <v>$123.69</v>
      </c>
      <c r="D5" s="62"/>
      <c r="E5" s="62"/>
      <c r="F5" s="62"/>
    </row>
    <row r="6" ht="20" customHeight="1" spans="1:6">
      <c r="A6" s="81"/>
      <c r="B6" s="64"/>
      <c r="C6" s="64"/>
      <c r="D6" s="62"/>
      <c r="E6" s="62"/>
      <c r="F6" s="62"/>
    </row>
    <row r="7" ht="21" customHeight="1" spans="1:6">
      <c r="A7" s="75"/>
      <c r="B7" s="76"/>
      <c r="C7" s="64"/>
      <c r="D7" s="62"/>
      <c r="E7" s="62"/>
      <c r="F7" s="62"/>
    </row>
    <row r="8" ht="21" customHeight="1" spans="1:6">
      <c r="A8" s="64"/>
      <c r="B8" s="77"/>
      <c r="C8" s="64"/>
      <c r="D8" s="62"/>
      <c r="E8" s="62"/>
      <c r="F8" s="62"/>
    </row>
    <row r="9" spans="1:1">
      <c r="A9" s="79"/>
    </row>
    <row r="12" spans="1:1">
      <c r="A12" s="80"/>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2111</v>
      </c>
      <c r="B1" s="2"/>
      <c r="C1" s="2"/>
      <c r="D1" s="2"/>
      <c r="E1" s="2"/>
      <c r="F1" s="2"/>
    </row>
    <row r="2" ht="98" customHeight="1" spans="1:6">
      <c r="A2" s="4" t="s">
        <v>2113</v>
      </c>
      <c r="B2" s="5"/>
      <c r="C2" s="5"/>
      <c r="D2" s="5"/>
      <c r="E2" s="5"/>
      <c r="F2" s="5"/>
    </row>
    <row r="3" ht="21" customHeight="1" spans="1:3">
      <c r="A3" s="45" t="s">
        <v>553</v>
      </c>
      <c r="B3" s="78" t="s">
        <v>2114</v>
      </c>
      <c r="C3" s="44"/>
    </row>
    <row r="4" ht="20" customHeight="1" spans="1:6">
      <c r="A4" s="64" t="s">
        <v>2115</v>
      </c>
      <c r="B4" s="64" t="str">
        <f>MID(A4,FIND("#",A4,1)+1,1)</f>
        <v>1</v>
      </c>
      <c r="C4" s="64" t="s">
        <v>2116</v>
      </c>
      <c r="D4" s="62" t="str">
        <f>_xlfn.FORMULATEXT(B4)</f>
        <v>=MID(A4,FIND("#",A4,1)+1,1)</v>
      </c>
      <c r="E4" s="62"/>
      <c r="F4" s="62"/>
    </row>
    <row r="5" ht="20" customHeight="1" spans="1:6">
      <c r="A5" s="64" t="s">
        <v>2117</v>
      </c>
      <c r="B5" s="64" t="str">
        <f>MID(A5,FIND("#",A5,1)+1,1)</f>
        <v>1</v>
      </c>
      <c r="C5" s="64"/>
      <c r="D5" s="62"/>
      <c r="E5" s="62"/>
      <c r="F5" s="62"/>
    </row>
    <row r="6" ht="20" customHeight="1" spans="1:6">
      <c r="A6" s="64" t="s">
        <v>2118</v>
      </c>
      <c r="B6" s="64" t="str">
        <f>MID(A6,FIND("#",A6,1)+1,1)</f>
        <v>2</v>
      </c>
      <c r="C6" s="64"/>
      <c r="D6" s="62"/>
      <c r="E6" s="62"/>
      <c r="F6" s="62"/>
    </row>
    <row r="7" spans="1:1">
      <c r="A7" s="79"/>
    </row>
    <row r="10" spans="1:1">
      <c r="A10" s="80"/>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20.625" customWidth="1"/>
    <col min="3" max="3" width="12" customWidth="1"/>
    <col min="4" max="4" width="25.375" customWidth="1"/>
    <col min="5" max="5" width="29.75" customWidth="1"/>
    <col min="6" max="6" width="33.125" customWidth="1"/>
  </cols>
  <sheetData>
    <row r="1" ht="26" customHeight="1" spans="1:6">
      <c r="A1" s="2" t="s">
        <v>2119</v>
      </c>
      <c r="B1" s="2"/>
      <c r="C1" s="2"/>
      <c r="D1" s="2"/>
      <c r="E1" s="2"/>
      <c r="F1" s="2"/>
    </row>
    <row r="2" ht="154" customHeight="1" spans="1:6">
      <c r="A2" s="4" t="s">
        <v>2120</v>
      </c>
      <c r="B2" s="5"/>
      <c r="C2" s="5"/>
      <c r="D2" s="5"/>
      <c r="E2" s="5"/>
      <c r="F2" s="5"/>
    </row>
    <row r="3" ht="21" customHeight="1" spans="1:3">
      <c r="A3" s="61"/>
      <c r="B3" s="44"/>
      <c r="C3" s="44"/>
    </row>
    <row r="4" ht="25" customHeight="1" spans="1:5">
      <c r="A4" s="63" t="s">
        <v>582</v>
      </c>
      <c r="B4" s="63" t="s">
        <v>582</v>
      </c>
      <c r="C4" s="74"/>
      <c r="D4" s="62" t="s">
        <v>590</v>
      </c>
      <c r="E4" s="63" t="s">
        <v>622</v>
      </c>
    </row>
    <row r="5" ht="25" customHeight="1" spans="1:5">
      <c r="A5" s="65" t="s">
        <v>2121</v>
      </c>
      <c r="B5" s="65">
        <v>1.333</v>
      </c>
      <c r="C5" s="74"/>
      <c r="D5" s="65">
        <f ca="1">INDIRECT($A$5)</f>
        <v>1.333</v>
      </c>
      <c r="E5" s="64" t="s">
        <v>2122</v>
      </c>
    </row>
    <row r="6" ht="25" customHeight="1" spans="1:5">
      <c r="A6" s="65" t="s">
        <v>2121</v>
      </c>
      <c r="B6" s="65">
        <v>45</v>
      </c>
      <c r="C6" s="74"/>
      <c r="D6" s="65">
        <f ca="1">INDIRECT($A$6)</f>
        <v>1.333</v>
      </c>
      <c r="E6" s="64" t="s">
        <v>2123</v>
      </c>
    </row>
    <row r="7" ht="25" customHeight="1" spans="1:5">
      <c r="A7" s="65" t="s">
        <v>2124</v>
      </c>
      <c r="B7" s="65">
        <v>10</v>
      </c>
      <c r="C7" s="74"/>
      <c r="D7" s="65">
        <f ca="1">INDIRECT($A$7)</f>
        <v>10</v>
      </c>
      <c r="E7" s="64" t="s">
        <v>2125</v>
      </c>
    </row>
    <row r="8" ht="25" customHeight="1" spans="1:5">
      <c r="A8" s="65">
        <v>8</v>
      </c>
      <c r="B8" s="65">
        <v>62</v>
      </c>
      <c r="C8" s="74"/>
      <c r="D8" s="65">
        <f ca="1">INDIRECT("B"&amp;$A$8)</f>
        <v>62</v>
      </c>
      <c r="E8" s="64" t="s">
        <v>2126</v>
      </c>
    </row>
    <row r="9" ht="30" customHeight="1" spans="1:5">
      <c r="A9" s="65" t="s">
        <v>2127</v>
      </c>
      <c r="B9" s="65" t="s">
        <v>2128</v>
      </c>
      <c r="C9" s="74"/>
      <c r="D9" s="65" t="str">
        <f ca="1">INDIRECT(A9&amp;"!"&amp;B9)</f>
        <v>查找与引用函数</v>
      </c>
      <c r="E9" s="64" t="s">
        <v>2129</v>
      </c>
    </row>
    <row r="10" ht="16.5" spans="1:4">
      <c r="A10" s="7"/>
      <c r="B10" s="7"/>
      <c r="C10" s="7"/>
      <c r="D10" s="7"/>
    </row>
    <row r="11" ht="16.5" spans="1:4">
      <c r="A11" s="7"/>
      <c r="B11" s="7"/>
      <c r="C11" s="7"/>
      <c r="D11" s="7"/>
    </row>
    <row r="12" ht="17.25" spans="1:4">
      <c r="A12" s="55"/>
      <c r="B12" s="7"/>
      <c r="C12" s="7"/>
      <c r="D12" s="7"/>
    </row>
    <row r="13" ht="16.5" spans="1:4">
      <c r="A13" s="7"/>
      <c r="B13" s="7"/>
      <c r="C13" s="7"/>
      <c r="D13" s="7"/>
    </row>
    <row r="14" ht="16.5" spans="1:4">
      <c r="A14" s="7"/>
      <c r="B14" s="7"/>
      <c r="C14" s="7"/>
      <c r="D14" s="7"/>
    </row>
    <row r="15" ht="16.5" spans="1:4">
      <c r="A15" s="7"/>
      <c r="B15" s="7"/>
      <c r="C15" s="7"/>
      <c r="D15" s="7"/>
    </row>
    <row r="16" ht="17.25" spans="1:4">
      <c r="A16" s="66"/>
      <c r="B16" s="7"/>
      <c r="C16" s="7"/>
      <c r="D16" s="7"/>
    </row>
    <row r="17" ht="16.5" spans="1:4">
      <c r="A17" s="7"/>
      <c r="B17" s="7"/>
      <c r="C17" s="7"/>
      <c r="D17" s="7"/>
    </row>
    <row r="18" ht="16.5" spans="1:4">
      <c r="A18" s="7"/>
      <c r="B18" s="7"/>
      <c r="C18" s="7"/>
      <c r="D18" s="7"/>
    </row>
    <row r="19" ht="17.25" spans="1:4">
      <c r="A19" s="66"/>
      <c r="B19" s="7"/>
      <c r="C19" s="7"/>
      <c r="D19" s="7"/>
    </row>
    <row r="20" ht="16.5" spans="1:4">
      <c r="A20" s="7"/>
      <c r="B20" s="7"/>
      <c r="C20" s="7"/>
      <c r="D20" s="7"/>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2130</v>
      </c>
      <c r="B1" s="2"/>
      <c r="C1" s="2"/>
      <c r="D1" s="2"/>
      <c r="E1" s="2"/>
      <c r="F1" s="2"/>
    </row>
    <row r="2" ht="91" customHeight="1" spans="1:6">
      <c r="A2" s="4" t="s">
        <v>2131</v>
      </c>
      <c r="B2" s="5"/>
      <c r="C2" s="5"/>
      <c r="D2" s="5"/>
      <c r="E2" s="5"/>
      <c r="F2" s="5"/>
    </row>
    <row r="3" ht="21" customHeight="1" spans="1:3">
      <c r="A3" s="45" t="s">
        <v>553</v>
      </c>
      <c r="B3" s="44" t="s">
        <v>2132</v>
      </c>
      <c r="C3" s="44"/>
    </row>
    <row r="4" ht="20" customHeight="1" spans="1:6">
      <c r="A4" s="62" t="s">
        <v>2133</v>
      </c>
      <c r="B4" s="62" t="s">
        <v>2134</v>
      </c>
      <c r="C4" s="62" t="s">
        <v>2135</v>
      </c>
      <c r="D4" s="62" t="s">
        <v>560</v>
      </c>
      <c r="E4" s="62"/>
      <c r="F4" s="62"/>
    </row>
    <row r="5" ht="20" customHeight="1" spans="1:6">
      <c r="A5" s="64" t="s">
        <v>2136</v>
      </c>
      <c r="B5" s="64" t="s">
        <v>2136</v>
      </c>
      <c r="C5" s="64" t="b">
        <f>EXACT(A5,B5)</f>
        <v>1</v>
      </c>
      <c r="D5" s="62" t="str">
        <f>_xlfn.FORMULATEXT(C5)</f>
        <v>=EXACT(A5,B5)</v>
      </c>
      <c r="E5" s="62"/>
      <c r="F5" s="62"/>
    </row>
    <row r="6" ht="20" customHeight="1" spans="1:6">
      <c r="A6" s="64" t="s">
        <v>2136</v>
      </c>
      <c r="B6" s="64" t="s">
        <v>2137</v>
      </c>
      <c r="C6" s="64" t="b">
        <f>EXACT(A6,B6)</f>
        <v>0</v>
      </c>
      <c r="D6" s="62"/>
      <c r="E6" s="62"/>
      <c r="F6" s="62"/>
    </row>
    <row r="7" ht="20" customHeight="1" spans="1:6">
      <c r="A7" s="64">
        <v>1</v>
      </c>
      <c r="B7" s="64"/>
      <c r="C7" s="64" t="b">
        <f>EXACT(A7,B7)</f>
        <v>0</v>
      </c>
      <c r="D7" s="62"/>
      <c r="E7" s="62"/>
      <c r="F7" s="62"/>
    </row>
    <row r="8" ht="21" customHeight="1" spans="1:6">
      <c r="A8" s="75">
        <v>43109</v>
      </c>
      <c r="B8" s="76">
        <v>43109</v>
      </c>
      <c r="C8" s="64" t="b">
        <f>EXACT(A8,B8)</f>
        <v>1</v>
      </c>
      <c r="D8" s="62"/>
      <c r="E8" s="62"/>
      <c r="F8" s="62"/>
    </row>
    <row r="9" ht="21" customHeight="1" spans="1:6">
      <c r="A9" s="64">
        <v>200</v>
      </c>
      <c r="B9" s="77" t="s">
        <v>2138</v>
      </c>
      <c r="C9" s="64" t="b">
        <f>EXACT(A9,B9)</f>
        <v>1</v>
      </c>
      <c r="D9" s="62"/>
      <c r="E9" s="62"/>
      <c r="F9" s="62"/>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5"/>
  <sheetViews>
    <sheetView workbookViewId="0">
      <pane ySplit="2" topLeftCell="A3" activePane="bottomLeft" state="frozen"/>
      <selection/>
      <selection pane="bottomLeft" activeCell="A1" sqref="A1:F1"/>
    </sheetView>
  </sheetViews>
  <sheetFormatPr defaultColWidth="9" defaultRowHeight="13.5" outlineLevelCol="5"/>
  <cols>
    <col min="1" max="6" width="19" customWidth="1"/>
  </cols>
  <sheetData>
    <row r="1" ht="26" customHeight="1" spans="1:6">
      <c r="A1" s="2" t="s">
        <v>2139</v>
      </c>
      <c r="B1" s="2"/>
      <c r="C1" s="2"/>
      <c r="D1" s="2"/>
      <c r="E1" s="2"/>
      <c r="F1" s="2"/>
    </row>
    <row r="2" ht="70" customHeight="1" spans="1:6">
      <c r="A2" s="4" t="s">
        <v>2140</v>
      </c>
      <c r="B2" s="5"/>
      <c r="C2" s="5"/>
      <c r="D2" s="5"/>
      <c r="E2" s="5"/>
      <c r="F2" s="5"/>
    </row>
    <row r="3" ht="21" customHeight="1" spans="1:3">
      <c r="A3" s="45" t="s">
        <v>553</v>
      </c>
      <c r="B3" s="44" t="s">
        <v>2141</v>
      </c>
      <c r="C3" s="44"/>
    </row>
    <row r="4" ht="25" customHeight="1" spans="1:6">
      <c r="A4" s="62" t="s">
        <v>2101</v>
      </c>
      <c r="B4" s="62" t="s">
        <v>2142</v>
      </c>
      <c r="C4" s="62" t="s">
        <v>2101</v>
      </c>
      <c r="D4" s="62" t="s">
        <v>2142</v>
      </c>
      <c r="E4" s="62" t="s">
        <v>2101</v>
      </c>
      <c r="F4" s="62" t="s">
        <v>2142</v>
      </c>
    </row>
    <row r="5" ht="19" customHeight="1" spans="1:6">
      <c r="A5" s="65">
        <v>1</v>
      </c>
      <c r="B5" s="65" t="str">
        <f>CHAR(A5)</f>
        <v>_x0001_</v>
      </c>
      <c r="C5" s="74">
        <v>82</v>
      </c>
      <c r="D5" s="65" t="str">
        <f>CHAR(C5)</f>
        <v>R</v>
      </c>
      <c r="E5" s="64">
        <v>61</v>
      </c>
      <c r="F5" s="65" t="str">
        <f>CHAR(E5)</f>
        <v>=</v>
      </c>
    </row>
    <row r="6" ht="19" customHeight="1" spans="1:6">
      <c r="A6" s="65">
        <v>2</v>
      </c>
      <c r="B6" s="65" t="str">
        <f t="shared" ref="B6:B11" si="0">CHAR(A6)</f>
        <v>_x0002_</v>
      </c>
      <c r="C6" s="74">
        <v>83</v>
      </c>
      <c r="D6" s="65" t="str">
        <f t="shared" ref="D6:D34" si="1">CHAR(C6)</f>
        <v>S</v>
      </c>
      <c r="E6" s="64">
        <v>62</v>
      </c>
      <c r="F6" s="65" t="str">
        <f t="shared" ref="F6:F34" si="2">CHAR(E6)</f>
        <v>&gt;</v>
      </c>
    </row>
    <row r="7" ht="19" customHeight="1" spans="1:6">
      <c r="A7" s="65">
        <v>3</v>
      </c>
      <c r="B7" s="65" t="str">
        <f t="shared" si="0"/>
        <v>_x0003_</v>
      </c>
      <c r="C7" s="74">
        <v>84</v>
      </c>
      <c r="D7" s="65" t="str">
        <f t="shared" si="1"/>
        <v>T</v>
      </c>
      <c r="E7" s="64">
        <v>63</v>
      </c>
      <c r="F7" s="65" t="str">
        <f t="shared" si="2"/>
        <v>?</v>
      </c>
    </row>
    <row r="8" ht="19" customHeight="1" spans="1:6">
      <c r="A8" s="65">
        <v>4</v>
      </c>
      <c r="B8" s="65" t="str">
        <f t="shared" si="0"/>
        <v>_x0004_</v>
      </c>
      <c r="C8" s="74">
        <v>85</v>
      </c>
      <c r="D8" s="65" t="str">
        <f t="shared" si="1"/>
        <v>U</v>
      </c>
      <c r="E8" s="64">
        <v>64</v>
      </c>
      <c r="F8" s="65" t="str">
        <f t="shared" si="2"/>
        <v>@</v>
      </c>
    </row>
    <row r="9" ht="19" customHeight="1" spans="1:6">
      <c r="A9" s="65">
        <v>5</v>
      </c>
      <c r="B9" s="65" t="str">
        <f t="shared" si="0"/>
        <v>_x0005_</v>
      </c>
      <c r="C9" s="74">
        <v>86</v>
      </c>
      <c r="D9" s="65" t="str">
        <f t="shared" si="1"/>
        <v>V</v>
      </c>
      <c r="E9" s="64">
        <v>65</v>
      </c>
      <c r="F9" s="65" t="str">
        <f t="shared" si="2"/>
        <v>A</v>
      </c>
    </row>
    <row r="10" ht="19" customHeight="1" spans="1:6">
      <c r="A10" s="65">
        <v>6</v>
      </c>
      <c r="B10" s="65" t="str">
        <f t="shared" si="0"/>
        <v>_x0006_</v>
      </c>
      <c r="C10" s="74">
        <v>87</v>
      </c>
      <c r="D10" s="65" t="str">
        <f t="shared" si="1"/>
        <v>W</v>
      </c>
      <c r="E10" s="64">
        <v>66</v>
      </c>
      <c r="F10" s="65" t="str">
        <f t="shared" si="2"/>
        <v>B</v>
      </c>
    </row>
    <row r="11" ht="19" customHeight="1" spans="1:6">
      <c r="A11" s="65">
        <v>7</v>
      </c>
      <c r="B11" s="65" t="str">
        <f t="shared" si="0"/>
        <v>_x0007_</v>
      </c>
      <c r="C11" s="74">
        <v>88</v>
      </c>
      <c r="D11" s="65" t="str">
        <f t="shared" si="1"/>
        <v>X</v>
      </c>
      <c r="E11" s="64">
        <v>67</v>
      </c>
      <c r="F11" s="65" t="str">
        <f t="shared" si="2"/>
        <v>C</v>
      </c>
    </row>
    <row r="12" ht="19" customHeight="1" spans="1:6">
      <c r="A12" s="65">
        <v>8</v>
      </c>
      <c r="B12" s="65" t="str">
        <f t="shared" ref="B12:B24" si="3">CHAR(A12)</f>
        <v>_x0008_</v>
      </c>
      <c r="C12" s="74">
        <v>89</v>
      </c>
      <c r="D12" s="65" t="str">
        <f t="shared" si="1"/>
        <v>Y</v>
      </c>
      <c r="E12" s="64">
        <v>68</v>
      </c>
      <c r="F12" s="65" t="str">
        <f t="shared" si="2"/>
        <v>D</v>
      </c>
    </row>
    <row r="13" spans="1:6">
      <c r="A13" s="65">
        <v>9</v>
      </c>
      <c r="B13" s="65" t="str">
        <f t="shared" si="3"/>
        <v>	</v>
      </c>
      <c r="C13" s="74">
        <v>90</v>
      </c>
      <c r="D13" s="65" t="str">
        <f t="shared" si="1"/>
        <v>Z</v>
      </c>
      <c r="E13" s="64">
        <v>69</v>
      </c>
      <c r="F13" s="65" t="str">
        <f t="shared" si="2"/>
        <v>E</v>
      </c>
    </row>
    <row r="14" ht="27" spans="1:6">
      <c r="A14" s="65">
        <v>10</v>
      </c>
      <c r="B14" s="65" t="str">
        <f t="shared" si="3"/>
        <v>
</v>
      </c>
      <c r="C14" s="74">
        <v>91</v>
      </c>
      <c r="D14" s="65" t="str">
        <f t="shared" si="1"/>
        <v>[</v>
      </c>
      <c r="E14" s="64">
        <v>70</v>
      </c>
      <c r="F14" s="65" t="str">
        <f t="shared" si="2"/>
        <v>F</v>
      </c>
    </row>
    <row r="15" spans="1:6">
      <c r="A15" s="65">
        <v>11</v>
      </c>
      <c r="B15" s="65" t="str">
        <f t="shared" si="3"/>
        <v>_x000b_</v>
      </c>
      <c r="C15" s="74">
        <v>92</v>
      </c>
      <c r="D15" s="65" t="str">
        <f t="shared" si="1"/>
        <v>\</v>
      </c>
      <c r="E15" s="64">
        <v>71</v>
      </c>
      <c r="F15" s="65" t="str">
        <f t="shared" si="2"/>
        <v>G</v>
      </c>
    </row>
    <row r="16" spans="1:6">
      <c r="A16" s="65">
        <v>12</v>
      </c>
      <c r="B16" s="65" t="str">
        <f t="shared" si="3"/>
        <v>_x000c_</v>
      </c>
      <c r="C16" s="74">
        <v>93</v>
      </c>
      <c r="D16" s="65" t="str">
        <f t="shared" si="1"/>
        <v>]</v>
      </c>
      <c r="E16" s="64">
        <v>72</v>
      </c>
      <c r="F16" s="65" t="str">
        <f t="shared" si="2"/>
        <v>H</v>
      </c>
    </row>
    <row r="17" spans="1:6">
      <c r="A17" s="65">
        <v>13</v>
      </c>
      <c r="B17" s="65" t="str">
        <f t="shared" si="3"/>
        <v></v>
      </c>
      <c r="C17" s="74">
        <v>94</v>
      </c>
      <c r="D17" s="65" t="str">
        <f t="shared" si="1"/>
        <v>^</v>
      </c>
      <c r="E17" s="64">
        <v>73</v>
      </c>
      <c r="F17" s="65" t="str">
        <f t="shared" si="2"/>
        <v>I</v>
      </c>
    </row>
    <row r="18" spans="1:6">
      <c r="A18" s="65">
        <v>14</v>
      </c>
      <c r="B18" s="65" t="str">
        <f t="shared" si="3"/>
        <v>_x000e_</v>
      </c>
      <c r="C18" s="74">
        <v>95</v>
      </c>
      <c r="D18" s="65" t="str">
        <f t="shared" si="1"/>
        <v>_</v>
      </c>
      <c r="E18" s="64">
        <v>74</v>
      </c>
      <c r="F18" s="65" t="str">
        <f t="shared" si="2"/>
        <v>J</v>
      </c>
    </row>
    <row r="19" spans="1:6">
      <c r="A19" s="65">
        <v>15</v>
      </c>
      <c r="B19" s="65" t="str">
        <f t="shared" si="3"/>
        <v>_x000f_</v>
      </c>
      <c r="C19" s="74">
        <v>96</v>
      </c>
      <c r="D19" s="65" t="str">
        <f t="shared" si="1"/>
        <v>`</v>
      </c>
      <c r="E19" s="64">
        <v>75</v>
      </c>
      <c r="F19" s="65" t="str">
        <f t="shared" si="2"/>
        <v>K</v>
      </c>
    </row>
    <row r="20" spans="1:6">
      <c r="A20" s="65">
        <v>16</v>
      </c>
      <c r="B20" s="65" t="str">
        <f t="shared" si="3"/>
        <v>_x0010_</v>
      </c>
      <c r="C20" s="74">
        <v>97</v>
      </c>
      <c r="D20" s="65" t="str">
        <f t="shared" si="1"/>
        <v>a</v>
      </c>
      <c r="E20" s="64">
        <v>76</v>
      </c>
      <c r="F20" s="65" t="str">
        <f t="shared" si="2"/>
        <v>L</v>
      </c>
    </row>
    <row r="21" spans="1:6">
      <c r="A21" s="65">
        <v>17</v>
      </c>
      <c r="B21" s="65" t="str">
        <f t="shared" si="3"/>
        <v>_x0011_</v>
      </c>
      <c r="C21" s="74">
        <v>98</v>
      </c>
      <c r="D21" s="65" t="str">
        <f t="shared" si="1"/>
        <v>b</v>
      </c>
      <c r="E21" s="64">
        <v>77</v>
      </c>
      <c r="F21" s="65" t="str">
        <f t="shared" si="2"/>
        <v>M</v>
      </c>
    </row>
    <row r="22" spans="1:6">
      <c r="A22" s="65">
        <v>18</v>
      </c>
      <c r="B22" s="65" t="str">
        <f t="shared" si="3"/>
        <v>_x0012_</v>
      </c>
      <c r="C22" s="74">
        <v>99</v>
      </c>
      <c r="D22" s="65" t="str">
        <f t="shared" si="1"/>
        <v>c</v>
      </c>
      <c r="E22" s="64">
        <v>78</v>
      </c>
      <c r="F22" s="65" t="str">
        <f t="shared" si="2"/>
        <v>N</v>
      </c>
    </row>
    <row r="23" spans="1:6">
      <c r="A23" s="65">
        <v>19</v>
      </c>
      <c r="B23" s="65" t="str">
        <f t="shared" si="3"/>
        <v>_x0013_</v>
      </c>
      <c r="C23" s="74">
        <v>100</v>
      </c>
      <c r="D23" s="65" t="str">
        <f t="shared" si="1"/>
        <v>d</v>
      </c>
      <c r="E23" s="64">
        <v>79</v>
      </c>
      <c r="F23" s="65" t="str">
        <f t="shared" si="2"/>
        <v>O</v>
      </c>
    </row>
    <row r="24" spans="1:6">
      <c r="A24" s="65">
        <v>20</v>
      </c>
      <c r="B24" s="65" t="str">
        <f t="shared" si="3"/>
        <v>_x0014_</v>
      </c>
      <c r="C24" s="74">
        <v>101</v>
      </c>
      <c r="D24" s="65" t="str">
        <f t="shared" si="1"/>
        <v>e</v>
      </c>
      <c r="E24" s="64">
        <v>80</v>
      </c>
      <c r="F24" s="65" t="str">
        <f t="shared" si="2"/>
        <v>P</v>
      </c>
    </row>
    <row r="25" spans="1:6">
      <c r="A25" s="65">
        <v>21</v>
      </c>
      <c r="B25" s="65" t="str">
        <f t="shared" ref="B25:B34" si="4">CHAR(A25)</f>
        <v>_x0015_</v>
      </c>
      <c r="C25" s="74">
        <v>102</v>
      </c>
      <c r="D25" s="65" t="str">
        <f t="shared" si="1"/>
        <v>f</v>
      </c>
      <c r="E25" s="64">
        <v>81</v>
      </c>
      <c r="F25" s="65" t="str">
        <f t="shared" si="2"/>
        <v>Q</v>
      </c>
    </row>
    <row r="26" spans="1:6">
      <c r="A26" s="65">
        <v>22</v>
      </c>
      <c r="B26" s="65" t="str">
        <f t="shared" si="4"/>
        <v>_x0016_</v>
      </c>
      <c r="C26" s="74">
        <v>103</v>
      </c>
      <c r="D26" s="65" t="str">
        <f t="shared" si="1"/>
        <v>g</v>
      </c>
      <c r="E26" s="64">
        <v>82</v>
      </c>
      <c r="F26" s="65" t="str">
        <f t="shared" si="2"/>
        <v>R</v>
      </c>
    </row>
    <row r="27" spans="1:6">
      <c r="A27" s="65">
        <v>23</v>
      </c>
      <c r="B27" s="65" t="str">
        <f t="shared" si="4"/>
        <v>_x0017_</v>
      </c>
      <c r="C27" s="74">
        <v>104</v>
      </c>
      <c r="D27" s="65" t="str">
        <f t="shared" si="1"/>
        <v>h</v>
      </c>
      <c r="E27" s="64">
        <v>83</v>
      </c>
      <c r="F27" s="65" t="str">
        <f t="shared" si="2"/>
        <v>S</v>
      </c>
    </row>
    <row r="28" spans="1:6">
      <c r="A28" s="65">
        <v>24</v>
      </c>
      <c r="B28" s="65" t="str">
        <f t="shared" si="4"/>
        <v>_x0018_</v>
      </c>
      <c r="C28" s="74">
        <v>105</v>
      </c>
      <c r="D28" s="65" t="str">
        <f t="shared" si="1"/>
        <v>i</v>
      </c>
      <c r="E28" s="64">
        <v>84</v>
      </c>
      <c r="F28" s="65" t="str">
        <f t="shared" si="2"/>
        <v>T</v>
      </c>
    </row>
    <row r="29" spans="1:6">
      <c r="A29" s="65">
        <v>25</v>
      </c>
      <c r="B29" s="65" t="str">
        <f t="shared" si="4"/>
        <v>_x0019_</v>
      </c>
      <c r="C29" s="74">
        <v>106</v>
      </c>
      <c r="D29" s="65" t="str">
        <f t="shared" si="1"/>
        <v>j</v>
      </c>
      <c r="E29" s="64">
        <v>85</v>
      </c>
      <c r="F29" s="65" t="str">
        <f t="shared" si="2"/>
        <v>U</v>
      </c>
    </row>
    <row r="30" spans="1:6">
      <c r="A30" s="65">
        <v>26</v>
      </c>
      <c r="B30" s="65" t="str">
        <f t="shared" si="4"/>
        <v>_x001a_</v>
      </c>
      <c r="C30" s="74">
        <v>107</v>
      </c>
      <c r="D30" s="65" t="str">
        <f t="shared" si="1"/>
        <v>k</v>
      </c>
      <c r="E30" s="64">
        <v>86</v>
      </c>
      <c r="F30" s="65" t="str">
        <f t="shared" si="2"/>
        <v>V</v>
      </c>
    </row>
    <row r="31" spans="1:6">
      <c r="A31" s="65">
        <v>27</v>
      </c>
      <c r="B31" s="65" t="str">
        <f t="shared" si="4"/>
        <v>_x001b_</v>
      </c>
      <c r="C31" s="74">
        <v>108</v>
      </c>
      <c r="D31" s="65" t="str">
        <f t="shared" si="1"/>
        <v>l</v>
      </c>
      <c r="E31" s="64">
        <v>87</v>
      </c>
      <c r="F31" s="65" t="str">
        <f t="shared" si="2"/>
        <v>W</v>
      </c>
    </row>
    <row r="32" spans="1:6">
      <c r="A32" s="65">
        <v>28</v>
      </c>
      <c r="B32" s="65" t="str">
        <f t="shared" ref="B32:B63" si="5">CHAR(A32)</f>
        <v>_x001c_</v>
      </c>
      <c r="C32" s="74">
        <v>109</v>
      </c>
      <c r="D32" s="65" t="str">
        <f t="shared" si="1"/>
        <v>m</v>
      </c>
      <c r="E32" s="64">
        <v>88</v>
      </c>
      <c r="F32" s="65" t="str">
        <f t="shared" si="2"/>
        <v>X</v>
      </c>
    </row>
    <row r="33" spans="1:6">
      <c r="A33" s="65">
        <v>29</v>
      </c>
      <c r="B33" s="65" t="str">
        <f t="shared" si="5"/>
        <v>_x001d_</v>
      </c>
      <c r="C33" s="74">
        <v>110</v>
      </c>
      <c r="D33" s="65" t="str">
        <f t="shared" si="1"/>
        <v>n</v>
      </c>
      <c r="E33" s="64">
        <v>89</v>
      </c>
      <c r="F33" s="65" t="str">
        <f t="shared" si="2"/>
        <v>Y</v>
      </c>
    </row>
    <row r="34" spans="1:6">
      <c r="A34" s="65">
        <v>30</v>
      </c>
      <c r="B34" s="65" t="str">
        <f t="shared" si="5"/>
        <v>_x001e_</v>
      </c>
      <c r="C34" s="74">
        <v>111</v>
      </c>
      <c r="D34" s="65" t="str">
        <f t="shared" si="1"/>
        <v>o</v>
      </c>
      <c r="E34" s="64">
        <v>90</v>
      </c>
      <c r="F34" s="65" t="str">
        <f t="shared" si="2"/>
        <v>Z</v>
      </c>
    </row>
    <row r="35" spans="1:4">
      <c r="A35" s="65">
        <v>31</v>
      </c>
      <c r="B35" s="65" t="str">
        <f t="shared" si="5"/>
        <v>_x001f_</v>
      </c>
      <c r="C35" s="74">
        <v>112</v>
      </c>
      <c r="D35" s="65" t="str">
        <f t="shared" ref="D35:D66" si="6">CHAR(C35)</f>
        <v>p</v>
      </c>
    </row>
    <row r="36" spans="1:4">
      <c r="A36" s="65">
        <v>32</v>
      </c>
      <c r="B36" s="65" t="str">
        <f t="shared" si="5"/>
        <v> </v>
      </c>
      <c r="C36" s="74">
        <v>113</v>
      </c>
      <c r="D36" s="65" t="str">
        <f t="shared" si="6"/>
        <v>q</v>
      </c>
    </row>
    <row r="37" spans="1:4">
      <c r="A37" s="65">
        <v>33</v>
      </c>
      <c r="B37" s="65" t="str">
        <f t="shared" si="5"/>
        <v>!</v>
      </c>
      <c r="C37" s="74">
        <v>114</v>
      </c>
      <c r="D37" s="65" t="str">
        <f t="shared" si="6"/>
        <v>r</v>
      </c>
    </row>
    <row r="38" spans="1:4">
      <c r="A38" s="65">
        <v>34</v>
      </c>
      <c r="B38" s="65" t="str">
        <f t="shared" si="5"/>
        <v>"</v>
      </c>
      <c r="C38" s="74">
        <v>115</v>
      </c>
      <c r="D38" s="65" t="str">
        <f t="shared" si="6"/>
        <v>s</v>
      </c>
    </row>
    <row r="39" spans="1:4">
      <c r="A39" s="65">
        <v>35</v>
      </c>
      <c r="B39" s="65" t="str">
        <f t="shared" si="5"/>
        <v>#</v>
      </c>
      <c r="C39" s="74">
        <v>116</v>
      </c>
      <c r="D39" s="65" t="str">
        <f t="shared" si="6"/>
        <v>t</v>
      </c>
    </row>
    <row r="40" spans="1:4">
      <c r="A40" s="65">
        <v>36</v>
      </c>
      <c r="B40" s="65" t="str">
        <f t="shared" si="5"/>
        <v>$</v>
      </c>
      <c r="C40" s="74">
        <v>117</v>
      </c>
      <c r="D40" s="65" t="str">
        <f t="shared" si="6"/>
        <v>u</v>
      </c>
    </row>
    <row r="41" spans="1:4">
      <c r="A41" s="65">
        <v>37</v>
      </c>
      <c r="B41" s="65" t="str">
        <f t="shared" si="5"/>
        <v>%</v>
      </c>
      <c r="C41" s="74">
        <v>118</v>
      </c>
      <c r="D41" s="65" t="str">
        <f t="shared" si="6"/>
        <v>v</v>
      </c>
    </row>
    <row r="42" spans="1:4">
      <c r="A42" s="65">
        <v>38</v>
      </c>
      <c r="B42" s="65" t="str">
        <f t="shared" si="5"/>
        <v>&amp;</v>
      </c>
      <c r="C42" s="74">
        <v>119</v>
      </c>
      <c r="D42" s="65" t="str">
        <f t="shared" si="6"/>
        <v>w</v>
      </c>
    </row>
    <row r="43" spans="1:4">
      <c r="A43" s="65">
        <v>39</v>
      </c>
      <c r="B43" s="65" t="str">
        <f t="shared" si="5"/>
        <v>'</v>
      </c>
      <c r="C43" s="74">
        <v>120</v>
      </c>
      <c r="D43" s="65" t="str">
        <f t="shared" si="6"/>
        <v>x</v>
      </c>
    </row>
    <row r="44" spans="1:4">
      <c r="A44" s="65">
        <v>40</v>
      </c>
      <c r="B44" s="65" t="str">
        <f t="shared" si="5"/>
        <v>(</v>
      </c>
      <c r="C44" s="74">
        <v>121</v>
      </c>
      <c r="D44" s="65" t="str">
        <f t="shared" si="6"/>
        <v>y</v>
      </c>
    </row>
    <row r="45" spans="1:4">
      <c r="A45" s="65">
        <v>41</v>
      </c>
      <c r="B45" s="65" t="str">
        <f t="shared" si="5"/>
        <v>)</v>
      </c>
      <c r="C45" s="74">
        <v>122</v>
      </c>
      <c r="D45" s="65" t="str">
        <f t="shared" si="6"/>
        <v>z</v>
      </c>
    </row>
    <row r="46" spans="1:4">
      <c r="A46" s="65">
        <v>42</v>
      </c>
      <c r="B46" s="65" t="str">
        <f t="shared" si="5"/>
        <v>*</v>
      </c>
      <c r="C46" s="74">
        <v>123</v>
      </c>
      <c r="D46" s="65" t="str">
        <f t="shared" si="6"/>
        <v>{</v>
      </c>
    </row>
    <row r="47" spans="1:4">
      <c r="A47" s="65">
        <v>43</v>
      </c>
      <c r="B47" s="65" t="str">
        <f t="shared" si="5"/>
        <v>+</v>
      </c>
      <c r="C47" s="74">
        <v>124</v>
      </c>
      <c r="D47" s="65" t="str">
        <f t="shared" si="6"/>
        <v>|</v>
      </c>
    </row>
    <row r="48" spans="1:4">
      <c r="A48" s="65">
        <v>44</v>
      </c>
      <c r="B48" s="65" t="str">
        <f t="shared" si="5"/>
        <v>,</v>
      </c>
      <c r="C48" s="74">
        <v>125</v>
      </c>
      <c r="D48" s="65" t="str">
        <f t="shared" si="6"/>
        <v>}</v>
      </c>
    </row>
    <row r="49" spans="1:4">
      <c r="A49" s="65">
        <v>45</v>
      </c>
      <c r="B49" s="65" t="str">
        <f t="shared" si="5"/>
        <v>-</v>
      </c>
      <c r="C49" s="74">
        <v>126</v>
      </c>
      <c r="D49" s="65" t="str">
        <f t="shared" si="6"/>
        <v>~</v>
      </c>
    </row>
    <row r="50" spans="1:4">
      <c r="A50" s="65">
        <v>46</v>
      </c>
      <c r="B50" s="65" t="str">
        <f t="shared" si="5"/>
        <v>.</v>
      </c>
      <c r="C50" s="74">
        <v>127</v>
      </c>
      <c r="D50" s="65" t="str">
        <f t="shared" si="6"/>
        <v></v>
      </c>
    </row>
    <row r="51" spans="1:4">
      <c r="A51" s="65">
        <v>47</v>
      </c>
      <c r="B51" s="65" t="str">
        <f t="shared" si="5"/>
        <v>/</v>
      </c>
      <c r="C51" s="74">
        <v>128</v>
      </c>
      <c r="D51" s="65" t="str">
        <f t="shared" si="6"/>
        <v>€</v>
      </c>
    </row>
    <row r="52" spans="1:4">
      <c r="A52" s="65">
        <v>48</v>
      </c>
      <c r="B52" s="65" t="str">
        <f t="shared" si="5"/>
        <v>0</v>
      </c>
      <c r="C52" s="74">
        <v>129</v>
      </c>
      <c r="D52" s="65" t="str">
        <f t="shared" si="6"/>
        <v> </v>
      </c>
    </row>
    <row r="53" spans="1:4">
      <c r="A53" s="65">
        <v>49</v>
      </c>
      <c r="B53" s="65" t="str">
        <f t="shared" si="5"/>
        <v>1</v>
      </c>
      <c r="C53" s="74">
        <v>130</v>
      </c>
      <c r="D53" s="65" t="str">
        <f t="shared" si="6"/>
        <v> </v>
      </c>
    </row>
    <row r="54" spans="1:4">
      <c r="A54" s="65">
        <v>50</v>
      </c>
      <c r="B54" s="65" t="str">
        <f t="shared" si="5"/>
        <v>2</v>
      </c>
      <c r="C54" s="74">
        <v>131</v>
      </c>
      <c r="D54" s="65" t="str">
        <f t="shared" si="6"/>
        <v> </v>
      </c>
    </row>
    <row r="55" spans="1:4">
      <c r="A55" s="65">
        <v>51</v>
      </c>
      <c r="B55" s="65" t="str">
        <f t="shared" si="5"/>
        <v>3</v>
      </c>
      <c r="C55" s="74">
        <v>132</v>
      </c>
      <c r="D55" s="65" t="str">
        <f t="shared" si="6"/>
        <v> </v>
      </c>
    </row>
    <row r="56" spans="1:4">
      <c r="A56" s="65">
        <v>52</v>
      </c>
      <c r="B56" s="65" t="str">
        <f t="shared" si="5"/>
        <v>4</v>
      </c>
      <c r="C56" s="74">
        <v>133</v>
      </c>
      <c r="D56" s="65" t="str">
        <f t="shared" si="6"/>
        <v> </v>
      </c>
    </row>
    <row r="57" spans="1:4">
      <c r="A57" s="65">
        <v>53</v>
      </c>
      <c r="B57" s="65" t="str">
        <f t="shared" si="5"/>
        <v>5</v>
      </c>
      <c r="C57" s="74">
        <v>134</v>
      </c>
      <c r="D57" s="65" t="str">
        <f t="shared" si="6"/>
        <v> </v>
      </c>
    </row>
    <row r="58" spans="1:4">
      <c r="A58" s="65">
        <v>54</v>
      </c>
      <c r="B58" s="65" t="str">
        <f t="shared" si="5"/>
        <v>6</v>
      </c>
      <c r="C58" s="74">
        <v>135</v>
      </c>
      <c r="D58" s="65" t="str">
        <f t="shared" si="6"/>
        <v> </v>
      </c>
    </row>
    <row r="59" spans="1:4">
      <c r="A59" s="65">
        <v>55</v>
      </c>
      <c r="B59" s="65" t="str">
        <f t="shared" si="5"/>
        <v>7</v>
      </c>
      <c r="C59" s="74">
        <v>136</v>
      </c>
      <c r="D59" s="65" t="str">
        <f t="shared" si="6"/>
        <v> </v>
      </c>
    </row>
    <row r="60" spans="1:4">
      <c r="A60" s="65">
        <v>56</v>
      </c>
      <c r="B60" s="65" t="str">
        <f t="shared" si="5"/>
        <v>8</v>
      </c>
      <c r="C60" s="74">
        <v>137</v>
      </c>
      <c r="D60" s="65" t="str">
        <f t="shared" si="6"/>
        <v> </v>
      </c>
    </row>
    <row r="61" spans="1:4">
      <c r="A61" s="65">
        <v>57</v>
      </c>
      <c r="B61" s="65" t="str">
        <f t="shared" si="5"/>
        <v>9</v>
      </c>
      <c r="C61" s="74">
        <v>138</v>
      </c>
      <c r="D61" s="65" t="str">
        <f t="shared" si="6"/>
        <v> </v>
      </c>
    </row>
    <row r="62" spans="1:4">
      <c r="A62" s="65">
        <v>58</v>
      </c>
      <c r="B62" s="65" t="str">
        <f t="shared" si="5"/>
        <v>:</v>
      </c>
      <c r="C62" s="74">
        <v>139</v>
      </c>
      <c r="D62" s="65" t="str">
        <f t="shared" si="6"/>
        <v> </v>
      </c>
    </row>
    <row r="63" spans="1:4">
      <c r="A63" s="65">
        <v>59</v>
      </c>
      <c r="B63" s="65" t="str">
        <f t="shared" si="5"/>
        <v>;</v>
      </c>
      <c r="C63" s="74">
        <v>140</v>
      </c>
      <c r="D63" s="65" t="str">
        <f t="shared" si="6"/>
        <v> </v>
      </c>
    </row>
    <row r="64" spans="1:4">
      <c r="A64" s="65">
        <v>60</v>
      </c>
      <c r="B64" s="65" t="str">
        <f t="shared" ref="B64:B85" si="7">CHAR(A64)</f>
        <v>&lt;</v>
      </c>
      <c r="C64" s="74">
        <v>141</v>
      </c>
      <c r="D64" s="65" t="str">
        <f t="shared" si="6"/>
        <v> </v>
      </c>
    </row>
    <row r="65" spans="1:4">
      <c r="A65" s="65">
        <v>61</v>
      </c>
      <c r="B65" s="65" t="str">
        <f t="shared" si="7"/>
        <v>=</v>
      </c>
      <c r="C65" s="74">
        <v>142</v>
      </c>
      <c r="D65" s="65" t="str">
        <f t="shared" si="6"/>
        <v> </v>
      </c>
    </row>
    <row r="66" spans="1:4">
      <c r="A66" s="65">
        <v>62</v>
      </c>
      <c r="B66" s="65" t="str">
        <f t="shared" si="7"/>
        <v>&gt;</v>
      </c>
      <c r="C66" s="74">
        <v>143</v>
      </c>
      <c r="D66" s="65" t="str">
        <f t="shared" si="6"/>
        <v> </v>
      </c>
    </row>
    <row r="67" spans="1:4">
      <c r="A67" s="65">
        <v>63</v>
      </c>
      <c r="B67" s="65" t="str">
        <f t="shared" si="7"/>
        <v>?</v>
      </c>
      <c r="C67" s="74">
        <v>144</v>
      </c>
      <c r="D67" s="65" t="str">
        <f t="shared" ref="D67:D85" si="8">CHAR(C67)</f>
        <v> </v>
      </c>
    </row>
    <row r="68" spans="1:4">
      <c r="A68" s="65">
        <v>64</v>
      </c>
      <c r="B68" s="65" t="str">
        <f t="shared" si="7"/>
        <v>@</v>
      </c>
      <c r="C68" s="74">
        <v>145</v>
      </c>
      <c r="D68" s="65" t="str">
        <f t="shared" si="8"/>
        <v> </v>
      </c>
    </row>
    <row r="69" spans="1:4">
      <c r="A69" s="65">
        <v>65</v>
      </c>
      <c r="B69" s="65" t="str">
        <f t="shared" si="7"/>
        <v>A</v>
      </c>
      <c r="C69" s="74">
        <v>146</v>
      </c>
      <c r="D69" s="65" t="str">
        <f t="shared" si="8"/>
        <v> </v>
      </c>
    </row>
    <row r="70" spans="1:4">
      <c r="A70" s="65">
        <v>66</v>
      </c>
      <c r="B70" s="65" t="str">
        <f t="shared" si="7"/>
        <v>B</v>
      </c>
      <c r="C70" s="74">
        <v>147</v>
      </c>
      <c r="D70" s="65" t="str">
        <f t="shared" si="8"/>
        <v> </v>
      </c>
    </row>
    <row r="71" spans="1:4">
      <c r="A71" s="65">
        <v>67</v>
      </c>
      <c r="B71" s="65" t="str">
        <f t="shared" si="7"/>
        <v>C</v>
      </c>
      <c r="C71" s="74">
        <v>148</v>
      </c>
      <c r="D71" s="65" t="str">
        <f t="shared" si="8"/>
        <v> </v>
      </c>
    </row>
    <row r="72" spans="1:4">
      <c r="A72" s="65">
        <v>68</v>
      </c>
      <c r="B72" s="65" t="str">
        <f t="shared" si="7"/>
        <v>D</v>
      </c>
      <c r="C72" s="74">
        <v>149</v>
      </c>
      <c r="D72" s="65" t="str">
        <f t="shared" si="8"/>
        <v> </v>
      </c>
    </row>
    <row r="73" spans="1:4">
      <c r="A73" s="65">
        <v>69</v>
      </c>
      <c r="B73" s="65" t="str">
        <f t="shared" si="7"/>
        <v>E</v>
      </c>
      <c r="C73" s="74">
        <v>150</v>
      </c>
      <c r="D73" s="65" t="str">
        <f t="shared" si="8"/>
        <v> </v>
      </c>
    </row>
    <row r="74" spans="1:4">
      <c r="A74" s="65">
        <v>70</v>
      </c>
      <c r="B74" s="65" t="str">
        <f t="shared" si="7"/>
        <v>F</v>
      </c>
      <c r="C74" s="74">
        <v>151</v>
      </c>
      <c r="D74" s="65" t="str">
        <f t="shared" si="8"/>
        <v> </v>
      </c>
    </row>
    <row r="75" spans="1:4">
      <c r="A75" s="65">
        <v>71</v>
      </c>
      <c r="B75" s="65" t="str">
        <f t="shared" si="7"/>
        <v>G</v>
      </c>
      <c r="C75" s="74">
        <v>152</v>
      </c>
      <c r="D75" s="65" t="str">
        <f t="shared" si="8"/>
        <v> </v>
      </c>
    </row>
    <row r="76" spans="1:4">
      <c r="A76" s="65">
        <v>72</v>
      </c>
      <c r="B76" s="65" t="str">
        <f t="shared" si="7"/>
        <v>H</v>
      </c>
      <c r="C76" s="74">
        <v>153</v>
      </c>
      <c r="D76" s="65" t="str">
        <f t="shared" si="8"/>
        <v> </v>
      </c>
    </row>
    <row r="77" spans="1:4">
      <c r="A77" s="65">
        <v>73</v>
      </c>
      <c r="B77" s="65" t="str">
        <f t="shared" si="7"/>
        <v>I</v>
      </c>
      <c r="C77" s="74">
        <v>154</v>
      </c>
      <c r="D77" s="65" t="str">
        <f t="shared" si="8"/>
        <v> </v>
      </c>
    </row>
    <row r="78" spans="1:4">
      <c r="A78" s="65">
        <v>74</v>
      </c>
      <c r="B78" s="65" t="str">
        <f t="shared" si="7"/>
        <v>J</v>
      </c>
      <c r="C78" s="74">
        <v>155</v>
      </c>
      <c r="D78" s="65" t="str">
        <f t="shared" si="8"/>
        <v> </v>
      </c>
    </row>
    <row r="79" spans="1:4">
      <c r="A79" s="65">
        <v>75</v>
      </c>
      <c r="B79" s="65" t="str">
        <f t="shared" si="7"/>
        <v>K</v>
      </c>
      <c r="C79" s="74">
        <v>156</v>
      </c>
      <c r="D79" s="65" t="str">
        <f t="shared" si="8"/>
        <v> </v>
      </c>
    </row>
    <row r="80" spans="1:4">
      <c r="A80" s="65">
        <v>76</v>
      </c>
      <c r="B80" s="65" t="str">
        <f t="shared" si="7"/>
        <v>L</v>
      </c>
      <c r="C80" s="74">
        <v>157</v>
      </c>
      <c r="D80" s="65" t="str">
        <f t="shared" si="8"/>
        <v> </v>
      </c>
    </row>
    <row r="81" spans="1:4">
      <c r="A81" s="65">
        <v>77</v>
      </c>
      <c r="B81" s="65" t="str">
        <f t="shared" si="7"/>
        <v>M</v>
      </c>
      <c r="C81" s="74">
        <v>158</v>
      </c>
      <c r="D81" s="65" t="str">
        <f t="shared" si="8"/>
        <v> </v>
      </c>
    </row>
    <row r="82" spans="1:4">
      <c r="A82" s="65">
        <v>78</v>
      </c>
      <c r="B82" s="65" t="str">
        <f t="shared" si="7"/>
        <v>N</v>
      </c>
      <c r="C82" s="74">
        <v>159</v>
      </c>
      <c r="D82" s="65" t="str">
        <f t="shared" si="8"/>
        <v> </v>
      </c>
    </row>
    <row r="83" spans="1:4">
      <c r="A83" s="65">
        <v>79</v>
      </c>
      <c r="B83" s="65" t="str">
        <f t="shared" si="7"/>
        <v>O</v>
      </c>
      <c r="C83" s="74">
        <v>160</v>
      </c>
      <c r="D83" s="65" t="str">
        <f t="shared" si="8"/>
        <v> </v>
      </c>
    </row>
    <row r="84" spans="1:4">
      <c r="A84" s="65">
        <v>80</v>
      </c>
      <c r="B84" s="65" t="str">
        <f t="shared" si="7"/>
        <v>P</v>
      </c>
      <c r="C84" s="74">
        <v>161</v>
      </c>
      <c r="D84" s="65" t="str">
        <f t="shared" si="8"/>
        <v> </v>
      </c>
    </row>
    <row r="85" spans="1:4">
      <c r="A85" s="65">
        <v>81</v>
      </c>
      <c r="B85" s="65" t="str">
        <f t="shared" si="7"/>
        <v>Q</v>
      </c>
      <c r="C85" s="74">
        <v>162</v>
      </c>
      <c r="D85" s="65" t="str">
        <f t="shared" si="8"/>
        <v> </v>
      </c>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2143</v>
      </c>
      <c r="B1" s="2"/>
      <c r="C1" s="2"/>
      <c r="D1" s="2"/>
      <c r="E1" s="2"/>
      <c r="F1" s="2"/>
    </row>
    <row r="2" ht="78" customHeight="1" spans="1:6">
      <c r="A2" s="4" t="s">
        <v>2144</v>
      </c>
      <c r="B2" s="5"/>
      <c r="C2" s="5"/>
      <c r="D2" s="5"/>
      <c r="E2" s="5"/>
      <c r="F2" s="5"/>
    </row>
    <row r="3" ht="21" customHeight="1" spans="1:3">
      <c r="A3" s="45" t="s">
        <v>553</v>
      </c>
      <c r="B3" s="44" t="s">
        <v>2132</v>
      </c>
      <c r="C3" s="44"/>
    </row>
    <row r="4" ht="20" customHeight="1" spans="1:6">
      <c r="A4" s="62" t="s">
        <v>2145</v>
      </c>
      <c r="B4" s="62" t="s">
        <v>2146</v>
      </c>
      <c r="C4" s="62" t="s">
        <v>2147</v>
      </c>
      <c r="D4" s="62" t="s">
        <v>2148</v>
      </c>
      <c r="E4" s="62" t="s">
        <v>560</v>
      </c>
      <c r="F4" s="62"/>
    </row>
    <row r="5" ht="20" customHeight="1" spans="1:6">
      <c r="A5" s="64" t="s">
        <v>2149</v>
      </c>
      <c r="B5" s="64" t="s">
        <v>2150</v>
      </c>
      <c r="C5" s="64" t="s">
        <v>2151</v>
      </c>
      <c r="D5" s="62" t="str">
        <f>CONCATENATE(A5,B5,C5)</f>
        <v>河北省沧州黄骅市</v>
      </c>
      <c r="E5" s="62" t="str">
        <f>_xlfn.FORMULATEXT(D5)</f>
        <v>=CONCATENATE(A5,B5,C5)</v>
      </c>
      <c r="F5" s="62"/>
    </row>
    <row r="6" ht="20" customHeight="1" spans="1:6">
      <c r="A6" s="64" t="s">
        <v>2149</v>
      </c>
      <c r="B6" s="64" t="s">
        <v>2150</v>
      </c>
      <c r="C6" s="64" t="s">
        <v>2151</v>
      </c>
      <c r="D6" s="62" t="str">
        <f>CONCATENATE("我的家乡是",A6,B6,C6)</f>
        <v>我的家乡是河北省沧州黄骅市</v>
      </c>
      <c r="E6" s="62" t="str">
        <f>_xlfn.FORMULATEXT(D6)</f>
        <v>=CONCATENATE("我的家乡是",A6,B6,C6)</v>
      </c>
      <c r="F6" s="62"/>
    </row>
    <row r="7" ht="20" customHeight="1" spans="1:6">
      <c r="A7" s="64" t="s">
        <v>2149</v>
      </c>
      <c r="B7" s="64" t="s">
        <v>2150</v>
      </c>
      <c r="C7" s="64" t="s">
        <v>2151</v>
      </c>
      <c r="D7" s="62" t="str">
        <f>A7&amp;B7&amp;C7</f>
        <v>河北省沧州黄骅市</v>
      </c>
      <c r="E7" s="62" t="str">
        <f>_xlfn.FORMULATEXT(D7)</f>
        <v>=A7&amp;B7&amp;C7</v>
      </c>
      <c r="F7" s="62"/>
    </row>
    <row r="8" ht="20" customHeight="1" spans="1:6">
      <c r="A8" s="64" t="s">
        <v>2149</v>
      </c>
      <c r="B8" s="64" t="s">
        <v>2150</v>
      </c>
      <c r="C8" s="64" t="s">
        <v>2151</v>
      </c>
      <c r="D8" s="62" t="str">
        <f>_xlfn.CONCAT(A8:C8)</f>
        <v>河北省沧州黄骅市</v>
      </c>
      <c r="E8" s="62" t="str">
        <f>_xlfn.FORMULATEXT(D8)</f>
        <v>=CONCAT(A8:C8)</v>
      </c>
      <c r="F8" s="62"/>
    </row>
    <row r="9" ht="20" customHeight="1" spans="1:6">
      <c r="A9" s="64" t="s">
        <v>2149</v>
      </c>
      <c r="B9" s="64" t="s">
        <v>2150</v>
      </c>
      <c r="C9" s="64" t="s">
        <v>2151</v>
      </c>
      <c r="D9" s="62" t="str">
        <f>_xlfn.CONCAT(A9,B9,C9)</f>
        <v>河北省沧州黄骅市</v>
      </c>
      <c r="E9" s="62" t="str">
        <f>_xlfn.FORMULATEXT(D9)</f>
        <v>=CONCAT(A9,B9,C9)</v>
      </c>
      <c r="F9" s="62"/>
    </row>
    <row r="10" ht="18" spans="1:2">
      <c r="A10" s="45" t="s">
        <v>574</v>
      </c>
      <c r="B10" t="s">
        <v>2152</v>
      </c>
    </row>
    <row r="11" ht="21" customHeight="1" spans="1:6">
      <c r="A11" s="35" t="s">
        <v>2153</v>
      </c>
      <c r="B11" s="35"/>
      <c r="C11" s="35"/>
      <c r="D11" s="35"/>
      <c r="E11" s="35"/>
      <c r="F11" s="35"/>
    </row>
    <row r="12" ht="21" customHeight="1" spans="1:6">
      <c r="A12" s="35" t="s">
        <v>2154</v>
      </c>
      <c r="B12" s="35"/>
      <c r="C12" s="35"/>
      <c r="D12" s="35"/>
      <c r="E12" s="35"/>
      <c r="F12" s="35"/>
    </row>
    <row r="13" ht="20" customHeight="1" spans="1:6">
      <c r="A13" s="35" t="s">
        <v>2155</v>
      </c>
      <c r="B13" s="35"/>
      <c r="C13" s="35"/>
      <c r="D13" s="35"/>
      <c r="E13" s="35"/>
      <c r="F13" s="35"/>
    </row>
  </sheetData>
  <mergeCells count="5">
    <mergeCell ref="A1:F1"/>
    <mergeCell ref="A2:F2"/>
    <mergeCell ref="A11:F11"/>
    <mergeCell ref="A12:F12"/>
    <mergeCell ref="A13:F13"/>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2156</v>
      </c>
      <c r="B1" s="2"/>
      <c r="C1" s="2"/>
      <c r="D1" s="2"/>
      <c r="E1" s="2"/>
      <c r="F1" s="2"/>
    </row>
    <row r="2" ht="60" customHeight="1" spans="1:6">
      <c r="A2" s="4" t="s">
        <v>2157</v>
      </c>
      <c r="B2" s="5"/>
      <c r="C2" s="5"/>
      <c r="D2" s="5"/>
      <c r="E2" s="5"/>
      <c r="F2" s="5"/>
    </row>
    <row r="3" ht="21" customHeight="1" spans="1:3">
      <c r="A3" s="45" t="s">
        <v>553</v>
      </c>
      <c r="B3" s="44" t="s">
        <v>2132</v>
      </c>
      <c r="C3" s="44"/>
    </row>
    <row r="4" ht="20" customHeight="1" spans="1:6">
      <c r="A4" s="62" t="s">
        <v>2145</v>
      </c>
      <c r="B4" s="62" t="s">
        <v>2146</v>
      </c>
      <c r="C4" s="62" t="s">
        <v>2147</v>
      </c>
      <c r="D4" s="62" t="s">
        <v>2148</v>
      </c>
      <c r="E4" s="62" t="s">
        <v>560</v>
      </c>
      <c r="F4" s="62"/>
    </row>
    <row r="5" ht="20" customHeight="1" spans="1:6">
      <c r="A5" s="64" t="s">
        <v>2149</v>
      </c>
      <c r="B5" s="64" t="s">
        <v>2150</v>
      </c>
      <c r="C5" s="64" t="s">
        <v>2151</v>
      </c>
      <c r="D5" s="62" t="str">
        <f>CONCATENATE("我的家乡是",A5,B5,C5)</f>
        <v>我的家乡是河北省沧州黄骅市</v>
      </c>
      <c r="E5" s="62" t="str">
        <f>_xlfn.FORMULATEXT(D5)</f>
        <v>=CONCATENATE("我的家乡是",A5,B5,C5)</v>
      </c>
      <c r="F5" s="62"/>
    </row>
    <row r="6" ht="20" customHeight="1" spans="1:6">
      <c r="A6" s="64" t="s">
        <v>2149</v>
      </c>
      <c r="B6" s="64" t="s">
        <v>2150</v>
      </c>
      <c r="C6" s="64" t="s">
        <v>2151</v>
      </c>
      <c r="D6" s="62" t="str">
        <f>_xlfn.CONCAT(A6:C6)</f>
        <v>河北省沧州黄骅市</v>
      </c>
      <c r="E6" s="62" t="str">
        <f>_xlfn.FORMULATEXT(D6)</f>
        <v>=CONCAT(A6:C6)</v>
      </c>
      <c r="F6" s="62"/>
    </row>
    <row r="7" ht="20" customHeight="1" spans="1:6">
      <c r="A7" s="64" t="s">
        <v>2149</v>
      </c>
      <c r="B7" s="64" t="s">
        <v>2150</v>
      </c>
      <c r="C7" s="64" t="s">
        <v>2151</v>
      </c>
      <c r="D7" s="62" t="str">
        <f>_xlfn.CONCAT(A7,B7,C7)</f>
        <v>河北省沧州黄骅市</v>
      </c>
      <c r="E7" s="62" t="str">
        <f>_xlfn.FORMULATEXT(D7)</f>
        <v>=CONCAT(A7,B7,C7)</v>
      </c>
      <c r="F7" s="62"/>
    </row>
    <row r="8" ht="18" spans="1:2">
      <c r="A8" s="45" t="s">
        <v>574</v>
      </c>
      <c r="B8" t="s">
        <v>2152</v>
      </c>
    </row>
    <row r="9" ht="21" customHeight="1" spans="1:6">
      <c r="A9" s="35" t="s">
        <v>2153</v>
      </c>
      <c r="B9" s="35"/>
      <c r="C9" s="35"/>
      <c r="D9" s="35"/>
      <c r="E9" s="35"/>
      <c r="F9" s="35"/>
    </row>
    <row r="10" ht="21" customHeight="1" spans="1:6">
      <c r="A10" s="35" t="s">
        <v>2154</v>
      </c>
      <c r="B10" s="35"/>
      <c r="C10" s="35"/>
      <c r="D10" s="35"/>
      <c r="E10" s="35"/>
      <c r="F10" s="35"/>
    </row>
    <row r="11" ht="20" customHeight="1" spans="1:6">
      <c r="A11" s="35" t="s">
        <v>2155</v>
      </c>
      <c r="B11" s="35"/>
      <c r="C11" s="35"/>
      <c r="D11" s="35"/>
      <c r="E11" s="35"/>
      <c r="F11" s="35"/>
    </row>
    <row r="12" ht="18" spans="1:1">
      <c r="A12" s="45" t="s">
        <v>2158</v>
      </c>
    </row>
    <row r="13" ht="16.5" spans="1:6">
      <c r="A13" s="21" t="s">
        <v>2159</v>
      </c>
      <c r="B13" s="21" t="s">
        <v>2160</v>
      </c>
      <c r="C13" s="21" t="s">
        <v>2161</v>
      </c>
      <c r="D13" s="21" t="s">
        <v>2162</v>
      </c>
      <c r="E13" s="21" t="str">
        <f t="array" ref="E13">_xlfn.CONCAT(A13:D13&amp;" ")</f>
        <v>学习 word excel wps </v>
      </c>
      <c r="F13" s="21"/>
    </row>
    <row r="14" ht="18" spans="1:6">
      <c r="A14" s="45" t="s">
        <v>2163</v>
      </c>
      <c r="B14" s="21" t="s">
        <v>2164</v>
      </c>
      <c r="C14" s="21"/>
      <c r="D14" s="21"/>
      <c r="E14" s="21"/>
      <c r="F14" s="21"/>
    </row>
    <row r="15" ht="15" spans="1:5">
      <c r="A15" s="71" t="s">
        <v>1759</v>
      </c>
      <c r="B15" s="71" t="s">
        <v>594</v>
      </c>
      <c r="C15" s="71" t="s">
        <v>2165</v>
      </c>
      <c r="D15" s="41" t="s">
        <v>1759</v>
      </c>
      <c r="E15" s="41" t="s">
        <v>2166</v>
      </c>
    </row>
    <row r="16" ht="16.5" spans="1:5">
      <c r="A16" s="21" t="s">
        <v>2167</v>
      </c>
      <c r="B16" s="21" t="s">
        <v>2168</v>
      </c>
      <c r="C16" s="21" t="s">
        <v>2169</v>
      </c>
      <c r="D16" s="23" t="s">
        <v>2167</v>
      </c>
      <c r="E16" s="23" t="str">
        <f t="array" ref="E16">_xlfn.CONCAT(IF((A16:A25=D16)*(C16:C25="优秀"),B16:B25&amp;"，",""))</f>
        <v>洪武，毛如东，徐颖，</v>
      </c>
    </row>
    <row r="17" ht="16.5" spans="1:5">
      <c r="A17" s="21" t="s">
        <v>2167</v>
      </c>
      <c r="B17" s="21" t="s">
        <v>2170</v>
      </c>
      <c r="C17" s="21" t="s">
        <v>2171</v>
      </c>
      <c r="D17" s="58"/>
      <c r="E17" s="58"/>
    </row>
    <row r="18" ht="16.5" spans="1:5">
      <c r="A18" s="21" t="s">
        <v>2167</v>
      </c>
      <c r="B18" s="21" t="s">
        <v>2172</v>
      </c>
      <c r="C18" s="21" t="s">
        <v>2169</v>
      </c>
      <c r="D18" s="72" t="s">
        <v>2173</v>
      </c>
      <c r="E18" s="72"/>
    </row>
    <row r="19" ht="16.5" spans="1:5">
      <c r="A19" s="21" t="s">
        <v>2167</v>
      </c>
      <c r="B19" s="21" t="s">
        <v>2174</v>
      </c>
      <c r="C19" s="21" t="s">
        <v>2169</v>
      </c>
      <c r="D19" s="73"/>
      <c r="E19" s="73"/>
    </row>
    <row r="20" ht="16.5" spans="1:3">
      <c r="A20" s="21" t="s">
        <v>2175</v>
      </c>
      <c r="B20" s="21" t="s">
        <v>2176</v>
      </c>
      <c r="C20" s="21" t="s">
        <v>2169</v>
      </c>
    </row>
    <row r="21" ht="16.5" spans="1:3">
      <c r="A21" s="21" t="s">
        <v>2175</v>
      </c>
      <c r="B21" s="21" t="s">
        <v>2177</v>
      </c>
      <c r="C21" s="21" t="s">
        <v>2171</v>
      </c>
    </row>
    <row r="22" ht="16.5" spans="1:3">
      <c r="A22" s="21" t="s">
        <v>2175</v>
      </c>
      <c r="B22" s="21" t="s">
        <v>2178</v>
      </c>
      <c r="C22" s="21" t="s">
        <v>2171</v>
      </c>
    </row>
    <row r="23" ht="16.5" spans="1:3">
      <c r="A23" s="21" t="s">
        <v>2179</v>
      </c>
      <c r="B23" s="21" t="s">
        <v>2180</v>
      </c>
      <c r="C23" s="21" t="s">
        <v>2169</v>
      </c>
    </row>
    <row r="24" ht="16.5" spans="1:3">
      <c r="A24" s="21" t="s">
        <v>2179</v>
      </c>
      <c r="B24" s="21" t="s">
        <v>2181</v>
      </c>
      <c r="C24" s="21" t="s">
        <v>2169</v>
      </c>
    </row>
    <row r="25" ht="16.5" spans="1:3">
      <c r="A25" s="21" t="s">
        <v>2179</v>
      </c>
      <c r="B25" s="21" t="s">
        <v>2182</v>
      </c>
      <c r="C25" s="21" t="s">
        <v>2171</v>
      </c>
    </row>
  </sheetData>
  <mergeCells count="6">
    <mergeCell ref="A1:F1"/>
    <mergeCell ref="A2:F2"/>
    <mergeCell ref="A9:F9"/>
    <mergeCell ref="A10:F10"/>
    <mergeCell ref="A11:F11"/>
    <mergeCell ref="D18:E19"/>
  </mergeCells>
  <dataValidations count="2">
    <dataValidation type="list" allowBlank="1" showInputMessage="1" showErrorMessage="1" sqref="B2">
      <formula1>函数!$C$1:$C$9</formula1>
    </dataValidation>
    <dataValidation type="list" allowBlank="1" showInputMessage="1" showErrorMessage="1" sqref="D16">
      <formula1>"财务处,开发部,人事处"</formula1>
    </dataValidation>
  </dataValidations>
  <pageMargins left="0.75" right="0.75" top="1" bottom="1" header="0.511805555555556" footer="0.511805555555556"/>
  <headerFooter/>
  <drawing r:id="rId1"/>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
  <sheetViews>
    <sheetView workbookViewId="0">
      <pane ySplit="2" topLeftCell="A3" activePane="bottomLeft" state="frozen"/>
      <selection/>
      <selection pane="bottomLeft" activeCell="A1" sqref="A1:F1"/>
    </sheetView>
  </sheetViews>
  <sheetFormatPr defaultColWidth="9" defaultRowHeight="13.5" outlineLevelCol="5"/>
  <cols>
    <col min="1" max="3" width="19" customWidth="1"/>
    <col min="4" max="4" width="27.75" customWidth="1"/>
    <col min="5" max="5" width="36.25" customWidth="1"/>
    <col min="6" max="6" width="19" customWidth="1"/>
  </cols>
  <sheetData>
    <row r="1" ht="26" customHeight="1" spans="1:6">
      <c r="A1" s="2" t="s">
        <v>2183</v>
      </c>
      <c r="B1" s="2"/>
      <c r="C1" s="2"/>
      <c r="D1" s="2"/>
      <c r="E1" s="2"/>
      <c r="F1" s="2"/>
    </row>
    <row r="2" ht="91" customHeight="1" spans="1:6">
      <c r="A2" s="4" t="s">
        <v>2184</v>
      </c>
      <c r="B2" s="5"/>
      <c r="C2" s="5"/>
      <c r="D2" s="5"/>
      <c r="E2" s="5"/>
      <c r="F2" s="5"/>
    </row>
    <row r="3" ht="18" spans="1:2">
      <c r="A3" s="45" t="s">
        <v>553</v>
      </c>
      <c r="B3" t="s">
        <v>2152</v>
      </c>
    </row>
    <row r="4" ht="21" customHeight="1" spans="1:6">
      <c r="A4" s="35" t="s">
        <v>2153</v>
      </c>
      <c r="B4" s="35"/>
      <c r="C4" s="35"/>
      <c r="D4" s="35"/>
      <c r="E4" s="35"/>
      <c r="F4" s="35"/>
    </row>
    <row r="5" ht="21" customHeight="1" spans="1:6">
      <c r="A5" s="35" t="s">
        <v>2154</v>
      </c>
      <c r="B5" s="35"/>
      <c r="C5" s="35"/>
      <c r="D5" s="35"/>
      <c r="E5" s="35"/>
      <c r="F5" s="35"/>
    </row>
    <row r="6" ht="20" customHeight="1" spans="1:6">
      <c r="A6" s="35" t="s">
        <v>2155</v>
      </c>
      <c r="B6" s="35"/>
      <c r="C6" s="35"/>
      <c r="D6" s="35"/>
      <c r="E6" s="35"/>
      <c r="F6" s="35"/>
    </row>
    <row r="7" ht="21" customHeight="1" spans="1:6">
      <c r="A7" s="45" t="s">
        <v>574</v>
      </c>
      <c r="B7" s="70" t="s">
        <v>2185</v>
      </c>
      <c r="C7" s="21"/>
      <c r="D7" s="21"/>
      <c r="E7" s="21"/>
      <c r="F7" s="21"/>
    </row>
    <row r="8" ht="15" spans="1:5">
      <c r="A8" s="71" t="s">
        <v>1759</v>
      </c>
      <c r="B8" s="71" t="s">
        <v>594</v>
      </c>
      <c r="C8" s="71" t="s">
        <v>2165</v>
      </c>
      <c r="D8" s="41" t="s">
        <v>1759</v>
      </c>
      <c r="E8" s="41" t="s">
        <v>2186</v>
      </c>
    </row>
    <row r="9" ht="16.5" spans="1:5">
      <c r="A9" s="21" t="s">
        <v>2167</v>
      </c>
      <c r="B9" s="21" t="s">
        <v>2168</v>
      </c>
      <c r="C9" s="21" t="s">
        <v>2169</v>
      </c>
      <c r="D9" s="23" t="s">
        <v>2179</v>
      </c>
      <c r="E9" s="23" t="str">
        <f t="array" ref="E9">_xlfn.TEXTJOIN("、",TRUE,IF(A9:A18=D9,B9:B18,""))</f>
        <v>陈志丽、恍如、陈志金</v>
      </c>
    </row>
    <row r="10" ht="16.5" spans="1:5">
      <c r="A10" s="21" t="s">
        <v>2167</v>
      </c>
      <c r="B10" s="21" t="s">
        <v>2170</v>
      </c>
      <c r="C10" s="21" t="s">
        <v>2171</v>
      </c>
      <c r="D10" s="58"/>
      <c r="E10" s="58"/>
    </row>
    <row r="11" ht="16.5" spans="1:5">
      <c r="A11" s="21" t="s">
        <v>2167</v>
      </c>
      <c r="B11" s="21" t="s">
        <v>2172</v>
      </c>
      <c r="C11" s="21" t="s">
        <v>2169</v>
      </c>
      <c r="D11" s="72" t="s">
        <v>2187</v>
      </c>
      <c r="E11" s="72"/>
    </row>
    <row r="12" ht="16.5" spans="1:5">
      <c r="A12" s="21" t="s">
        <v>2167</v>
      </c>
      <c r="B12" s="21" t="s">
        <v>2174</v>
      </c>
      <c r="C12" s="21" t="s">
        <v>2169</v>
      </c>
      <c r="D12" s="73"/>
      <c r="E12" s="73"/>
    </row>
    <row r="13" ht="16.5" spans="1:3">
      <c r="A13" s="21" t="s">
        <v>2175</v>
      </c>
      <c r="B13" s="21" t="s">
        <v>2176</v>
      </c>
      <c r="C13" s="21" t="s">
        <v>2169</v>
      </c>
    </row>
    <row r="14" ht="16.5" spans="1:3">
      <c r="A14" s="21" t="s">
        <v>2175</v>
      </c>
      <c r="B14" s="21" t="s">
        <v>2177</v>
      </c>
      <c r="C14" s="21" t="s">
        <v>2171</v>
      </c>
    </row>
    <row r="15" ht="16.5" spans="1:3">
      <c r="A15" s="21" t="s">
        <v>2175</v>
      </c>
      <c r="B15" s="21" t="s">
        <v>2178</v>
      </c>
      <c r="C15" s="21" t="s">
        <v>2171</v>
      </c>
    </row>
    <row r="16" ht="16.5" spans="1:3">
      <c r="A16" s="21" t="s">
        <v>2179</v>
      </c>
      <c r="B16" s="21" t="s">
        <v>2180</v>
      </c>
      <c r="C16" s="21" t="s">
        <v>2169</v>
      </c>
    </row>
    <row r="17" ht="16.5" spans="1:3">
      <c r="A17" s="21" t="s">
        <v>2179</v>
      </c>
      <c r="B17" s="21" t="s">
        <v>2181</v>
      </c>
      <c r="C17" s="21" t="s">
        <v>2169</v>
      </c>
    </row>
    <row r="18" ht="16.5" spans="1:3">
      <c r="A18" s="21" t="s">
        <v>2179</v>
      </c>
      <c r="B18" s="21" t="s">
        <v>2182</v>
      </c>
      <c r="C18" s="21" t="s">
        <v>2171</v>
      </c>
    </row>
  </sheetData>
  <mergeCells count="6">
    <mergeCell ref="A1:F1"/>
    <mergeCell ref="A2:F2"/>
    <mergeCell ref="A4:F4"/>
    <mergeCell ref="A5:F5"/>
    <mergeCell ref="A6:F6"/>
    <mergeCell ref="D11:E12"/>
  </mergeCells>
  <dataValidations count="2">
    <dataValidation type="list" allowBlank="1" showInputMessage="1" showErrorMessage="1" sqref="D9">
      <formula1>"财务处,开发部,人事处"</formula1>
    </dataValidation>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selection activeCell="B3" sqref="B3"/>
    </sheetView>
  </sheetViews>
  <sheetFormatPr defaultColWidth="9" defaultRowHeight="13.5" outlineLevelCol="5"/>
  <cols>
    <col min="1" max="1" width="13.625" customWidth="1"/>
    <col min="2" max="2" width="51.25" customWidth="1"/>
    <col min="3" max="6" width="19" customWidth="1"/>
  </cols>
  <sheetData>
    <row r="1" ht="26" customHeight="1" spans="1:6">
      <c r="A1" s="2" t="s">
        <v>2188</v>
      </c>
      <c r="B1" s="2"/>
      <c r="C1" s="2"/>
      <c r="D1" s="2"/>
      <c r="E1" s="2"/>
      <c r="F1" s="2"/>
    </row>
    <row r="2" ht="109" customHeight="1" spans="1:6">
      <c r="A2" s="4" t="s">
        <v>2189</v>
      </c>
      <c r="B2" s="5"/>
      <c r="C2" s="5"/>
      <c r="D2" s="5"/>
      <c r="E2" s="5"/>
      <c r="F2" s="5"/>
    </row>
    <row r="3" ht="21" customHeight="1" spans="1:3">
      <c r="A3" s="45" t="s">
        <v>553</v>
      </c>
      <c r="B3" s="44" t="s">
        <v>2190</v>
      </c>
      <c r="C3" s="44"/>
    </row>
    <row r="4" ht="14.25" spans="1:3">
      <c r="A4" s="67" t="s">
        <v>2191</v>
      </c>
      <c r="B4" s="67" t="s">
        <v>560</v>
      </c>
      <c r="C4" s="67" t="s">
        <v>2192</v>
      </c>
    </row>
    <row r="5" ht="14.25" spans="1:3">
      <c r="A5" s="68" t="s">
        <v>2193</v>
      </c>
      <c r="B5" s="68" t="str">
        <f>_xlfn.FORMULATEXT(C5)</f>
        <v>=IF(AND(CODE(A5)&gt;=48,CODE(A5)&lt;=57),"数字","不是数字")</v>
      </c>
      <c r="C5" s="68" t="str">
        <f>IF(AND(CODE(A5)&gt;=48,CODE(A5)&lt;=57),"数字","不是数字")</f>
        <v>不是数字</v>
      </c>
    </row>
    <row r="6" ht="14.25" spans="1:3">
      <c r="A6" s="68">
        <v>123</v>
      </c>
      <c r="B6" s="68" t="str">
        <f>_xlfn.FORMULATEXT(C6)</f>
        <v>=IF(AND(CODE(A6)&gt;=48,CODE(A6)&lt;=57),"数字","不是数字")</v>
      </c>
      <c r="C6" s="68" t="str">
        <f>IF(AND(CODE(A6)&gt;=48,CODE(A6)&lt;=57),"数字","不是数字")</f>
        <v>数字</v>
      </c>
    </row>
    <row r="7" ht="14.25" spans="1:3">
      <c r="A7" s="68" t="s">
        <v>2194</v>
      </c>
      <c r="B7" s="68" t="str">
        <f>_xlfn.FORMULATEXT(C7)</f>
        <v>=IF(AND(CODE(A7)&gt;=48,CODE(A7)&lt;=57),"数字","不是数字")</v>
      </c>
      <c r="C7" s="68" t="str">
        <f>IF(AND(CODE(A7)&gt;=48,CODE(A7)&lt;=57),"数字","不是数字")</f>
        <v>数字</v>
      </c>
    </row>
    <row r="8" ht="14.25" spans="1:3">
      <c r="A8" s="68" t="s">
        <v>2195</v>
      </c>
      <c r="B8" s="68" t="str">
        <f>_xlfn.FORMULATEXT(C8)</f>
        <v>=IF(AND(CODE(A8)&gt;=48,CODE(A8)&lt;=57),"数字","不是数字")</v>
      </c>
      <c r="C8" s="68" t="str">
        <f>IF(AND(CODE(A8)&gt;=48,CODE(A8)&lt;=57),"数字","不是数字")</f>
        <v>不是数字</v>
      </c>
    </row>
    <row r="9" ht="14.25" spans="1:3">
      <c r="A9" s="68" t="s">
        <v>2196</v>
      </c>
      <c r="B9" s="68" t="str">
        <f>_xlfn.FORMULATEXT(C9)</f>
        <v>=IF(AND(CODE(A9)&gt;=48,CODE(A9)&lt;=57),"数字","不是数字")</v>
      </c>
      <c r="C9" s="68" t="str">
        <f>IF(AND(CODE(A9)&gt;=48,CODE(A9)&lt;=57),"数字","不是数字")</f>
        <v>不是数字</v>
      </c>
    </row>
    <row r="10" ht="14.25" spans="1:3">
      <c r="A10" s="68"/>
      <c r="B10" s="68"/>
      <c r="C10" s="68"/>
    </row>
    <row r="11" ht="14.25" spans="1:3">
      <c r="A11" s="68"/>
      <c r="B11" s="68"/>
      <c r="C11" s="68"/>
    </row>
    <row r="12" ht="14.25" spans="1:3">
      <c r="A12" s="68"/>
      <c r="B12" s="68"/>
      <c r="C12" s="68"/>
    </row>
    <row r="13" ht="14.25" spans="1:3">
      <c r="A13" s="68"/>
      <c r="B13" s="68"/>
      <c r="C13" s="68"/>
    </row>
    <row r="14" ht="14.25" spans="1:3">
      <c r="A14" s="68"/>
      <c r="B14" s="68"/>
      <c r="C14" s="68"/>
    </row>
    <row r="15" ht="14.25" spans="1:3">
      <c r="A15" s="69"/>
      <c r="B15" s="69"/>
      <c r="C15" s="69"/>
    </row>
    <row r="16" ht="14.25" spans="1:3">
      <c r="A16" s="69"/>
      <c r="B16" s="69"/>
      <c r="C16" s="69"/>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pane ySplit="2" topLeftCell="A3" activePane="bottomLeft" state="frozen"/>
      <selection/>
      <selection pane="bottomLeft" activeCell="C5" sqref="C5"/>
    </sheetView>
  </sheetViews>
  <sheetFormatPr defaultColWidth="9" defaultRowHeight="13.5" outlineLevelCol="5"/>
  <cols>
    <col min="1" max="1" width="14.25" customWidth="1"/>
    <col min="2" max="2" width="20.625" customWidth="1"/>
    <col min="3" max="3" width="12" customWidth="1"/>
    <col min="4" max="4" width="25.375" customWidth="1"/>
    <col min="5" max="5" width="29.75" customWidth="1"/>
    <col min="6" max="6" width="33.125" customWidth="1"/>
  </cols>
  <sheetData>
    <row r="1" ht="26" customHeight="1" spans="1:6">
      <c r="A1" s="2" t="s">
        <v>2197</v>
      </c>
      <c r="B1" s="2"/>
      <c r="C1" s="2"/>
      <c r="D1" s="2"/>
      <c r="E1" s="2"/>
      <c r="F1" s="2"/>
    </row>
    <row r="2" ht="129" customHeight="1" spans="1:6">
      <c r="A2" s="4" t="s">
        <v>2198</v>
      </c>
      <c r="B2" s="5"/>
      <c r="C2" s="5"/>
      <c r="D2" s="5"/>
      <c r="E2" s="5"/>
      <c r="F2" s="5"/>
    </row>
    <row r="3" ht="21" customHeight="1" spans="1:3">
      <c r="A3" s="61"/>
      <c r="B3" s="44"/>
      <c r="C3" s="44"/>
    </row>
    <row r="4" ht="25" customHeight="1" spans="1:6">
      <c r="A4" s="62" t="s">
        <v>590</v>
      </c>
      <c r="B4" s="63">
        <f>COLUMN()</f>
        <v>2</v>
      </c>
      <c r="C4" s="63">
        <f>COLUMN()</f>
        <v>3</v>
      </c>
      <c r="D4" s="62">
        <f>COLUMN(A6)</f>
        <v>1</v>
      </c>
      <c r="E4" s="62">
        <f>COLUMN(F6)</f>
        <v>6</v>
      </c>
      <c r="F4" s="62">
        <f>COLUMN(M2)</f>
        <v>13</v>
      </c>
    </row>
    <row r="5" ht="25" customHeight="1" spans="1:6">
      <c r="A5" s="64" t="s">
        <v>560</v>
      </c>
      <c r="B5" s="65" t="s">
        <v>2199</v>
      </c>
      <c r="C5" s="65" t="s">
        <v>2199</v>
      </c>
      <c r="D5" s="65" t="s">
        <v>2200</v>
      </c>
      <c r="E5" s="65" t="s">
        <v>2201</v>
      </c>
      <c r="F5" s="65" t="s">
        <v>2202</v>
      </c>
    </row>
    <row r="6" ht="16.5" spans="1:4">
      <c r="A6" s="7"/>
      <c r="B6" s="7"/>
      <c r="C6" s="7"/>
      <c r="D6" s="7"/>
    </row>
    <row r="7" ht="16.5" spans="1:4">
      <c r="A7" s="7"/>
      <c r="B7" s="7"/>
      <c r="C7" s="7"/>
      <c r="D7" s="7"/>
    </row>
    <row r="8" ht="17.25" spans="1:4">
      <c r="A8" s="55"/>
      <c r="B8" s="7"/>
      <c r="C8" s="7"/>
      <c r="D8" s="7"/>
    </row>
    <row r="9" ht="16.5" spans="1:4">
      <c r="A9" s="7"/>
      <c r="B9" s="7"/>
      <c r="C9" s="7"/>
      <c r="D9" s="7"/>
    </row>
    <row r="10" ht="16.5" spans="1:4">
      <c r="A10" s="7"/>
      <c r="B10" s="7"/>
      <c r="C10" s="7"/>
      <c r="D10" s="7"/>
    </row>
    <row r="11" ht="16.5" spans="1:4">
      <c r="A11" s="7"/>
      <c r="B11" s="7"/>
      <c r="C11" s="7"/>
      <c r="D11" s="7"/>
    </row>
    <row r="12" ht="17.25" spans="1:4">
      <c r="A12" s="66"/>
      <c r="B12" s="7"/>
      <c r="C12" s="7"/>
      <c r="D12" s="7"/>
    </row>
    <row r="13" ht="16.5" spans="1:4">
      <c r="A13" s="7"/>
      <c r="B13" s="7"/>
      <c r="C13" s="7"/>
      <c r="D13" s="7"/>
    </row>
    <row r="14" ht="16.5" spans="1:4">
      <c r="A14" s="7"/>
      <c r="B14" s="7"/>
      <c r="C14" s="7"/>
      <c r="D14" s="7"/>
    </row>
    <row r="15" ht="17.25" spans="1:4">
      <c r="A15" s="66"/>
      <c r="B15" s="7"/>
      <c r="C15" s="7"/>
      <c r="D15" s="7"/>
    </row>
    <row r="16" ht="16.5" spans="1:4">
      <c r="A16" s="7"/>
      <c r="B16" s="7"/>
      <c r="C16" s="7"/>
      <c r="D16" s="7"/>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5"/>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17.875" customWidth="1"/>
    <col min="3" max="3" width="14.75" customWidth="1"/>
    <col min="4" max="4" width="20.75" customWidth="1"/>
    <col min="5" max="5" width="21.625" customWidth="1"/>
    <col min="6" max="6" width="25.375" customWidth="1"/>
  </cols>
  <sheetData>
    <row r="1" ht="26" customHeight="1" spans="1:6">
      <c r="A1" s="2" t="s">
        <v>2203</v>
      </c>
      <c r="B1" s="2"/>
      <c r="C1" s="2"/>
      <c r="D1" s="2"/>
      <c r="E1" s="2"/>
      <c r="F1" s="2"/>
    </row>
    <row r="2" ht="109" customHeight="1" spans="1:6">
      <c r="A2" s="4" t="s">
        <v>2204</v>
      </c>
      <c r="B2" s="5"/>
      <c r="C2" s="5"/>
      <c r="D2" s="5"/>
      <c r="E2" s="5"/>
      <c r="F2" s="5"/>
    </row>
    <row r="3" ht="21" customHeight="1" spans="1:3">
      <c r="A3" s="45" t="s">
        <v>553</v>
      </c>
      <c r="B3" s="44"/>
      <c r="C3" s="44"/>
    </row>
    <row r="4" ht="25" customHeight="1" spans="1:6">
      <c r="A4" s="50" t="s">
        <v>2205</v>
      </c>
      <c r="B4" s="51"/>
      <c r="C4" s="52"/>
      <c r="D4" s="53" t="str">
        <f ca="1">CHOOSE(WEEKDAY(TODAY()),"今天是星期日，好好玩！","今天是星期一，准备上班了！","今天是星期二，好好工作！","今天是星期三，保持饱满精神！","今天是星期四，不要松懈！","今天是星期五，马上放假了！","今天是星期日，周末快乐！")</f>
        <v>今天是星期五，马上放假了！</v>
      </c>
      <c r="E4" s="53"/>
      <c r="F4" s="54"/>
    </row>
    <row r="5" ht="16.5" spans="1:4">
      <c r="A5" s="7"/>
      <c r="B5" s="7"/>
      <c r="C5" s="7"/>
      <c r="D5" s="7"/>
    </row>
    <row r="6" ht="22" customHeight="1" spans="1:4">
      <c r="A6" s="45" t="s">
        <v>574</v>
      </c>
      <c r="B6" s="7"/>
      <c r="C6" s="7"/>
      <c r="D6" s="7"/>
    </row>
    <row r="7" ht="18" customHeight="1" spans="1:4">
      <c r="A7" s="55" t="s">
        <v>2206</v>
      </c>
      <c r="B7" s="7"/>
      <c r="C7" s="7"/>
      <c r="D7" s="7"/>
    </row>
    <row r="8" ht="16.5" spans="1:6">
      <c r="A8" s="56" t="s">
        <v>594</v>
      </c>
      <c r="B8" s="56" t="s">
        <v>2207</v>
      </c>
      <c r="C8" s="56" t="s">
        <v>2208</v>
      </c>
      <c r="D8" s="7"/>
      <c r="E8" s="57" t="s">
        <v>1841</v>
      </c>
      <c r="F8" s="57" t="s">
        <v>2208</v>
      </c>
    </row>
    <row r="9" ht="16.5" spans="1:6">
      <c r="A9" s="56" t="s">
        <v>2209</v>
      </c>
      <c r="B9" s="58" t="s">
        <v>2210</v>
      </c>
      <c r="C9" s="59">
        <f>CHOOSE(MATCH(B9,$E$9:$E$12),$F$9,$F$10,$F$11,$F$12)</f>
        <v>0</v>
      </c>
      <c r="D9" s="7"/>
      <c r="E9" s="23" t="s">
        <v>2210</v>
      </c>
      <c r="F9" s="59">
        <v>0</v>
      </c>
    </row>
    <row r="10" ht="16.5" spans="1:6">
      <c r="A10" s="56" t="s">
        <v>2211</v>
      </c>
      <c r="B10" s="58" t="s">
        <v>2212</v>
      </c>
      <c r="C10" s="59">
        <f t="shared" ref="C10:C15" si="0">CHOOSE(MATCH(B10,$E$9:$E$12),$F$9,$F$10,$F$11,$F$12)</f>
        <v>0.95</v>
      </c>
      <c r="D10" s="7"/>
      <c r="E10" s="23" t="s">
        <v>2212</v>
      </c>
      <c r="F10" s="59">
        <v>0.95</v>
      </c>
    </row>
    <row r="11" ht="17.25" spans="1:6">
      <c r="A11" s="60" t="s">
        <v>2213</v>
      </c>
      <c r="B11" s="58" t="s">
        <v>2214</v>
      </c>
      <c r="C11" s="59">
        <f t="shared" si="0"/>
        <v>0</v>
      </c>
      <c r="D11" s="7"/>
      <c r="E11" s="23" t="s">
        <v>2214</v>
      </c>
      <c r="F11" s="59">
        <v>0.9</v>
      </c>
    </row>
    <row r="12" ht="16.5" spans="1:6">
      <c r="A12" s="56" t="s">
        <v>2215</v>
      </c>
      <c r="B12" s="58" t="s">
        <v>2216</v>
      </c>
      <c r="C12" s="59">
        <f t="shared" si="0"/>
        <v>0.8</v>
      </c>
      <c r="D12" s="7"/>
      <c r="E12" s="23" t="s">
        <v>2216</v>
      </c>
      <c r="F12" s="59">
        <v>0.8</v>
      </c>
    </row>
    <row r="13" ht="16.5" spans="1:4">
      <c r="A13" s="56" t="s">
        <v>2217</v>
      </c>
      <c r="B13" s="58" t="s">
        <v>2216</v>
      </c>
      <c r="C13" s="59">
        <f t="shared" si="0"/>
        <v>0.8</v>
      </c>
      <c r="D13" s="7"/>
    </row>
    <row r="14" ht="17.25" spans="1:4">
      <c r="A14" s="60" t="s">
        <v>2218</v>
      </c>
      <c r="B14" s="58" t="s">
        <v>2214</v>
      </c>
      <c r="C14" s="59">
        <f t="shared" si="0"/>
        <v>0</v>
      </c>
      <c r="D14" s="7"/>
    </row>
    <row r="15" ht="16.5" spans="1:4">
      <c r="A15" s="56" t="s">
        <v>2219</v>
      </c>
      <c r="B15" s="58" t="s">
        <v>2210</v>
      </c>
      <c r="C15" s="59">
        <f t="shared" si="0"/>
        <v>0</v>
      </c>
      <c r="D15" s="7"/>
    </row>
  </sheetData>
  <mergeCells count="4">
    <mergeCell ref="A1:F1"/>
    <mergeCell ref="A2:F2"/>
    <mergeCell ref="A4:B4"/>
    <mergeCell ref="D4:E4"/>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17.875" customWidth="1"/>
    <col min="3" max="3" width="14.75" customWidth="1"/>
    <col min="4" max="4" width="20.75" customWidth="1"/>
    <col min="5" max="5" width="21.625" customWidth="1"/>
    <col min="6" max="6" width="25.375" customWidth="1"/>
  </cols>
  <sheetData>
    <row r="1" ht="26" customHeight="1" spans="1:6">
      <c r="A1" s="2" t="s">
        <v>2220</v>
      </c>
      <c r="B1" s="2"/>
      <c r="C1" s="2"/>
      <c r="D1" s="2"/>
      <c r="E1" s="2"/>
      <c r="F1" s="2"/>
    </row>
    <row r="2" ht="92" customHeight="1" spans="1:6">
      <c r="A2" s="4" t="s">
        <v>2221</v>
      </c>
      <c r="B2" s="5"/>
      <c r="C2" s="5"/>
      <c r="D2" s="5"/>
      <c r="E2" s="5"/>
      <c r="F2" s="5"/>
    </row>
    <row r="3" ht="21" customHeight="1" spans="1:3">
      <c r="A3" s="45" t="s">
        <v>553</v>
      </c>
      <c r="B3" s="44"/>
      <c r="C3" s="44"/>
    </row>
    <row r="4" ht="27" customHeight="1" spans="1:3">
      <c r="A4" s="48" t="s">
        <v>2222</v>
      </c>
      <c r="B4" s="48"/>
      <c r="C4" s="48"/>
    </row>
    <row r="5" ht="27" customHeight="1" spans="1:3">
      <c r="A5" s="48" t="s">
        <v>2223</v>
      </c>
      <c r="B5" s="48"/>
      <c r="C5" s="48"/>
    </row>
    <row r="6" spans="1:4">
      <c r="A6" s="18" t="s">
        <v>2077</v>
      </c>
      <c r="B6" s="18" t="s">
        <v>560</v>
      </c>
      <c r="C6" s="18" t="s">
        <v>1374</v>
      </c>
      <c r="D6" s="18" t="s">
        <v>2224</v>
      </c>
    </row>
    <row r="7" spans="1:4">
      <c r="A7" s="49">
        <v>43396</v>
      </c>
      <c r="B7" s="18" t="s">
        <v>2225</v>
      </c>
      <c r="C7" s="18">
        <f>WEEKDAY($A$7)</f>
        <v>3</v>
      </c>
      <c r="D7" s="18" t="s">
        <v>2226</v>
      </c>
    </row>
    <row r="8" spans="1:4">
      <c r="A8" s="49"/>
      <c r="B8" s="18" t="s">
        <v>2227</v>
      </c>
      <c r="C8" s="18">
        <f>WEEKDAY($A$7,2)</f>
        <v>2</v>
      </c>
      <c r="D8" s="18" t="s">
        <v>2226</v>
      </c>
    </row>
    <row r="9" spans="1:4">
      <c r="A9" s="49"/>
      <c r="B9" s="18" t="s">
        <v>2228</v>
      </c>
      <c r="C9" s="18">
        <f>WEEKDAY($A$7,11)</f>
        <v>2</v>
      </c>
      <c r="D9" s="18" t="s">
        <v>2226</v>
      </c>
    </row>
    <row r="10" spans="1:4">
      <c r="A10" s="49"/>
      <c r="B10" s="18" t="s">
        <v>2229</v>
      </c>
      <c r="C10" s="18">
        <f>WEEKDAY($A$7,3)</f>
        <v>1</v>
      </c>
      <c r="D10" s="18" t="s">
        <v>2226</v>
      </c>
    </row>
  </sheetData>
  <mergeCells count="4">
    <mergeCell ref="A1:F1"/>
    <mergeCell ref="A2:F2"/>
    <mergeCell ref="A4:C4"/>
    <mergeCell ref="A5:C5"/>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14.25" customWidth="1"/>
    <col min="2" max="2" width="18.75" customWidth="1"/>
    <col min="3" max="3" width="14.75" customWidth="1"/>
    <col min="4" max="4" width="20.75" customWidth="1"/>
    <col min="5" max="5" width="21.625" customWidth="1"/>
    <col min="6" max="6" width="25.375" customWidth="1"/>
  </cols>
  <sheetData>
    <row r="1" ht="26" customHeight="1" spans="1:6">
      <c r="A1" s="2" t="s">
        <v>2230</v>
      </c>
      <c r="B1" s="2"/>
      <c r="C1" s="2"/>
      <c r="D1" s="2"/>
      <c r="E1" s="2"/>
      <c r="F1" s="2"/>
    </row>
    <row r="2" ht="136" customHeight="1" spans="1:6">
      <c r="A2" s="4" t="s">
        <v>2231</v>
      </c>
      <c r="B2" s="5"/>
      <c r="C2" s="5"/>
      <c r="D2" s="5"/>
      <c r="E2" s="5"/>
      <c r="F2" s="5"/>
    </row>
    <row r="3" ht="21" customHeight="1" spans="1:3">
      <c r="A3" s="45" t="s">
        <v>553</v>
      </c>
      <c r="B3" s="44"/>
      <c r="C3" s="44"/>
    </row>
    <row r="4" spans="1:4">
      <c r="A4" s="18">
        <v>17.235623</v>
      </c>
      <c r="B4" s="18" t="s">
        <v>2232</v>
      </c>
      <c r="C4" s="18">
        <f>ROUND(A4,3)</f>
        <v>17.236</v>
      </c>
      <c r="D4" t="str">
        <f>_xlfn.FORMULATEXT(C4)</f>
        <v>=ROUND(A4,3)</v>
      </c>
    </row>
    <row r="5" spans="1:4">
      <c r="A5" s="18">
        <v>18.235623</v>
      </c>
      <c r="B5" s="18" t="s">
        <v>2233</v>
      </c>
      <c r="C5" s="18">
        <f>ROUND(A5,1)</f>
        <v>18.2</v>
      </c>
      <c r="D5" t="str">
        <f>_xlfn.FORMULATEXT(C5)</f>
        <v>=ROUND(A5,1)</v>
      </c>
    </row>
    <row r="6" spans="1:4">
      <c r="A6" s="18">
        <v>18.535623</v>
      </c>
      <c r="B6" s="18" t="s">
        <v>2234</v>
      </c>
      <c r="C6" s="18">
        <f>ROUND(A6,0)</f>
        <v>19</v>
      </c>
      <c r="D6" t="str">
        <f>_xlfn.FORMULATEXT(C6)</f>
        <v>=ROUND(A6,0)</v>
      </c>
    </row>
    <row r="7" spans="1:4">
      <c r="A7" s="18">
        <v>19.535623</v>
      </c>
      <c r="B7" s="18" t="s">
        <v>2235</v>
      </c>
      <c r="C7" s="18">
        <f>ROUND(A7,-1)</f>
        <v>20</v>
      </c>
      <c r="D7" t="str">
        <f>_xlfn.FORMULATEXT(C7)</f>
        <v>=ROUND(A7,-1)</v>
      </c>
    </row>
    <row r="8" spans="1:4">
      <c r="A8" s="18">
        <v>1220.535623</v>
      </c>
      <c r="B8" s="18" t="s">
        <v>2236</v>
      </c>
      <c r="C8" s="18">
        <f>ROUND(A8,-3)</f>
        <v>1000</v>
      </c>
      <c r="D8" t="str">
        <f>_xlfn.FORMULATEXT(C8)</f>
        <v>=ROUND(A8,-3)</v>
      </c>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37.25" customWidth="1"/>
    <col min="3" max="3" width="23" customWidth="1"/>
    <col min="4" max="4" width="20.75" customWidth="1"/>
    <col min="5" max="5" width="21.625" customWidth="1"/>
    <col min="6" max="6" width="25.375" customWidth="1"/>
  </cols>
  <sheetData>
    <row r="1" ht="26" customHeight="1" spans="1:6">
      <c r="A1" s="2" t="s">
        <v>2237</v>
      </c>
      <c r="B1" s="2"/>
      <c r="C1" s="2"/>
      <c r="D1" s="2"/>
      <c r="E1" s="2"/>
      <c r="F1" s="2"/>
    </row>
    <row r="2" ht="126" customHeight="1" spans="1:6">
      <c r="A2" s="4" t="s">
        <v>2238</v>
      </c>
      <c r="B2" s="5"/>
      <c r="C2" s="5"/>
      <c r="D2" s="5"/>
      <c r="E2" s="5"/>
      <c r="F2" s="5"/>
    </row>
    <row r="3" ht="21" customHeight="1" spans="1:3">
      <c r="A3" s="45" t="s">
        <v>553</v>
      </c>
      <c r="B3" s="44"/>
      <c r="C3" s="44"/>
    </row>
    <row r="4" ht="16.5" spans="1:4">
      <c r="A4" s="46" t="s">
        <v>560</v>
      </c>
      <c r="B4" s="46" t="s">
        <v>622</v>
      </c>
      <c r="C4" s="23"/>
      <c r="D4" s="23"/>
    </row>
    <row r="5" ht="17.25" spans="1:4">
      <c r="A5" s="47">
        <f>SUM(3,2)</f>
        <v>5</v>
      </c>
      <c r="B5" s="47" t="s">
        <v>2239</v>
      </c>
      <c r="C5" s="23" t="str">
        <f>_xlfn.FORMULATEXT(A5)</f>
        <v>=SUM(3,2)</v>
      </c>
      <c r="D5" s="23">
        <v>3</v>
      </c>
    </row>
    <row r="6" ht="34.5" spans="1:4">
      <c r="A6" s="47">
        <f>SUM("5",15,TRUE)</f>
        <v>21</v>
      </c>
      <c r="B6" s="47" t="s">
        <v>2240</v>
      </c>
      <c r="C6" s="23" t="str">
        <f t="shared" ref="C6:C11" si="0">_xlfn.FORMULATEXT(A6)</f>
        <v>=SUM("5",15,TRUE)</v>
      </c>
      <c r="D6" s="23">
        <v>4</v>
      </c>
    </row>
    <row r="7" ht="17.25" spans="1:4">
      <c r="A7" s="47">
        <f>SUM(D5:D7)</f>
        <v>63</v>
      </c>
      <c r="B7" s="47" t="s">
        <v>2241</v>
      </c>
      <c r="C7" s="23" t="str">
        <f t="shared" si="0"/>
        <v>=SUM(D5:D7)</v>
      </c>
      <c r="D7" s="23">
        <v>56</v>
      </c>
    </row>
    <row r="8" ht="17.25" spans="1:4">
      <c r="A8" s="47">
        <f>SUM(D5:D7,15)</f>
        <v>78</v>
      </c>
      <c r="B8" s="47" t="s">
        <v>2242</v>
      </c>
      <c r="C8" s="23" t="str">
        <f t="shared" si="0"/>
        <v>=SUM(D5:D7,15)</v>
      </c>
      <c r="D8" s="369" t="s">
        <v>2243</v>
      </c>
    </row>
    <row r="9" ht="34.5" spans="1:4">
      <c r="A9" s="47">
        <f>SUM(D8,D9,2)</f>
        <v>10</v>
      </c>
      <c r="B9" s="47" t="s">
        <v>2244</v>
      </c>
      <c r="C9" s="23" t="str">
        <f t="shared" si="0"/>
        <v>=SUM(D8,D9,2)</v>
      </c>
      <c r="D9" s="23">
        <v>8</v>
      </c>
    </row>
    <row r="10" ht="17.25" spans="1:4">
      <c r="A10" s="47">
        <f>SUM(D9,D10*1,2)</f>
        <v>12</v>
      </c>
      <c r="B10" s="47" t="s">
        <v>2245</v>
      </c>
      <c r="C10" s="23" t="str">
        <f t="shared" si="0"/>
        <v>=SUM(D9,D10*1,2)</v>
      </c>
      <c r="D10" s="369" t="s">
        <v>2246</v>
      </c>
    </row>
    <row r="11" ht="17.25" spans="1:4">
      <c r="A11" s="47">
        <f>SUM(D10,D11,2)</f>
        <v>2</v>
      </c>
      <c r="B11" s="47" t="s">
        <v>2247</v>
      </c>
      <c r="C11" s="23" t="str">
        <f t="shared" si="0"/>
        <v>=SUM(D10,D11,2)</v>
      </c>
      <c r="D11" s="23" t="s">
        <v>2248</v>
      </c>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21.125" customWidth="1"/>
    <col min="3" max="4" width="20.75" customWidth="1"/>
    <col min="5" max="5" width="21.625" customWidth="1"/>
    <col min="6" max="6" width="25.375" customWidth="1"/>
  </cols>
  <sheetData>
    <row r="1" ht="26" customHeight="1" spans="1:6">
      <c r="A1" s="2" t="s">
        <v>2249</v>
      </c>
      <c r="B1" s="2"/>
      <c r="C1" s="2"/>
      <c r="D1" s="2"/>
      <c r="E1" s="2"/>
      <c r="F1" s="2"/>
    </row>
    <row r="2" ht="126" customHeight="1" spans="1:6">
      <c r="A2" s="4" t="s">
        <v>2250</v>
      </c>
      <c r="B2" s="5"/>
      <c r="C2" s="5"/>
      <c r="D2" s="5"/>
      <c r="E2" s="5"/>
      <c r="F2" s="5"/>
    </row>
    <row r="3" ht="21" customHeight="1" spans="1:3">
      <c r="A3" s="45" t="s">
        <v>553</v>
      </c>
      <c r="B3" s="44"/>
      <c r="C3" s="44"/>
    </row>
    <row r="4" ht="16.5" spans="1:4">
      <c r="A4" s="46" t="s">
        <v>2101</v>
      </c>
      <c r="B4" s="46" t="s">
        <v>560</v>
      </c>
      <c r="C4" s="23" t="s">
        <v>2251</v>
      </c>
      <c r="D4" s="23"/>
    </row>
    <row r="5" ht="17.25" spans="1:4">
      <c r="A5" s="47">
        <f>SUM(3,2)</f>
        <v>5</v>
      </c>
      <c r="B5" s="47" t="e">
        <f>SUM(A5:A11)</f>
        <v>#VALUE!</v>
      </c>
      <c r="C5" s="23" t="str">
        <f t="shared" ref="C5:C11" si="0">_xlfn.FORMULATEXT(B5)</f>
        <v>=SUM(A5:A11)</v>
      </c>
      <c r="D5" s="23" t="str">
        <f>_xlfn.FORMULATEXT(C5)</f>
        <v>=FORMULATEXT(B5)</v>
      </c>
    </row>
    <row r="6" ht="17.25" spans="1:4">
      <c r="A6" s="47">
        <f>SUM("5",15,TRUE)</f>
        <v>21</v>
      </c>
      <c r="B6" s="47" t="str">
        <f>"你好"</f>
        <v>你好</v>
      </c>
      <c r="C6" s="23" t="str">
        <f t="shared" si="0"/>
        <v>="你好"</v>
      </c>
      <c r="D6" s="23"/>
    </row>
    <row r="7" ht="17.25" spans="1:4">
      <c r="A7" s="47">
        <f>SUM(D5:D7)</f>
        <v>0</v>
      </c>
      <c r="B7" s="47">
        <v>1</v>
      </c>
      <c r="C7" s="23" t="e">
        <f t="shared" si="0"/>
        <v>#N/A</v>
      </c>
      <c r="D7" s="23" t="s">
        <v>2252</v>
      </c>
    </row>
    <row r="8" ht="17.25" spans="1:4">
      <c r="A8" s="47">
        <f>SUM(D5:D7,15)</f>
        <v>15</v>
      </c>
      <c r="B8" s="47" t="e">
        <f>AVERAGE(A5:A11)</f>
        <v>#VALUE!</v>
      </c>
      <c r="C8" s="23" t="str">
        <f t="shared" si="0"/>
        <v>=AVERAGE(A5:A11)</v>
      </c>
      <c r="D8" s="23"/>
    </row>
    <row r="9" ht="17.25" spans="1:4">
      <c r="A9" s="47">
        <f>SUM(D8,D9,2)</f>
        <v>2</v>
      </c>
      <c r="B9" s="47" t="e">
        <f>MIN(A5:A11)</f>
        <v>#VALUE!</v>
      </c>
      <c r="C9" s="23" t="str">
        <f t="shared" si="0"/>
        <v>=MIN(A5:A11)</v>
      </c>
      <c r="D9" s="23"/>
    </row>
    <row r="10" ht="17.25" spans="1:4">
      <c r="A10" s="47" t="e">
        <f>SUM(D9,D10*1,2)</f>
        <v>#VALUE!</v>
      </c>
      <c r="B10" s="47"/>
      <c r="C10" s="23" t="e">
        <f t="shared" si="0"/>
        <v>#N/A</v>
      </c>
      <c r="D10" s="23" t="s">
        <v>2253</v>
      </c>
    </row>
    <row r="11" ht="17.25" spans="1:4">
      <c r="A11" s="47">
        <f>SUM(D10,D11,2)</f>
        <v>2</v>
      </c>
      <c r="B11" s="47"/>
      <c r="C11" s="23" t="e">
        <f t="shared" si="0"/>
        <v>#N/A</v>
      </c>
      <c r="D11" s="23" t="s">
        <v>2253</v>
      </c>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pane ySplit="2" topLeftCell="A3" activePane="bottomLeft" state="frozen"/>
      <selection/>
      <selection pane="bottomLeft" activeCell="A1" sqref="A1:F1"/>
    </sheetView>
  </sheetViews>
  <sheetFormatPr defaultColWidth="9" defaultRowHeight="13.5" outlineLevelRow="7" outlineLevelCol="5"/>
  <cols>
    <col min="1" max="1" width="14.25" customWidth="1"/>
    <col min="2" max="2" width="37.25" customWidth="1"/>
    <col min="3" max="3" width="14.75" customWidth="1"/>
    <col min="4" max="4" width="20.75" customWidth="1"/>
    <col min="5" max="5" width="21.625" customWidth="1"/>
    <col min="6" max="6" width="25.375" customWidth="1"/>
  </cols>
  <sheetData>
    <row r="1" ht="26" customHeight="1" spans="1:6">
      <c r="A1" s="2" t="s">
        <v>2254</v>
      </c>
      <c r="B1" s="2"/>
      <c r="C1" s="2"/>
      <c r="D1" s="2"/>
      <c r="E1" s="2"/>
      <c r="F1" s="2"/>
    </row>
    <row r="2" ht="137" customHeight="1" spans="1:6">
      <c r="A2" s="4" t="s">
        <v>2255</v>
      </c>
      <c r="B2" s="5"/>
      <c r="C2" s="5"/>
      <c r="D2" s="5"/>
      <c r="E2" s="5"/>
      <c r="F2" s="5"/>
    </row>
    <row r="3" ht="21" customHeight="1" spans="1:3">
      <c r="A3" s="45" t="s">
        <v>553</v>
      </c>
      <c r="B3" s="44"/>
      <c r="C3" s="44"/>
    </row>
    <row r="4" ht="16.5" spans="1:4">
      <c r="A4" s="23" t="s">
        <v>590</v>
      </c>
      <c r="B4" s="23" t="s">
        <v>622</v>
      </c>
      <c r="C4" s="23" t="s">
        <v>560</v>
      </c>
      <c r="D4" s="23"/>
    </row>
    <row r="5" ht="16.5" spans="1:4">
      <c r="A5" s="23">
        <f>MOD(3,2)</f>
        <v>1</v>
      </c>
      <c r="B5" s="23" t="s">
        <v>2256</v>
      </c>
      <c r="C5" s="23" t="str">
        <f>_xlfn.FORMULATEXT(A5)</f>
        <v>=MOD(3,2)</v>
      </c>
      <c r="D5" s="23"/>
    </row>
    <row r="6" ht="16.5" spans="1:4">
      <c r="A6" s="23">
        <f>MOD(-3,2)</f>
        <v>1</v>
      </c>
      <c r="B6" s="23" t="s">
        <v>2257</v>
      </c>
      <c r="C6" s="23" t="str">
        <f>_xlfn.FORMULATEXT(A6)</f>
        <v>=MOD(-3,2)</v>
      </c>
      <c r="D6" s="23"/>
    </row>
    <row r="7" ht="16.5" spans="1:4">
      <c r="A7" s="23">
        <f>MOD(3,-2)</f>
        <v>-1</v>
      </c>
      <c r="B7" s="23" t="s">
        <v>2258</v>
      </c>
      <c r="C7" s="23" t="str">
        <f>_xlfn.FORMULATEXT(A7)</f>
        <v>=MOD(3,-2)</v>
      </c>
      <c r="D7" s="23"/>
    </row>
    <row r="8" ht="16.5" spans="1:4">
      <c r="A8" s="23">
        <f>MOD(-3,-2)</f>
        <v>-1</v>
      </c>
      <c r="B8" s="23" t="s">
        <v>2259</v>
      </c>
      <c r="C8" s="23" t="str">
        <f>_xlfn.FORMULATEXT(A8)</f>
        <v>=MOD(-3,-2)</v>
      </c>
      <c r="D8" s="23"/>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37.25" customWidth="1"/>
    <col min="3" max="3" width="20.25" customWidth="1"/>
    <col min="4" max="4" width="20.75" customWidth="1"/>
    <col min="5" max="5" width="21.625" customWidth="1"/>
    <col min="6" max="6" width="25.375" customWidth="1"/>
  </cols>
  <sheetData>
    <row r="1" ht="26" customHeight="1" spans="1:6">
      <c r="A1" s="2" t="s">
        <v>2260</v>
      </c>
      <c r="B1" s="2"/>
      <c r="C1" s="2"/>
      <c r="D1" s="2"/>
      <c r="E1" s="2"/>
      <c r="F1" s="2"/>
    </row>
    <row r="2" ht="137" customHeight="1" spans="1:6">
      <c r="A2" s="4" t="s">
        <v>2261</v>
      </c>
      <c r="B2" s="5"/>
      <c r="C2" s="5"/>
      <c r="D2" s="5"/>
      <c r="E2" s="5"/>
      <c r="F2" s="5"/>
    </row>
    <row r="3" ht="21" customHeight="1" spans="1:3">
      <c r="A3" s="18" t="s">
        <v>2262</v>
      </c>
      <c r="B3" s="44"/>
      <c r="C3" s="44"/>
    </row>
    <row r="4" ht="16.5" spans="1:4">
      <c r="A4" s="23" t="s">
        <v>2263</v>
      </c>
      <c r="B4" s="23" t="s">
        <v>2264</v>
      </c>
      <c r="C4" s="23"/>
      <c r="D4" s="23"/>
    </row>
    <row r="5" ht="16.5" spans="1:4">
      <c r="A5" s="23" t="s">
        <v>1375</v>
      </c>
      <c r="B5" s="23">
        <v>1</v>
      </c>
      <c r="C5" s="23"/>
      <c r="D5" s="23"/>
    </row>
    <row r="6" ht="16.5" spans="1:4">
      <c r="A6" s="23" t="s">
        <v>609</v>
      </c>
      <c r="B6" s="23">
        <v>2</v>
      </c>
      <c r="C6" s="23"/>
      <c r="D6" s="23"/>
    </row>
    <row r="7" ht="16.5" spans="1:4">
      <c r="A7" s="23" t="s">
        <v>2265</v>
      </c>
      <c r="B7" s="23">
        <v>4</v>
      </c>
      <c r="C7" s="23"/>
      <c r="D7" s="23"/>
    </row>
    <row r="8" ht="16.5" spans="1:4">
      <c r="A8" s="23" t="s">
        <v>1380</v>
      </c>
      <c r="B8" s="23">
        <v>16</v>
      </c>
      <c r="C8" s="23"/>
      <c r="D8" s="23"/>
    </row>
    <row r="9" ht="16.5" spans="1:4">
      <c r="A9" s="23" t="s">
        <v>2266</v>
      </c>
      <c r="B9" s="23">
        <v>64</v>
      </c>
      <c r="C9" s="23"/>
      <c r="D9" s="23"/>
    </row>
    <row r="10" ht="18" spans="1:1">
      <c r="A10" s="45" t="s">
        <v>553</v>
      </c>
    </row>
    <row r="11" ht="15" spans="1:3">
      <c r="A11" s="41" t="s">
        <v>560</v>
      </c>
      <c r="B11" s="41" t="s">
        <v>622</v>
      </c>
      <c r="C11" s="41" t="s">
        <v>2267</v>
      </c>
    </row>
    <row r="12" ht="16.5" spans="1:3">
      <c r="A12" s="23">
        <f>TYPE(A3)</f>
        <v>2</v>
      </c>
      <c r="B12" s="23" t="s">
        <v>2268</v>
      </c>
      <c r="C12" s="23" t="str">
        <f>_xlfn.FORMULATEXT(A12)</f>
        <v>=TYPE(A3)</v>
      </c>
    </row>
    <row r="13" ht="16.5" spans="1:3">
      <c r="A13" s="23">
        <f>TYPE("第"&amp;A3)</f>
        <v>2</v>
      </c>
      <c r="B13" s="23" t="s">
        <v>2269</v>
      </c>
      <c r="C13" s="23" t="str">
        <f>_xlfn.FORMULATEXT(A13)</f>
        <v>=TYPE("第"&amp;A3)</v>
      </c>
    </row>
    <row r="14" ht="16.5" spans="1:3">
      <c r="A14" s="23">
        <f>TYPE(2+A3)</f>
        <v>16</v>
      </c>
      <c r="B14" s="23" t="s">
        <v>2270</v>
      </c>
      <c r="C14" s="23" t="str">
        <f>_xlfn.FORMULATEXT(A14)</f>
        <v>=TYPE(2+A3)</v>
      </c>
    </row>
    <row r="15" ht="16.5" spans="1:3">
      <c r="A15" s="23">
        <f>TYPE({1,2;3,4})</f>
        <v>64</v>
      </c>
      <c r="B15" s="23" t="s">
        <v>2271</v>
      </c>
      <c r="C15" s="23" t="str">
        <f>_xlfn.FORMULATEXT(A15)</f>
        <v>=TYPE({1,2;3,4})</v>
      </c>
    </row>
    <row r="16" ht="16.5" spans="1:3">
      <c r="A16" s="23"/>
      <c r="B16" s="23"/>
      <c r="C16" s="23"/>
    </row>
  </sheetData>
  <mergeCells count="2">
    <mergeCell ref="A1:F1"/>
    <mergeCell ref="A2:F2"/>
  </mergeCells>
  <dataValidations count="1">
    <dataValidation type="list" allowBlank="1" showInputMessage="1" showErrorMessage="1" sqref="B2">
      <formula1>函数!$C$1:$C$9</formula1>
    </dataValidation>
  </dataValidations>
  <pageMargins left="0.75" right="0.75" top="1" bottom="1" header="0.511805555555556" footer="0.511805555555556"/>
  <headerFooter/>
  <drawing r:id="rId1"/>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
  <sheetViews>
    <sheetView workbookViewId="0">
      <pane ySplit="2" topLeftCell="A6" activePane="bottomLeft" state="frozen"/>
      <selection/>
      <selection pane="bottomLeft" activeCell="A1" sqref="A1:F1"/>
    </sheetView>
  </sheetViews>
  <sheetFormatPr defaultColWidth="9" defaultRowHeight="13.5" outlineLevelCol="5"/>
  <cols>
    <col min="1" max="1" width="14.25" customWidth="1"/>
    <col min="2" max="2" width="21.875" customWidth="1"/>
    <col min="3" max="3" width="40.25" customWidth="1"/>
    <col min="4" max="4" width="20.75" customWidth="1"/>
    <col min="5" max="5" width="34.75" customWidth="1"/>
    <col min="6" max="6" width="25.375" customWidth="1"/>
  </cols>
  <sheetData>
    <row r="1" ht="26" customHeight="1" spans="1:6">
      <c r="A1" s="2" t="s">
        <v>2272</v>
      </c>
      <c r="B1" s="2"/>
      <c r="C1" s="2"/>
      <c r="D1" s="2"/>
      <c r="E1" s="2"/>
      <c r="F1" s="2"/>
    </row>
    <row r="2" ht="94" customHeight="1" spans="1:6">
      <c r="A2" s="4" t="s">
        <v>2273</v>
      </c>
      <c r="B2" s="5"/>
      <c r="C2" s="5"/>
      <c r="D2" s="5"/>
      <c r="E2" s="5"/>
      <c r="F2" s="5"/>
    </row>
    <row r="3" ht="16.5" spans="1:6">
      <c r="A3" s="36" t="s">
        <v>2274</v>
      </c>
      <c r="B3" s="36" t="s">
        <v>2275</v>
      </c>
      <c r="C3" s="37" t="s">
        <v>2276</v>
      </c>
      <c r="D3" s="36"/>
      <c r="E3" s="36" t="s">
        <v>2277</v>
      </c>
      <c r="F3" s="36"/>
    </row>
    <row r="4" s="35" customFormat="1" ht="39" customHeight="1" spans="1:6">
      <c r="A4" s="38" t="e">
        <v>#NULL!</v>
      </c>
      <c r="B4" s="38">
        <v>1</v>
      </c>
      <c r="C4" s="39" t="s">
        <v>2278</v>
      </c>
      <c r="D4" s="40"/>
      <c r="E4" s="40" t="s">
        <v>2279</v>
      </c>
      <c r="F4" s="40"/>
    </row>
    <row r="5" s="35" customFormat="1" ht="39" customHeight="1" spans="1:6">
      <c r="A5" s="38" t="e">
        <v>#DIV/0!</v>
      </c>
      <c r="B5" s="38">
        <v>2</v>
      </c>
      <c r="C5" s="39" t="s">
        <v>2280</v>
      </c>
      <c r="D5" s="40"/>
      <c r="E5" s="40" t="s">
        <v>2281</v>
      </c>
      <c r="F5" s="40"/>
    </row>
    <row r="6" s="35" customFormat="1" ht="54" customHeight="1" spans="1:6">
      <c r="A6" s="38" t="e">
        <v>#VALUE!</v>
      </c>
      <c r="B6" s="38">
        <v>3</v>
      </c>
      <c r="C6" s="39" t="s">
        <v>2282</v>
      </c>
      <c r="D6" s="40"/>
      <c r="E6" s="40" t="s">
        <v>2283</v>
      </c>
      <c r="F6" s="40"/>
    </row>
    <row r="7" s="35" customFormat="1" ht="39" customHeight="1" spans="1:6">
      <c r="A7" s="38" t="e">
        <v>#REF!</v>
      </c>
      <c r="B7" s="38">
        <v>4</v>
      </c>
      <c r="C7" s="39" t="s">
        <v>2284</v>
      </c>
      <c r="D7" s="40"/>
      <c r="E7" s="40" t="s">
        <v>2285</v>
      </c>
      <c r="F7" s="40"/>
    </row>
    <row r="8" s="35" customFormat="1" ht="66" customHeight="1" spans="1:6">
      <c r="A8" s="38" t="e">
        <v>#NAME?</v>
      </c>
      <c r="B8" s="38">
        <v>5</v>
      </c>
      <c r="C8" s="39" t="s">
        <v>2286</v>
      </c>
      <c r="D8" s="40"/>
      <c r="E8" s="40" t="s">
        <v>2287</v>
      </c>
      <c r="F8" s="40"/>
    </row>
    <row r="9" s="35" customFormat="1" ht="39" customHeight="1" spans="1:6">
      <c r="A9" s="38" t="e">
        <v>#NUM!</v>
      </c>
      <c r="B9" s="38">
        <v>6</v>
      </c>
      <c r="C9" s="39" t="s">
        <v>2288</v>
      </c>
      <c r="D9" s="40"/>
      <c r="E9" s="40" t="s">
        <v>2289</v>
      </c>
      <c r="F9" s="40"/>
    </row>
    <row r="10" s="35" customFormat="1" ht="39" customHeight="1" spans="1:6">
      <c r="A10" s="38" t="e">
        <v>#N/A</v>
      </c>
      <c r="B10" s="38">
        <v>7</v>
      </c>
      <c r="C10" s="39" t="s">
        <v>2290</v>
      </c>
      <c r="D10" s="40"/>
      <c r="E10" s="40" t="s">
        <v>2291</v>
      </c>
      <c r="F10" s="40"/>
    </row>
    <row r="11" ht="16.5" spans="1:6">
      <c r="A11" s="23"/>
      <c r="B11" s="23"/>
      <c r="C11" s="24"/>
      <c r="D11" s="25"/>
      <c r="E11" s="25"/>
      <c r="F11" s="25"/>
    </row>
    <row r="12" ht="21" spans="1:1">
      <c r="A12" s="6" t="s">
        <v>553</v>
      </c>
    </row>
    <row r="13" ht="15" spans="1:3">
      <c r="A13" s="41" t="s">
        <v>595</v>
      </c>
      <c r="B13" s="41" t="s">
        <v>2292</v>
      </c>
      <c r="C13" s="41" t="s">
        <v>590</v>
      </c>
    </row>
    <row r="14" ht="16.5" spans="1:3">
      <c r="A14" s="23" t="s">
        <v>2293</v>
      </c>
      <c r="B14" s="23">
        <v>44</v>
      </c>
      <c r="C14" s="23" t="e">
        <f>A14/B14</f>
        <v>#VALUE!</v>
      </c>
    </row>
    <row r="15" ht="25" customHeight="1" spans="1:3">
      <c r="A15" s="21"/>
      <c r="B15" s="42"/>
      <c r="C15" s="43" t="str">
        <f>IF(ISERROR(C14),LOOKUP(ERROR.TYPE(C14),$A$17:$A$23,$C$17:$C$23),"")</f>
        <v>请输入数值格式的文本</v>
      </c>
    </row>
    <row r="16" ht="24" customHeight="1"/>
    <row r="17" ht="16.5" spans="1:3">
      <c r="A17" s="38">
        <v>1</v>
      </c>
      <c r="B17" s="38" t="e">
        <v>#NULL!</v>
      </c>
      <c r="C17" s="38" t="s">
        <v>2294</v>
      </c>
    </row>
    <row r="18" ht="16.5" spans="1:3">
      <c r="A18" s="38">
        <v>2</v>
      </c>
      <c r="B18" s="38" t="e">
        <v>#DIV/0!</v>
      </c>
      <c r="C18" s="38" t="s">
        <v>2295</v>
      </c>
    </row>
    <row r="19" ht="16.5" spans="1:3">
      <c r="A19" s="38">
        <v>3</v>
      </c>
      <c r="B19" s="38" t="e">
        <v>#VALUE!</v>
      </c>
      <c r="C19" s="38" t="s">
        <v>2296</v>
      </c>
    </row>
    <row r="20" ht="16.5" spans="1:3">
      <c r="A20" s="38">
        <v>4</v>
      </c>
      <c r="B20" s="38" t="e">
        <v>#REF!</v>
      </c>
      <c r="C20" s="38" t="s">
        <v>2297</v>
      </c>
    </row>
    <row r="21" ht="16.5" spans="1:3">
      <c r="A21" s="38">
        <v>5</v>
      </c>
      <c r="B21" s="38" t="e">
        <v>#NAME?</v>
      </c>
      <c r="C21" s="38" t="s">
        <v>2298</v>
      </c>
    </row>
    <row r="22" ht="16.5" spans="1:3">
      <c r="A22" s="38">
        <v>6</v>
      </c>
      <c r="B22" s="38" t="e">
        <v>#NUM!</v>
      </c>
      <c r="C22" s="38" t="s">
        <v>2299</v>
      </c>
    </row>
    <row r="23" ht="16.5" spans="1:3">
      <c r="A23" s="38">
        <v>7</v>
      </c>
      <c r="B23" s="38" t="e">
        <v>#N/A</v>
      </c>
      <c r="C23" s="38" t="s">
        <v>2300</v>
      </c>
    </row>
  </sheetData>
  <mergeCells count="19">
    <mergeCell ref="A1:F1"/>
    <mergeCell ref="A2:F2"/>
    <mergeCell ref="C3:D3"/>
    <mergeCell ref="E3:F3"/>
    <mergeCell ref="C4:D4"/>
    <mergeCell ref="E4:F4"/>
    <mergeCell ref="C5:D5"/>
    <mergeCell ref="E5:F5"/>
    <mergeCell ref="C6:D6"/>
    <mergeCell ref="E6:F6"/>
    <mergeCell ref="C7:D7"/>
    <mergeCell ref="E7:F7"/>
    <mergeCell ref="C8:D8"/>
    <mergeCell ref="E8:F8"/>
    <mergeCell ref="C9:D9"/>
    <mergeCell ref="E9:F9"/>
    <mergeCell ref="C10:D10"/>
    <mergeCell ref="E10:F10"/>
    <mergeCell ref="E11:F11"/>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21.875" customWidth="1"/>
    <col min="3" max="3" width="15.375" customWidth="1"/>
    <col min="4" max="4" width="25.875" customWidth="1"/>
    <col min="5" max="5" width="34.75" customWidth="1"/>
    <col min="6" max="6" width="25.375" customWidth="1"/>
  </cols>
  <sheetData>
    <row r="1" ht="26" customHeight="1" spans="1:6">
      <c r="A1" s="2" t="s">
        <v>2301</v>
      </c>
      <c r="B1" s="2"/>
      <c r="C1" s="2"/>
      <c r="D1" s="2"/>
      <c r="E1" s="2"/>
      <c r="F1" s="2"/>
    </row>
    <row r="2" ht="105" customHeight="1" spans="1:6">
      <c r="A2" s="4" t="s">
        <v>2302</v>
      </c>
      <c r="B2" s="5"/>
      <c r="C2" s="5"/>
      <c r="D2" s="5"/>
      <c r="E2" s="5"/>
      <c r="F2" s="5"/>
    </row>
    <row r="3" ht="16.5" spans="1:6">
      <c r="A3" s="23"/>
      <c r="B3" s="23"/>
      <c r="C3" s="24"/>
      <c r="D3" s="25"/>
      <c r="E3" s="25"/>
      <c r="F3" s="25"/>
    </row>
    <row r="4" ht="21" spans="1:1">
      <c r="A4" s="6" t="s">
        <v>553</v>
      </c>
    </row>
    <row r="5" ht="26" customHeight="1" spans="1:1">
      <c r="A5" s="26" t="s">
        <v>2303</v>
      </c>
    </row>
    <row r="6" spans="1:1">
      <c r="A6" s="27"/>
    </row>
    <row r="7" spans="1:4">
      <c r="A7" s="28"/>
      <c r="B7" s="29" t="s">
        <v>637</v>
      </c>
      <c r="C7" s="29" t="s">
        <v>638</v>
      </c>
      <c r="D7" s="29" t="s">
        <v>945</v>
      </c>
    </row>
    <row r="8" ht="14.25" spans="1:4">
      <c r="A8" s="30">
        <v>1</v>
      </c>
      <c r="B8" s="29" t="s">
        <v>2304</v>
      </c>
      <c r="C8" s="29" t="s">
        <v>560</v>
      </c>
      <c r="D8" s="29" t="s">
        <v>622</v>
      </c>
    </row>
    <row r="9" ht="14.25" spans="1:4">
      <c r="A9" s="30">
        <v>2</v>
      </c>
      <c r="B9" s="33">
        <v>0.187789351851852</v>
      </c>
      <c r="C9" s="31">
        <f>HOUR(B9)</f>
        <v>4</v>
      </c>
      <c r="D9" s="31" t="s">
        <v>2305</v>
      </c>
    </row>
    <row r="10" ht="14.25" spans="1:4">
      <c r="A10" s="30">
        <v>3</v>
      </c>
      <c r="B10" s="33">
        <v>0.687789351851852</v>
      </c>
      <c r="C10" s="31">
        <f>HOUR(B10)</f>
        <v>16</v>
      </c>
      <c r="D10" s="31" t="s">
        <v>2306</v>
      </c>
    </row>
    <row r="11" ht="14.25" spans="1:4">
      <c r="A11" s="30">
        <v>4</v>
      </c>
      <c r="B11" s="34">
        <v>0.687789351851852</v>
      </c>
      <c r="C11" s="31">
        <f>HOUR(B11)</f>
        <v>16</v>
      </c>
      <c r="D11" s="31" t="s">
        <v>2306</v>
      </c>
    </row>
  </sheetData>
  <mergeCells count="3">
    <mergeCell ref="A1:F1"/>
    <mergeCell ref="A2:F2"/>
    <mergeCell ref="E3:F3"/>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21.875" customWidth="1"/>
    <col min="3" max="3" width="15.375" customWidth="1"/>
    <col min="4" max="4" width="25.875" customWidth="1"/>
    <col min="5" max="5" width="34.75" customWidth="1"/>
    <col min="6" max="6" width="25.375" customWidth="1"/>
  </cols>
  <sheetData>
    <row r="1" ht="26" customHeight="1" spans="1:6">
      <c r="A1" s="2" t="s">
        <v>2307</v>
      </c>
      <c r="B1" s="2"/>
      <c r="C1" s="2"/>
      <c r="D1" s="2"/>
      <c r="E1" s="2"/>
      <c r="F1" s="2"/>
    </row>
    <row r="2" ht="105" customHeight="1" spans="1:6">
      <c r="A2" s="4" t="s">
        <v>2308</v>
      </c>
      <c r="B2" s="5"/>
      <c r="C2" s="5"/>
      <c r="D2" s="5"/>
      <c r="E2" s="5"/>
      <c r="F2" s="5"/>
    </row>
    <row r="3" ht="16.5" spans="1:6">
      <c r="A3" s="23"/>
      <c r="B3" s="23"/>
      <c r="C3" s="24"/>
      <c r="D3" s="25"/>
      <c r="E3" s="25"/>
      <c r="F3" s="25"/>
    </row>
    <row r="4" ht="21" spans="1:1">
      <c r="A4" s="6" t="s">
        <v>553</v>
      </c>
    </row>
    <row r="5" ht="19" customHeight="1" spans="1:1">
      <c r="A5" s="26" t="s">
        <v>2303</v>
      </c>
    </row>
    <row r="6" spans="1:1">
      <c r="A6" s="27"/>
    </row>
    <row r="7" spans="1:4">
      <c r="A7" s="28"/>
      <c r="B7" s="29" t="s">
        <v>637</v>
      </c>
      <c r="C7" s="29" t="s">
        <v>638</v>
      </c>
      <c r="D7" s="29" t="s">
        <v>945</v>
      </c>
    </row>
    <row r="8" ht="14.25" spans="1:4">
      <c r="A8" s="30">
        <v>1</v>
      </c>
      <c r="B8" s="29" t="s">
        <v>2304</v>
      </c>
      <c r="C8" s="29" t="s">
        <v>560</v>
      </c>
      <c r="D8" s="29" t="s">
        <v>622</v>
      </c>
    </row>
    <row r="9" ht="14.25" spans="1:4">
      <c r="A9" s="30">
        <v>2</v>
      </c>
      <c r="B9" s="33">
        <v>0.187789351851852</v>
      </c>
      <c r="C9" s="31">
        <f>MINUTE(A6)</f>
        <v>0</v>
      </c>
      <c r="D9" s="31" t="s">
        <v>2309</v>
      </c>
    </row>
  </sheetData>
  <mergeCells count="3">
    <mergeCell ref="A1:F1"/>
    <mergeCell ref="A2:F2"/>
    <mergeCell ref="E3:F3"/>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pane ySplit="2" topLeftCell="A3" activePane="bottomLeft" state="frozen"/>
      <selection/>
      <selection pane="bottomLeft" activeCell="A1" sqref="A1:F1"/>
    </sheetView>
  </sheetViews>
  <sheetFormatPr defaultColWidth="9" defaultRowHeight="13.5" outlineLevelCol="5"/>
  <cols>
    <col min="1" max="1" width="14.25" customWidth="1"/>
    <col min="2" max="2" width="21.875" customWidth="1"/>
    <col min="3" max="3" width="15.375" customWidth="1"/>
    <col min="4" max="4" width="25.875" customWidth="1"/>
    <col min="5" max="5" width="34.75" customWidth="1"/>
    <col min="6" max="6" width="25.375" customWidth="1"/>
  </cols>
  <sheetData>
    <row r="1" ht="26" customHeight="1" spans="1:6">
      <c r="A1" s="2" t="s">
        <v>2310</v>
      </c>
      <c r="B1" s="2"/>
      <c r="C1" s="2"/>
      <c r="D1" s="2"/>
      <c r="E1" s="2"/>
      <c r="F1" s="2"/>
    </row>
    <row r="2" ht="78" customHeight="1" spans="1:6">
      <c r="A2" s="4" t="s">
        <v>2311</v>
      </c>
      <c r="B2" s="5"/>
      <c r="C2" s="5"/>
      <c r="D2" s="5"/>
      <c r="E2" s="5"/>
      <c r="F2" s="5"/>
    </row>
    <row r="3" ht="16.5" spans="1:6">
      <c r="A3" s="23"/>
      <c r="B3" s="23"/>
      <c r="C3" s="24"/>
      <c r="D3" s="25"/>
      <c r="E3" s="25"/>
      <c r="F3" s="25"/>
    </row>
    <row r="4" ht="21" spans="1:1">
      <c r="A4" s="6" t="s">
        <v>553</v>
      </c>
    </row>
    <row r="5" spans="1:1">
      <c r="A5" s="26" t="s">
        <v>2312</v>
      </c>
    </row>
    <row r="6" spans="1:1">
      <c r="A6" s="27"/>
    </row>
    <row r="7" spans="1:2">
      <c r="A7" s="28"/>
      <c r="B7" s="29" t="s">
        <v>637</v>
      </c>
    </row>
    <row r="8" ht="14.25" spans="1:2">
      <c r="A8" s="30">
        <v>1</v>
      </c>
      <c r="B8" s="29" t="s">
        <v>582</v>
      </c>
    </row>
    <row r="9" ht="14.25" spans="1:2">
      <c r="A9" s="30">
        <v>2</v>
      </c>
      <c r="B9" s="31">
        <v>-4</v>
      </c>
    </row>
    <row r="10" spans="1:1">
      <c r="A10" s="27"/>
    </row>
    <row r="11" spans="1:3">
      <c r="A11" s="32"/>
      <c r="B11" s="29" t="s">
        <v>560</v>
      </c>
      <c r="C11" s="29" t="s">
        <v>622</v>
      </c>
    </row>
    <row r="12" ht="14.25" spans="1:3">
      <c r="A12" s="32"/>
      <c r="B12" s="31">
        <f>ABS(2)</f>
        <v>2</v>
      </c>
      <c r="C12" s="31" t="s">
        <v>2313</v>
      </c>
    </row>
    <row r="13" ht="14.25" spans="1:3">
      <c r="A13" s="32"/>
      <c r="B13" s="31">
        <f>ABS(-2)</f>
        <v>2</v>
      </c>
      <c r="C13" s="31" t="s">
        <v>2314</v>
      </c>
    </row>
    <row r="14" ht="14.25" spans="1:3">
      <c r="A14" s="32"/>
      <c r="B14" s="31">
        <f>ABS(B9)</f>
        <v>4</v>
      </c>
      <c r="C14" s="31" t="s">
        <v>2315</v>
      </c>
    </row>
  </sheetData>
  <mergeCells count="3">
    <mergeCell ref="A1:F1"/>
    <mergeCell ref="A2:F2"/>
    <mergeCell ref="E3:F3"/>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
  <sheetViews>
    <sheetView workbookViewId="0">
      <pane ySplit="2" topLeftCell="A3" activePane="bottomLeft" state="frozen"/>
      <selection/>
      <selection pane="bottomLeft" activeCell="A1" sqref="A1:F1"/>
    </sheetView>
  </sheetViews>
  <sheetFormatPr defaultColWidth="9" defaultRowHeight="13.5" outlineLevelRow="1" outlineLevelCol="5"/>
  <cols>
    <col min="1" max="1" width="14.25" customWidth="1"/>
    <col min="2" max="2" width="21.875" customWidth="1"/>
    <col min="3" max="3" width="15.375" customWidth="1"/>
    <col min="4" max="4" width="25.875" customWidth="1"/>
    <col min="5" max="5" width="34.75" customWidth="1"/>
    <col min="6" max="6" width="25.375" customWidth="1"/>
  </cols>
  <sheetData>
    <row r="1" ht="26" customHeight="1" spans="1:6">
      <c r="A1" s="2" t="s">
        <v>2316</v>
      </c>
      <c r="B1" s="2"/>
      <c r="C1" s="2"/>
      <c r="D1" s="2"/>
      <c r="E1" s="2"/>
      <c r="F1" s="2"/>
    </row>
    <row r="2" ht="126" customHeight="1" spans="1:6">
      <c r="A2" s="4" t="s">
        <v>2317</v>
      </c>
      <c r="B2" s="5"/>
      <c r="C2" s="5"/>
      <c r="D2" s="5"/>
      <c r="E2" s="5"/>
      <c r="F2" s="5"/>
    </row>
  </sheetData>
  <mergeCells count="2">
    <mergeCell ref="A1:F1"/>
    <mergeCell ref="A2:F2"/>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
  <sheetViews>
    <sheetView workbookViewId="0">
      <pane ySplit="2" topLeftCell="A3" activePane="bottomLeft" state="frozen"/>
      <selection/>
      <selection pane="bottomLeft" activeCell="A1" sqref="A1:F1"/>
    </sheetView>
  </sheetViews>
  <sheetFormatPr defaultColWidth="9" defaultRowHeight="13.5" outlineLevelRow="5" outlineLevelCol="5"/>
  <cols>
    <col min="1" max="1" width="21.25" customWidth="1"/>
    <col min="2" max="2" width="21.875" customWidth="1"/>
    <col min="3" max="3" width="17.5" customWidth="1"/>
    <col min="4" max="4" width="25.875" customWidth="1"/>
    <col min="5" max="5" width="34.75" customWidth="1"/>
    <col min="6" max="6" width="25.375" customWidth="1"/>
  </cols>
  <sheetData>
    <row r="1" ht="26" customHeight="1" spans="1:6">
      <c r="A1" s="2" t="s">
        <v>2318</v>
      </c>
      <c r="B1" s="2"/>
      <c r="C1" s="2"/>
      <c r="D1" s="2"/>
      <c r="E1" s="2"/>
      <c r="F1" s="2"/>
    </row>
    <row r="2" ht="78" customHeight="1" spans="1:6">
      <c r="A2" s="4" t="s">
        <v>2319</v>
      </c>
      <c r="B2" s="5"/>
      <c r="C2" s="5"/>
      <c r="D2" s="5"/>
      <c r="E2" s="5"/>
      <c r="F2" s="5"/>
    </row>
    <row r="3" ht="21" spans="1:1">
      <c r="A3" s="6" t="s">
        <v>553</v>
      </c>
    </row>
    <row r="4" ht="16.5" spans="1:3">
      <c r="A4" s="21" t="s">
        <v>2320</v>
      </c>
      <c r="B4" s="22">
        <f>ROUND(PI(),10)</f>
        <v>3.1415926536</v>
      </c>
      <c r="C4" s="21" t="s">
        <v>2321</v>
      </c>
    </row>
    <row r="5" ht="16.5" spans="1:3">
      <c r="A5" s="21" t="s">
        <v>2322</v>
      </c>
      <c r="B5" s="21"/>
      <c r="C5" s="21"/>
    </row>
    <row r="6" ht="16.5" spans="1:3">
      <c r="A6" s="21">
        <v>2.5</v>
      </c>
      <c r="B6" s="21">
        <f>SQRT(A6)*PI()</f>
        <v>4.96729413289805</v>
      </c>
      <c r="C6" s="21" t="s">
        <v>2323</v>
      </c>
    </row>
  </sheetData>
  <mergeCells count="2">
    <mergeCell ref="A1:F1"/>
    <mergeCell ref="A2:F2"/>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pane ySplit="2" topLeftCell="A3" activePane="bottomLeft" state="frozen"/>
      <selection/>
      <selection pane="bottomLeft" activeCell="A2" sqref="A2:F2"/>
    </sheetView>
  </sheetViews>
  <sheetFormatPr defaultColWidth="9" defaultRowHeight="13.5" outlineLevelCol="5"/>
  <cols>
    <col min="1" max="1" width="21.25" customWidth="1"/>
    <col min="2" max="2" width="21.875" customWidth="1"/>
    <col min="3" max="3" width="17.5" customWidth="1"/>
    <col min="4" max="4" width="25.875" customWidth="1"/>
    <col min="5" max="5" width="34.75" customWidth="1"/>
    <col min="6" max="6" width="25.375" customWidth="1"/>
  </cols>
  <sheetData>
    <row r="1" ht="26" customHeight="1" spans="1:6">
      <c r="A1" s="2" t="s">
        <v>2324</v>
      </c>
      <c r="B1" s="2"/>
      <c r="C1" s="2"/>
      <c r="D1" s="2"/>
      <c r="E1" s="2"/>
      <c r="F1" s="2"/>
    </row>
    <row r="2" ht="65" customHeight="1" spans="1:6">
      <c r="A2" s="4" t="s">
        <v>2325</v>
      </c>
      <c r="B2" s="5"/>
      <c r="C2" s="5"/>
      <c r="D2" s="5"/>
      <c r="E2" s="5"/>
      <c r="F2" s="5"/>
    </row>
    <row r="3" ht="21" spans="1:1">
      <c r="A3" s="6" t="s">
        <v>553</v>
      </c>
    </row>
    <row r="4" ht="16.5" spans="1:3">
      <c r="A4" s="21">
        <v>48</v>
      </c>
      <c r="B4" s="22" t="s">
        <v>2326</v>
      </c>
      <c r="C4" s="21"/>
    </row>
    <row r="5" ht="16.5" spans="1:3">
      <c r="A5" s="21">
        <v>36</v>
      </c>
      <c r="B5" s="21">
        <f>GCD(A4:A6)</f>
        <v>12</v>
      </c>
      <c r="C5" s="21" t="s">
        <v>2327</v>
      </c>
    </row>
    <row r="6" ht="16.5" spans="1:3">
      <c r="A6" s="21">
        <v>24</v>
      </c>
      <c r="B6" s="21"/>
      <c r="C6" s="21"/>
    </row>
    <row r="7" ht="51" customHeight="1" spans="1:3">
      <c r="A7" s="20" t="s">
        <v>2328</v>
      </c>
      <c r="B7" s="20"/>
      <c r="C7" s="20"/>
    </row>
    <row r="8" ht="16.5" spans="1:2">
      <c r="A8" s="21">
        <v>12</v>
      </c>
      <c r="B8" s="22" t="s">
        <v>2326</v>
      </c>
    </row>
    <row r="9" ht="16.5" spans="1:2">
      <c r="A9" s="21">
        <v>48</v>
      </c>
      <c r="B9" s="21">
        <f>GCD(A8:A11)</f>
        <v>2</v>
      </c>
    </row>
    <row r="10" ht="16.5" spans="1:2">
      <c r="A10" s="21">
        <v>38.9</v>
      </c>
      <c r="B10" s="21"/>
    </row>
    <row r="11" ht="16.5" spans="1:2">
      <c r="A11" s="3">
        <v>8.1</v>
      </c>
      <c r="B11" s="21"/>
    </row>
    <row r="12" ht="16.5" spans="1:2">
      <c r="A12" s="7"/>
      <c r="B12" s="7"/>
    </row>
  </sheetData>
  <mergeCells count="3">
    <mergeCell ref="A1:F1"/>
    <mergeCell ref="A2:F2"/>
    <mergeCell ref="A7:C7"/>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pane ySplit="2" topLeftCell="A3" activePane="bottomLeft" state="frozen"/>
      <selection/>
      <selection pane="bottomLeft" activeCell="A1" sqref="A1:F1"/>
    </sheetView>
  </sheetViews>
  <sheetFormatPr defaultColWidth="9" defaultRowHeight="13.5" outlineLevelCol="5"/>
  <cols>
    <col min="1" max="1" width="21.25" customWidth="1"/>
    <col min="2" max="2" width="21.875" customWidth="1"/>
    <col min="3" max="3" width="17.5" customWidth="1"/>
    <col min="4" max="4" width="25.875" customWidth="1"/>
    <col min="5" max="5" width="34.75" customWidth="1"/>
    <col min="6" max="6" width="25.375" customWidth="1"/>
  </cols>
  <sheetData>
    <row r="1" ht="26" customHeight="1" spans="1:6">
      <c r="A1" s="2" t="s">
        <v>2329</v>
      </c>
      <c r="B1" s="2"/>
      <c r="C1" s="2"/>
      <c r="D1" s="2"/>
      <c r="E1" s="2"/>
      <c r="F1" s="2"/>
    </row>
    <row r="2" ht="133" customHeight="1" spans="1:6">
      <c r="A2" s="4" t="s">
        <v>2330</v>
      </c>
      <c r="B2" s="5"/>
      <c r="C2" s="5"/>
      <c r="D2" s="5"/>
      <c r="E2" s="5"/>
      <c r="F2" s="5"/>
    </row>
    <row r="3" ht="21.75" spans="1:1">
      <c r="A3" s="6" t="s">
        <v>553</v>
      </c>
    </row>
    <row r="4" ht="18" spans="1:5">
      <c r="A4" s="19" t="s">
        <v>2331</v>
      </c>
      <c r="B4" s="10" t="s">
        <v>2332</v>
      </c>
      <c r="C4" s="10" t="s">
        <v>560</v>
      </c>
      <c r="D4" s="10" t="s">
        <v>590</v>
      </c>
      <c r="E4" s="10" t="s">
        <v>1666</v>
      </c>
    </row>
    <row r="5" ht="18" spans="1:5">
      <c r="A5" s="15">
        <v>8</v>
      </c>
      <c r="B5" s="13">
        <v>1</v>
      </c>
      <c r="C5" s="13" t="s">
        <v>2333</v>
      </c>
      <c r="D5" s="13">
        <v>8</v>
      </c>
      <c r="E5" s="13" t="s">
        <v>2334</v>
      </c>
    </row>
    <row r="6" ht="18" spans="1:5">
      <c r="A6" s="15">
        <v>8</v>
      </c>
      <c r="B6" s="13">
        <v>2</v>
      </c>
      <c r="C6" s="13" t="s">
        <v>2335</v>
      </c>
      <c r="D6" s="13">
        <v>28</v>
      </c>
      <c r="E6" s="13" t="s">
        <v>2336</v>
      </c>
    </row>
    <row r="7" ht="18" spans="1:5">
      <c r="A7" s="15">
        <v>8</v>
      </c>
      <c r="B7" s="13">
        <v>2</v>
      </c>
      <c r="C7" s="13" t="s">
        <v>2337</v>
      </c>
      <c r="D7" s="13">
        <v>28</v>
      </c>
      <c r="E7" s="13" t="s">
        <v>2338</v>
      </c>
    </row>
    <row r="8" ht="18" spans="1:5">
      <c r="A8" s="15">
        <v>8</v>
      </c>
      <c r="B8" s="13">
        <v>3</v>
      </c>
      <c r="C8" s="13" t="s">
        <v>2339</v>
      </c>
      <c r="D8" s="13">
        <v>56</v>
      </c>
      <c r="E8" s="13" t="s">
        <v>2340</v>
      </c>
    </row>
    <row r="9" ht="18" spans="1:5">
      <c r="A9" s="15">
        <v>8</v>
      </c>
      <c r="B9" s="13">
        <v>4</v>
      </c>
      <c r="C9" s="13" t="s">
        <v>2341</v>
      </c>
      <c r="D9" s="13">
        <v>70</v>
      </c>
      <c r="E9" s="13" t="s">
        <v>2342</v>
      </c>
    </row>
    <row r="10" ht="18" spans="1:5">
      <c r="A10" s="15">
        <v>8</v>
      </c>
      <c r="B10" s="13">
        <v>5</v>
      </c>
      <c r="C10" s="13" t="s">
        <v>2343</v>
      </c>
      <c r="D10" s="13">
        <v>56</v>
      </c>
      <c r="E10" s="13" t="s">
        <v>2344</v>
      </c>
    </row>
    <row r="11" ht="18" spans="1:5">
      <c r="A11" s="15">
        <v>8</v>
      </c>
      <c r="B11" s="13">
        <v>7</v>
      </c>
      <c r="C11" s="13" t="s">
        <v>2345</v>
      </c>
      <c r="D11" s="13">
        <v>8</v>
      </c>
      <c r="E11" s="13" t="s">
        <v>2346</v>
      </c>
    </row>
    <row r="12" ht="18" spans="1:5">
      <c r="A12" s="15">
        <v>8</v>
      </c>
      <c r="B12" s="13">
        <v>8</v>
      </c>
      <c r="C12" s="13" t="s">
        <v>2347</v>
      </c>
      <c r="D12" s="13">
        <v>1</v>
      </c>
      <c r="E12" s="13" t="s">
        <v>2348</v>
      </c>
    </row>
    <row r="13" ht="21" spans="1:1">
      <c r="A13" s="6" t="s">
        <v>574</v>
      </c>
    </row>
    <row r="14" ht="54" customHeight="1" spans="1:5">
      <c r="A14" s="20" t="s">
        <v>2349</v>
      </c>
      <c r="B14" s="20"/>
      <c r="C14" s="20"/>
      <c r="D14" s="20"/>
      <c r="E14" s="20"/>
    </row>
  </sheetData>
  <mergeCells count="3">
    <mergeCell ref="A1:F1"/>
    <mergeCell ref="A2:F2"/>
    <mergeCell ref="A14:E14"/>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7"/>
  <sheetViews>
    <sheetView workbookViewId="0">
      <pane ySplit="2" topLeftCell="A3" activePane="bottomLeft" state="frozen"/>
      <selection/>
      <selection pane="bottomLeft" activeCell="H14" sqref="H14"/>
    </sheetView>
  </sheetViews>
  <sheetFormatPr defaultColWidth="9" defaultRowHeight="13.5" outlineLevelCol="7"/>
  <cols>
    <col min="1" max="1" width="16.5" customWidth="1"/>
    <col min="2" max="2" width="19.875" customWidth="1"/>
    <col min="3" max="3" width="8" customWidth="1"/>
    <col min="4" max="4" width="16.125" customWidth="1"/>
    <col min="5" max="5" width="22.75" customWidth="1"/>
    <col min="6" max="6" width="17.375" customWidth="1"/>
    <col min="7" max="7" width="26.75" customWidth="1"/>
    <col min="8" max="8" width="25.375" customWidth="1"/>
  </cols>
  <sheetData>
    <row r="1" ht="26" customHeight="1" spans="1:8">
      <c r="A1" s="2" t="s">
        <v>2350</v>
      </c>
      <c r="B1" s="2"/>
      <c r="C1" s="2"/>
      <c r="D1" s="2"/>
      <c r="E1" s="2"/>
      <c r="F1" s="2"/>
      <c r="G1" s="2"/>
      <c r="H1" s="2"/>
    </row>
    <row r="2" ht="120" customHeight="1" spans="1:8">
      <c r="A2" s="4" t="s">
        <v>2351</v>
      </c>
      <c r="B2" s="5"/>
      <c r="C2" s="5"/>
      <c r="D2" s="5"/>
      <c r="E2" s="5"/>
      <c r="F2" s="5"/>
      <c r="G2" s="5"/>
      <c r="H2" s="5"/>
    </row>
    <row r="3" ht="21.75" spans="1:2">
      <c r="A3" s="6" t="s">
        <v>553</v>
      </c>
      <c r="B3" s="7" t="s">
        <v>2352</v>
      </c>
    </row>
    <row r="4" ht="18" spans="1:6">
      <c r="A4" s="8" t="s">
        <v>1915</v>
      </c>
      <c r="B4" s="9" t="s">
        <v>2146</v>
      </c>
      <c r="C4" s="9" t="s">
        <v>2353</v>
      </c>
      <c r="D4" s="10"/>
      <c r="E4" s="9" t="s">
        <v>2354</v>
      </c>
      <c r="F4" s="9" t="s">
        <v>2355</v>
      </c>
    </row>
    <row r="5" ht="18" spans="1:6">
      <c r="A5" s="15" t="s">
        <v>2356</v>
      </c>
      <c r="B5" s="13" t="s">
        <v>2357</v>
      </c>
      <c r="C5" s="13">
        <v>3000</v>
      </c>
      <c r="D5" s="13"/>
      <c r="E5" s="13" t="s">
        <v>2357</v>
      </c>
      <c r="F5" s="13">
        <f>SUMIF($B$5:$B$11,E5,$C$5:$C$11)</f>
        <v>9500</v>
      </c>
    </row>
    <row r="6" ht="18" spans="1:6">
      <c r="A6" s="15" t="s">
        <v>2358</v>
      </c>
      <c r="B6" s="13" t="s">
        <v>2359</v>
      </c>
      <c r="C6" s="13">
        <v>2344</v>
      </c>
      <c r="D6" s="13"/>
      <c r="E6" s="13" t="s">
        <v>2359</v>
      </c>
      <c r="F6" s="13">
        <f>SUMIF($B$5:$B$11,E6,$C$5:$C$11)</f>
        <v>5811</v>
      </c>
    </row>
    <row r="7" ht="18" spans="1:6">
      <c r="A7" s="15" t="s">
        <v>2360</v>
      </c>
      <c r="B7" s="13" t="s">
        <v>2361</v>
      </c>
      <c r="C7" s="13">
        <v>3456</v>
      </c>
      <c r="D7" s="13"/>
      <c r="E7" s="13" t="s">
        <v>2361</v>
      </c>
      <c r="F7" s="13">
        <f>SUMIF($B$5:$B$11,E7,$C$5:$C$11)</f>
        <v>5823</v>
      </c>
    </row>
    <row r="8" ht="18" spans="1:7">
      <c r="A8" s="15" t="s">
        <v>2356</v>
      </c>
      <c r="B8" s="13" t="s">
        <v>2359</v>
      </c>
      <c r="C8" s="13">
        <v>3467</v>
      </c>
      <c r="D8" s="13"/>
      <c r="E8" s="13"/>
      <c r="F8" s="13"/>
      <c r="G8" s="13"/>
    </row>
    <row r="9" ht="18" spans="1:7">
      <c r="A9" s="15" t="s">
        <v>2358</v>
      </c>
      <c r="B9" s="13" t="s">
        <v>2357</v>
      </c>
      <c r="C9" s="13">
        <v>4000</v>
      </c>
      <c r="D9" s="13"/>
      <c r="E9" s="13"/>
      <c r="F9" s="13"/>
      <c r="G9" s="13"/>
    </row>
    <row r="10" ht="18" spans="1:7">
      <c r="A10" s="15" t="s">
        <v>2360</v>
      </c>
      <c r="B10" s="13" t="s">
        <v>2357</v>
      </c>
      <c r="C10" s="13">
        <v>2500</v>
      </c>
      <c r="D10" s="13"/>
      <c r="E10" s="13"/>
      <c r="F10" s="13"/>
      <c r="G10" s="13"/>
    </row>
    <row r="11" ht="18" spans="1:7">
      <c r="A11" s="15" t="s">
        <v>2360</v>
      </c>
      <c r="B11" s="13" t="s">
        <v>2361</v>
      </c>
      <c r="C11" s="13">
        <v>2367</v>
      </c>
      <c r="D11" s="13"/>
      <c r="E11" s="13"/>
      <c r="F11" s="13"/>
      <c r="G11" s="13"/>
    </row>
    <row r="12" ht="18" spans="1:7">
      <c r="A12" s="15"/>
      <c r="B12" s="13"/>
      <c r="C12" s="13"/>
      <c r="D12" s="13"/>
      <c r="E12" s="13"/>
      <c r="F12" s="13"/>
      <c r="G12" s="13"/>
    </row>
    <row r="13" ht="21" spans="1:2">
      <c r="A13" s="6" t="s">
        <v>574</v>
      </c>
      <c r="B13" s="16" t="s">
        <v>2362</v>
      </c>
    </row>
    <row r="14" ht="19" customHeight="1" spans="1:7">
      <c r="A14" s="17" t="s">
        <v>594</v>
      </c>
      <c r="B14" s="17" t="s">
        <v>1840</v>
      </c>
      <c r="C14" s="17" t="s">
        <v>1840</v>
      </c>
      <c r="D14" s="17" t="s">
        <v>1840</v>
      </c>
      <c r="E14" s="17" t="s">
        <v>1840</v>
      </c>
      <c r="F14" s="17" t="s">
        <v>1840</v>
      </c>
      <c r="G14" s="17"/>
    </row>
    <row r="15" spans="1:6">
      <c r="A15" t="s">
        <v>1254</v>
      </c>
      <c r="B15" s="18">
        <v>67</v>
      </c>
      <c r="C15" s="18">
        <v>88</v>
      </c>
      <c r="D15">
        <v>90</v>
      </c>
      <c r="E15">
        <v>65</v>
      </c>
      <c r="F15">
        <v>89</v>
      </c>
    </row>
    <row r="16" spans="1:5">
      <c r="A16" t="s">
        <v>2363</v>
      </c>
      <c r="B16" s="18">
        <v>90</v>
      </c>
      <c r="C16" s="18">
        <v>85</v>
      </c>
      <c r="D16">
        <v>99</v>
      </c>
      <c r="E16">
        <v>78</v>
      </c>
    </row>
    <row r="17" spans="1:4">
      <c r="A17" t="s">
        <v>2364</v>
      </c>
      <c r="B17" s="18">
        <v>79</v>
      </c>
      <c r="C17" s="18">
        <v>78</v>
      </c>
      <c r="D17">
        <v>90</v>
      </c>
    </row>
    <row r="18" spans="1:5">
      <c r="A18" t="s">
        <v>2365</v>
      </c>
      <c r="B18" s="18">
        <v>87</v>
      </c>
      <c r="C18" s="18">
        <v>86</v>
      </c>
      <c r="D18">
        <v>90</v>
      </c>
      <c r="E18">
        <v>65</v>
      </c>
    </row>
    <row r="19" spans="1:4">
      <c r="A19" t="s">
        <v>2366</v>
      </c>
      <c r="B19" s="18">
        <v>82</v>
      </c>
      <c r="C19" s="18">
        <v>90</v>
      </c>
      <c r="D19">
        <v>57</v>
      </c>
    </row>
    <row r="20" spans="1:6">
      <c r="A20" t="s">
        <v>2367</v>
      </c>
      <c r="B20" s="18">
        <v>90</v>
      </c>
      <c r="C20" s="18">
        <v>95</v>
      </c>
      <c r="D20">
        <v>90</v>
      </c>
      <c r="E20">
        <v>96</v>
      </c>
      <c r="F20">
        <v>93</v>
      </c>
    </row>
    <row r="21" spans="2:2">
      <c r="B21" s="18" t="s">
        <v>2368</v>
      </c>
    </row>
    <row r="22" spans="1:2">
      <c r="A22" t="s">
        <v>1254</v>
      </c>
      <c r="B22" s="18">
        <f t="shared" ref="B22:B27" si="0">SUMIF(C15:G15,"",B15:F15)</f>
        <v>89</v>
      </c>
    </row>
    <row r="23" spans="1:2">
      <c r="A23" t="s">
        <v>2363</v>
      </c>
      <c r="B23" s="18">
        <f t="shared" si="0"/>
        <v>78</v>
      </c>
    </row>
    <row r="24" spans="1:2">
      <c r="A24" t="s">
        <v>2364</v>
      </c>
      <c r="B24" s="18">
        <f t="shared" si="0"/>
        <v>90</v>
      </c>
    </row>
    <row r="25" spans="1:2">
      <c r="A25" t="s">
        <v>2365</v>
      </c>
      <c r="B25" s="18">
        <f t="shared" si="0"/>
        <v>65</v>
      </c>
    </row>
    <row r="26" spans="1:2">
      <c r="A26" t="s">
        <v>2366</v>
      </c>
      <c r="B26" s="18">
        <f t="shared" si="0"/>
        <v>57</v>
      </c>
    </row>
    <row r="27" spans="1:2">
      <c r="A27" t="s">
        <v>2367</v>
      </c>
      <c r="B27" s="18">
        <f t="shared" si="0"/>
        <v>93</v>
      </c>
    </row>
  </sheetData>
  <mergeCells count="2">
    <mergeCell ref="A1:H1"/>
    <mergeCell ref="A2:H2"/>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
  <sheetViews>
    <sheetView workbookViewId="0">
      <pane ySplit="2" topLeftCell="A3" activePane="bottomLeft" state="frozen"/>
      <selection/>
      <selection pane="bottomLeft" activeCell="A1" sqref="$A1:$XFD1"/>
    </sheetView>
  </sheetViews>
  <sheetFormatPr defaultColWidth="9" defaultRowHeight="13.5" outlineLevelCol="7"/>
  <cols>
    <col min="1" max="1" width="16.5" customWidth="1"/>
    <col min="2" max="2" width="19.875" customWidth="1"/>
    <col min="3" max="3" width="17.5" customWidth="1"/>
    <col min="4" max="4" width="32.375" customWidth="1"/>
    <col min="5" max="6" width="17.375" customWidth="1"/>
    <col min="7" max="7" width="26.75" customWidth="1"/>
    <col min="8" max="8" width="25.375" customWidth="1"/>
  </cols>
  <sheetData>
    <row r="1" ht="26" customHeight="1" spans="1:8">
      <c r="A1" s="2" t="s">
        <v>2369</v>
      </c>
      <c r="B1" s="2"/>
      <c r="C1" s="2"/>
      <c r="D1" s="2"/>
      <c r="E1" s="2"/>
      <c r="F1" s="2"/>
      <c r="G1" s="2"/>
      <c r="H1" s="2"/>
    </row>
    <row r="2" ht="87" customHeight="1" spans="1:8">
      <c r="A2" s="4" t="s">
        <v>2370</v>
      </c>
      <c r="B2" s="5"/>
      <c r="C2" s="5"/>
      <c r="D2" s="5"/>
      <c r="E2" s="5"/>
      <c r="F2" s="5"/>
      <c r="G2" s="5"/>
      <c r="H2" s="5"/>
    </row>
    <row r="3" ht="21.75" spans="1:2">
      <c r="A3" s="6" t="s">
        <v>553</v>
      </c>
      <c r="B3" s="7" t="s">
        <v>2371</v>
      </c>
    </row>
    <row r="4" ht="18" spans="1:6">
      <c r="A4" s="8" t="s">
        <v>2077</v>
      </c>
      <c r="B4" s="9" t="s">
        <v>2372</v>
      </c>
      <c r="C4" s="9" t="s">
        <v>560</v>
      </c>
      <c r="D4" s="10" t="s">
        <v>558</v>
      </c>
      <c r="E4" s="9"/>
      <c r="F4" s="9"/>
    </row>
    <row r="5" ht="18" spans="1:6">
      <c r="A5" s="11" t="s">
        <v>2373</v>
      </c>
      <c r="B5" s="12">
        <f>DATEVALUE(A5)</f>
        <v>1</v>
      </c>
      <c r="C5" s="13" t="str">
        <f>_xlfn.FORMULATEXT(B5)</f>
        <v>=DATEVALUE(A5)</v>
      </c>
      <c r="D5" s="13"/>
      <c r="E5" s="13"/>
      <c r="F5" s="13"/>
    </row>
    <row r="6" ht="18" spans="1:6">
      <c r="A6" s="11" t="s">
        <v>2374</v>
      </c>
      <c r="B6" s="12">
        <f>DATEVALUE(A6)</f>
        <v>29595</v>
      </c>
      <c r="C6" s="13" t="str">
        <f>_xlfn.FORMULATEXT(B6)</f>
        <v>=DATEVALUE(A6)</v>
      </c>
      <c r="D6" s="13"/>
      <c r="E6" s="13"/>
      <c r="F6" s="13"/>
    </row>
    <row r="7" ht="18" spans="1:6">
      <c r="A7" s="11" t="s">
        <v>2375</v>
      </c>
      <c r="B7" s="12" t="e">
        <f t="shared" ref="B7:B12" si="0">DATEVALUE(A7)</f>
        <v>#VALUE!</v>
      </c>
      <c r="C7" s="13" t="str">
        <f t="shared" ref="C7:C12" si="1">_xlfn.FORMULATEXT(B7)</f>
        <v>=DATEVALUE(A7)</v>
      </c>
      <c r="D7" s="13" t="s">
        <v>2376</v>
      </c>
      <c r="E7" s="13"/>
      <c r="F7" s="13"/>
    </row>
    <row r="8" ht="18" spans="1:7">
      <c r="A8" s="11" t="s">
        <v>2377</v>
      </c>
      <c r="B8" s="12">
        <f t="shared" si="0"/>
        <v>32241</v>
      </c>
      <c r="C8" s="13" t="str">
        <f t="shared" si="1"/>
        <v>=DATEVALUE(A8)</v>
      </c>
      <c r="D8" s="13"/>
      <c r="E8" s="13"/>
      <c r="F8" s="13"/>
      <c r="G8" s="13"/>
    </row>
    <row r="9" ht="18" spans="1:7">
      <c r="A9" s="11" t="s">
        <v>2378</v>
      </c>
      <c r="B9" s="12" t="e">
        <f t="shared" si="0"/>
        <v>#VALUE!</v>
      </c>
      <c r="C9" s="13" t="str">
        <f t="shared" si="1"/>
        <v>=DATEVALUE(A9)</v>
      </c>
      <c r="D9" s="13" t="s">
        <v>2379</v>
      </c>
      <c r="E9" s="13"/>
      <c r="F9" s="13"/>
      <c r="G9" s="13"/>
    </row>
    <row r="10" ht="18" spans="1:7">
      <c r="A10" s="11" t="s">
        <v>2380</v>
      </c>
      <c r="B10" s="12">
        <f t="shared" si="0"/>
        <v>43289</v>
      </c>
      <c r="C10" s="13" t="str">
        <f t="shared" si="1"/>
        <v>=DATEVALUE(A10)</v>
      </c>
      <c r="D10" s="13"/>
      <c r="E10" s="13"/>
      <c r="F10" s="13"/>
      <c r="G10" s="13"/>
    </row>
    <row r="11" ht="18" spans="1:7">
      <c r="A11" s="11" t="s">
        <v>2381</v>
      </c>
      <c r="B11" s="12">
        <f t="shared" si="0"/>
        <v>43282</v>
      </c>
      <c r="C11" s="13" t="str">
        <f t="shared" si="1"/>
        <v>=DATEVALUE(A11)</v>
      </c>
      <c r="D11" s="13" t="s">
        <v>2382</v>
      </c>
      <c r="E11" s="13"/>
      <c r="F11" s="13"/>
      <c r="G11" s="13"/>
    </row>
    <row r="12" ht="35.25" spans="1:4">
      <c r="A12" s="14">
        <v>43289</v>
      </c>
      <c r="B12" s="12" t="e">
        <f t="shared" si="0"/>
        <v>#VALUE!</v>
      </c>
      <c r="C12" s="13" t="str">
        <f t="shared" si="1"/>
        <v>=DATEVALUE(A12)</v>
      </c>
      <c r="D12" s="13" t="s">
        <v>2383</v>
      </c>
    </row>
  </sheetData>
  <mergeCells count="2">
    <mergeCell ref="A1:H1"/>
    <mergeCell ref="A2:H2"/>
  </mergeCells>
  <dataValidations count="1">
    <dataValidation type="list" allowBlank="1" showInputMessage="1" showErrorMessage="1" sqref="B2">
      <formula1>#REF!</formula1>
    </dataValidation>
  </dataValidations>
  <pageMargins left="0.75" right="0.75" top="1" bottom="1" header="0.511805555555556" footer="0.511805555555556"/>
  <headerFooter/>
  <drawing r:id="rId1"/>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
  <sheetViews>
    <sheetView showGridLines="0" workbookViewId="0">
      <selection activeCell="A1" sqref="A1:H1"/>
    </sheetView>
  </sheetViews>
  <sheetFormatPr defaultColWidth="9" defaultRowHeight="13.5" outlineLevelRow="1" outlineLevelCol="7"/>
  <sheetData>
    <row r="1" ht="26" customHeight="1" spans="1:8">
      <c r="A1" s="2"/>
      <c r="B1" s="2"/>
      <c r="C1" s="2"/>
      <c r="D1" s="2"/>
      <c r="E1" s="2"/>
      <c r="F1" s="2"/>
      <c r="G1" s="2"/>
      <c r="H1" s="2"/>
    </row>
    <row r="2" ht="45" customHeight="1" spans="1:8">
      <c r="A2" s="3"/>
      <c r="B2" s="3"/>
      <c r="C2" s="3"/>
      <c r="D2" s="3"/>
      <c r="E2" s="3"/>
      <c r="F2" s="3"/>
      <c r="G2" s="3"/>
      <c r="H2" s="3"/>
    </row>
  </sheetData>
  <mergeCells count="2">
    <mergeCell ref="A1:H1"/>
    <mergeCell ref="A2:H2"/>
  </mergeCells>
  <pageMargins left="0.75" right="0.75" top="1" bottom="1" header="0.5" footer="0.5"/>
  <headerFooter/>
  <drawing r:id="rId1"/>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1:C15"/>
  <sheetViews>
    <sheetView workbookViewId="0">
      <selection activeCell="C20" sqref="C20"/>
    </sheetView>
  </sheetViews>
  <sheetFormatPr defaultColWidth="9" defaultRowHeight="13.5" outlineLevelCol="2"/>
  <cols>
    <col min="3" max="3" width="39.375" customWidth="1"/>
  </cols>
  <sheetData>
    <row r="11" ht="22" customHeight="1" spans="3:3">
      <c r="C11" s="1" t="s">
        <v>2384</v>
      </c>
    </row>
    <row r="12" ht="22" customHeight="1" spans="3:3">
      <c r="C12" s="1" t="s">
        <v>2385</v>
      </c>
    </row>
    <row r="13" ht="22" customHeight="1" spans="3:3">
      <c r="C13" s="1" t="s">
        <v>2386</v>
      </c>
    </row>
    <row r="14" ht="22" customHeight="1" spans="3:3">
      <c r="C14" s="1" t="s">
        <v>2387</v>
      </c>
    </row>
    <row r="15" ht="22" customHeight="1" spans="3:3">
      <c r="C15" s="1" t="s">
        <v>2388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271</vt:i4>
      </vt:variant>
    </vt:vector>
  </HeadingPairs>
  <TitlesOfParts>
    <vt:vector size="271" baseType="lpstr">
      <vt:lpstr>首页</vt:lpstr>
      <vt:lpstr>函数</vt:lpstr>
      <vt:lpstr>datedif</vt:lpstr>
      <vt:lpstr>average</vt:lpstr>
      <vt:lpstr>year</vt:lpstr>
      <vt:lpstr>rept</vt:lpstr>
      <vt:lpstr>weeknum</vt:lpstr>
      <vt:lpstr>evaluate</vt:lpstr>
      <vt:lpstr>numberstring</vt:lpstr>
      <vt:lpstr>pearson</vt:lpstr>
      <vt:lpstr>row</vt:lpstr>
      <vt:lpstr>pmt</vt:lpstr>
      <vt:lpstr>ispmt</vt:lpstr>
      <vt:lpstr>vara</vt:lpstr>
      <vt:lpstr>even</vt:lpstr>
      <vt:lpstr>iseven</vt:lpstr>
      <vt:lpstr>fv</vt:lpstr>
      <vt:lpstr>rsq</vt:lpstr>
      <vt:lpstr>sumsq</vt:lpstr>
      <vt:lpstr>quotient</vt:lpstr>
      <vt:lpstr>pv</vt:lpstr>
      <vt:lpstr>ppmt</vt:lpstr>
      <vt:lpstr>ppmt2</vt:lpstr>
      <vt:lpstr>multinomial</vt:lpstr>
      <vt:lpstr>percentrank</vt:lpstr>
      <vt:lpstr>mirr</vt:lpstr>
      <vt:lpstr>irr</vt:lpstr>
      <vt:lpstr>ipmt</vt:lpstr>
      <vt:lpstr>accrintm</vt:lpstr>
      <vt:lpstr>trimmean</vt:lpstr>
      <vt:lpstr>tinv</vt:lpstr>
      <vt:lpstr>quartile</vt:lpstr>
      <vt:lpstr>poisson</vt:lpstr>
      <vt:lpstr>norminv</vt:lpstr>
      <vt:lpstr>fisherinv</vt:lpstr>
      <vt:lpstr>finv</vt:lpstr>
      <vt:lpstr>gammainv</vt:lpstr>
      <vt:lpstr>gammaln</vt:lpstr>
      <vt:lpstr>gammaln.precise</vt:lpstr>
      <vt:lpstr>nper</vt:lpstr>
      <vt:lpstr>permut</vt:lpstr>
      <vt:lpstr>avedev</vt:lpstr>
      <vt:lpstr>minverse</vt:lpstr>
      <vt:lpstr>devsq</vt:lpstr>
      <vt:lpstr>normdist</vt:lpstr>
      <vt:lpstr>normsdist</vt:lpstr>
      <vt:lpstr>stdeva</vt:lpstr>
      <vt:lpstr>stdeva (2)</vt:lpstr>
      <vt:lpstr>stdevpa</vt:lpstr>
      <vt:lpstr>percentile</vt:lpstr>
      <vt:lpstr>percentile (2)</vt:lpstr>
      <vt:lpstr>varp</vt:lpstr>
      <vt:lpstr>sln</vt:lpstr>
      <vt:lpstr>npv</vt:lpstr>
      <vt:lpstr>varpa</vt:lpstr>
      <vt:lpstr>chidist</vt:lpstr>
      <vt:lpstr>chiinv</vt:lpstr>
      <vt:lpstr>ttest</vt:lpstr>
      <vt:lpstr>linest</vt:lpstr>
      <vt:lpstr>intercept</vt:lpstr>
      <vt:lpstr>ftest</vt:lpstr>
      <vt:lpstr>lognormdist</vt:lpstr>
      <vt:lpstr>loginv</vt:lpstr>
      <vt:lpstr>rate</vt:lpstr>
      <vt:lpstr>harmean</vt:lpstr>
      <vt:lpstr>mutinomial</vt:lpstr>
      <vt:lpstr>ln</vt:lpstr>
      <vt:lpstr>log</vt:lpstr>
      <vt:lpstr>log10</vt:lpstr>
      <vt:lpstr>product</vt:lpstr>
      <vt:lpstr>sign</vt:lpstr>
      <vt:lpstr>sin</vt:lpstr>
      <vt:lpstr>seriessum</vt:lpstr>
      <vt:lpstr>stdev</vt:lpstr>
      <vt:lpstr>betadist</vt:lpstr>
      <vt:lpstr>sqrt</vt:lpstr>
      <vt:lpstr>sqrpi</vt:lpstr>
      <vt:lpstr>tdist</vt:lpstr>
      <vt:lpstr>trend</vt:lpstr>
      <vt:lpstr>mdeterm</vt:lpstr>
      <vt:lpstr>correl</vt:lpstr>
      <vt:lpstr>negbinomdist</vt:lpstr>
      <vt:lpstr>betainv</vt:lpstr>
      <vt:lpstr>binomdist</vt:lpstr>
      <vt:lpstr>CRITBINOM</vt:lpstr>
      <vt:lpstr>geomean</vt:lpstr>
      <vt:lpstr>kurt</vt:lpstr>
      <vt:lpstr>standardize</vt:lpstr>
      <vt:lpstr>ztest</vt:lpstr>
      <vt:lpstr>syd</vt:lpstr>
      <vt:lpstr>expondist</vt:lpstr>
      <vt:lpstr>hypgeomdist</vt:lpstr>
      <vt:lpstr>power</vt:lpstr>
      <vt:lpstr>weibull</vt:lpstr>
      <vt:lpstr>mmult</vt:lpstr>
      <vt:lpstr>lcm</vt:lpstr>
      <vt:lpstr>slope</vt:lpstr>
      <vt:lpstr>gammadist</vt:lpstr>
      <vt:lpstr>trunc</vt:lpstr>
      <vt:lpstr>fdist</vt:lpstr>
      <vt:lpstr>chitest</vt:lpstr>
      <vt:lpstr>odd</vt:lpstr>
      <vt:lpstr>db</vt:lpstr>
      <vt:lpstr>ddb</vt:lpstr>
      <vt:lpstr>vdb</vt:lpstr>
      <vt:lpstr>prob</vt:lpstr>
      <vt:lpstr>betdist</vt:lpstr>
      <vt:lpstr>var</vt:lpstr>
      <vt:lpstr>forecast</vt:lpstr>
      <vt:lpstr>covar</vt:lpstr>
      <vt:lpstr>phonetic</vt:lpstr>
      <vt:lpstr>fisher</vt:lpstr>
      <vt:lpstr>growth</vt:lpstr>
      <vt:lpstr>hyperlink</vt:lpstr>
      <vt:lpstr>isodd</vt:lpstr>
      <vt:lpstr>SUMX2MY2</vt:lpstr>
      <vt:lpstr>sumx2py2</vt:lpstr>
      <vt:lpstr>sumxmy2</vt:lpstr>
      <vt:lpstr>exp</vt:lpstr>
      <vt:lpstr>acosh</vt:lpstr>
      <vt:lpstr>acos</vt:lpstr>
      <vt:lpstr>asin</vt:lpstr>
      <vt:lpstr>asinh</vt:lpstr>
      <vt:lpstr>atan</vt:lpstr>
      <vt:lpstr>atan2</vt:lpstr>
      <vt:lpstr>atanh</vt:lpstr>
      <vt:lpstr>cosh</vt:lpstr>
      <vt:lpstr>sinh</vt:lpstr>
      <vt:lpstr>tanh</vt:lpstr>
      <vt:lpstr>fact</vt:lpstr>
      <vt:lpstr>degrees</vt:lpstr>
      <vt:lpstr>cos</vt:lpstr>
      <vt:lpstr>radians</vt:lpstr>
      <vt:lpstr>confidence</vt:lpstr>
      <vt:lpstr>convert</vt:lpstr>
      <vt:lpstr>substitute</vt:lpstr>
      <vt:lpstr>large</vt:lpstr>
      <vt:lpstr>small</vt:lpstr>
      <vt:lpstr>rank</vt:lpstr>
      <vt:lpstr>rank.eq</vt:lpstr>
      <vt:lpstr>rank.avg</vt:lpstr>
      <vt:lpstr>t</vt:lpstr>
      <vt:lpstr>n</vt:lpstr>
      <vt:lpstr>na</vt:lpstr>
      <vt:lpstr>transpose</vt:lpstr>
      <vt:lpstr>rows</vt:lpstr>
      <vt:lpstr>columns</vt:lpstr>
      <vt:lpstr>areas</vt:lpstr>
      <vt:lpstr>address</vt:lpstr>
      <vt:lpstr>isblank</vt:lpstr>
      <vt:lpstr>iserror</vt:lpstr>
      <vt:lpstr>iserr</vt:lpstr>
      <vt:lpstr>islogical</vt:lpstr>
      <vt:lpstr>isna</vt:lpstr>
      <vt:lpstr>isnontext</vt:lpstr>
      <vt:lpstr>isnumber</vt:lpstr>
      <vt:lpstr>isref</vt:lpstr>
      <vt:lpstr>istext</vt:lpstr>
      <vt:lpstr>cell</vt:lpstr>
      <vt:lpstr>widechar</vt:lpstr>
      <vt:lpstr>value</vt:lpstr>
      <vt:lpstr>upper</vt:lpstr>
      <vt:lpstr>trim</vt:lpstr>
      <vt:lpstr>text</vt:lpstr>
      <vt:lpstr>search</vt:lpstr>
      <vt:lpstr>searchb</vt:lpstr>
      <vt:lpstr>replace</vt:lpstr>
      <vt:lpstr>rmb</vt:lpstr>
      <vt:lpstr>right</vt:lpstr>
      <vt:lpstr>rightb</vt:lpstr>
      <vt:lpstr>replaceb</vt:lpstr>
      <vt:lpstr>clean</vt:lpstr>
      <vt:lpstr>fixed</vt:lpstr>
      <vt:lpstr>proper</vt:lpstr>
      <vt:lpstr>left</vt:lpstr>
      <vt:lpstr>mid</vt:lpstr>
      <vt:lpstr>midb</vt:lpstr>
      <vt:lpstr>len</vt:lpstr>
      <vt:lpstr>lenb</vt:lpstr>
      <vt:lpstr>lower</vt:lpstr>
      <vt:lpstr>leftb</vt:lpstr>
      <vt:lpstr>and</vt:lpstr>
      <vt:lpstr>not</vt:lpstr>
      <vt:lpstr>or</vt:lpstr>
      <vt:lpstr>workday</vt:lpstr>
      <vt:lpstr>second</vt:lpstr>
      <vt:lpstr>true</vt:lpstr>
      <vt:lpstr>false</vt:lpstr>
      <vt:lpstr>time</vt:lpstr>
      <vt:lpstr>timevalue</vt:lpstr>
      <vt:lpstr>today</vt:lpstr>
      <vt:lpstr>eomonth</vt:lpstr>
      <vt:lpstr>networkdays</vt:lpstr>
      <vt:lpstr>month</vt:lpstr>
      <vt:lpstr>day</vt:lpstr>
      <vt:lpstr>days360</vt:lpstr>
      <vt:lpstr>mround</vt:lpstr>
      <vt:lpstr>int</vt:lpstr>
      <vt:lpstr>floor</vt:lpstr>
      <vt:lpstr>ceiling</vt:lpstr>
      <vt:lpstr>if</vt:lpstr>
      <vt:lpstr>offset</vt:lpstr>
      <vt:lpstr>lookup</vt:lpstr>
      <vt:lpstr>vlookup</vt:lpstr>
      <vt:lpstr>hlookup</vt:lpstr>
      <vt:lpstr>match</vt:lpstr>
      <vt:lpstr>ifs</vt:lpstr>
      <vt:lpstr>countif</vt:lpstr>
      <vt:lpstr>countifs</vt:lpstr>
      <vt:lpstr>iferror</vt:lpstr>
      <vt:lpstr>ifna</vt:lpstr>
      <vt:lpstr>averagea</vt:lpstr>
      <vt:lpstr>averageif</vt:lpstr>
      <vt:lpstr>averageifs</vt:lpstr>
      <vt:lpstr>sumifs</vt:lpstr>
      <vt:lpstr>rounddown</vt:lpstr>
      <vt:lpstr>roundup</vt:lpstr>
      <vt:lpstr>count</vt:lpstr>
      <vt:lpstr>counta</vt:lpstr>
      <vt:lpstr>countblank</vt:lpstr>
      <vt:lpstr>subtotal</vt:lpstr>
      <vt:lpstr>bin2hex</vt:lpstr>
      <vt:lpstr>hex2bin</vt:lpstr>
      <vt:lpstr>hex2dec</vt:lpstr>
      <vt:lpstr>dec2bin</vt:lpstr>
      <vt:lpstr>dec2hex</vt:lpstr>
      <vt:lpstr>bin2dec</vt:lpstr>
      <vt:lpstr>randbetween</vt:lpstr>
      <vt:lpstr>factdouble</vt:lpstr>
      <vt:lpstr>findb</vt:lpstr>
      <vt:lpstr>index</vt:lpstr>
      <vt:lpstr>frequency</vt:lpstr>
      <vt:lpstr>yearfrac</vt:lpstr>
      <vt:lpstr>date</vt:lpstr>
      <vt:lpstr>max</vt:lpstr>
      <vt:lpstr>min</vt:lpstr>
      <vt:lpstr>mina</vt:lpstr>
      <vt:lpstr>maxa</vt:lpstr>
      <vt:lpstr>maxifs</vt:lpstr>
      <vt:lpstr>minifs</vt:lpstr>
      <vt:lpstr>edate</vt:lpstr>
      <vt:lpstr>rand</vt:lpstr>
      <vt:lpstr>dollar</vt:lpstr>
      <vt:lpstr>find</vt:lpstr>
      <vt:lpstr>indirect</vt:lpstr>
      <vt:lpstr>exact</vt:lpstr>
      <vt:lpstr>char</vt:lpstr>
      <vt:lpstr>concatenate</vt:lpstr>
      <vt:lpstr>concat</vt:lpstr>
      <vt:lpstr>textjoin</vt:lpstr>
      <vt:lpstr>code</vt:lpstr>
      <vt:lpstr>column</vt:lpstr>
      <vt:lpstr>choose</vt:lpstr>
      <vt:lpstr>weekday</vt:lpstr>
      <vt:lpstr>round</vt:lpstr>
      <vt:lpstr>sum</vt:lpstr>
      <vt:lpstr>FORMULATEXT</vt:lpstr>
      <vt:lpstr>mod</vt:lpstr>
      <vt:lpstr>type</vt:lpstr>
      <vt:lpstr>error.type</vt:lpstr>
      <vt:lpstr>hour</vt:lpstr>
      <vt:lpstr>minute</vt:lpstr>
      <vt:lpstr>abs</vt:lpstr>
      <vt:lpstr>now</vt:lpstr>
      <vt:lpstr>pi</vt:lpstr>
      <vt:lpstr>gcd</vt:lpstr>
      <vt:lpstr>combin</vt:lpstr>
      <vt:lpstr>sumif</vt:lpstr>
      <vt:lpstr>datevalue</vt:lpstr>
      <vt:lpstr>说明</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zhj</dc:creator>
  <cp:lastModifiedBy>执着</cp:lastModifiedBy>
  <dcterms:created xsi:type="dcterms:W3CDTF">2019-01-11T11:50:00Z</dcterms:created>
  <dcterms:modified xsi:type="dcterms:W3CDTF">2020-04-24T13:39:01Z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y fmtid="{D5CDD505-2E9C-101B-9397-08002B2CF9AE}" pid="3" name="KSOReadingLayout">
    <vt:bool>false</vt:bool>
  </property>
</Properties>
</file>