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aPPi\Documents\PhD Projects\RICEx-PROJECT\witch-data\indc\"/>
    </mc:Choice>
  </mc:AlternateContent>
  <xr:revisionPtr revIDLastSave="0" documentId="13_ncr:1_{ED197185-7448-4D26-ABB6-97D5CB0FB8C2}" xr6:coauthVersionLast="45" xr6:coauthVersionMax="45" xr10:uidLastSave="{00000000-0000-0000-0000-000000000000}"/>
  <bookViews>
    <workbookView xWindow="810" yWindow="-120" windowWidth="28110" windowHeight="16440" xr2:uid="{00000000-000D-0000-FFFF-FFFF00000000}"/>
  </bookViews>
  <sheets>
    <sheet name="emicap" sheetId="1" r:id="rId1"/>
  </sheets>
  <definedNames>
    <definedName name="_xlnm._FilterDatabase" localSheetId="0" hidden="1">emicap!$A$1:$J$250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2" i="1" l="1"/>
  <c r="K192" i="1"/>
  <c r="L153" i="1"/>
  <c r="K153" i="1"/>
  <c r="B154" i="1"/>
  <c r="K160" i="1" l="1"/>
  <c r="L160" i="1"/>
  <c r="K189" i="1"/>
  <c r="L189" i="1"/>
  <c r="K198" i="1"/>
  <c r="L198" i="1"/>
  <c r="L201" i="1"/>
  <c r="K204" i="1"/>
  <c r="L204" i="1"/>
  <c r="K207" i="1"/>
  <c r="L207" i="1"/>
  <c r="K194" i="1"/>
  <c r="L194" i="1"/>
  <c r="J147" i="1"/>
  <c r="L147" i="1" s="1"/>
  <c r="I147" i="1"/>
  <c r="K147" i="1" s="1"/>
  <c r="J142" i="1" l="1"/>
  <c r="I142" i="1"/>
  <c r="E142" i="1"/>
  <c r="E86" i="1"/>
  <c r="J86" i="1" s="1"/>
  <c r="B69" i="1"/>
  <c r="E69" i="1"/>
  <c r="E90" i="1"/>
  <c r="I90" i="1" s="1"/>
  <c r="E49" i="1"/>
  <c r="I49" i="1" s="1"/>
  <c r="E52" i="1"/>
  <c r="E218" i="1"/>
  <c r="J47" i="1"/>
  <c r="I47" i="1"/>
  <c r="E47" i="1"/>
  <c r="I86" i="1" l="1"/>
  <c r="J49" i="1"/>
  <c r="H250" i="1" l="1"/>
  <c r="G250" i="1"/>
  <c r="E250" i="1"/>
  <c r="J250" i="1" s="1"/>
  <c r="L250" i="1" s="1"/>
  <c r="H249" i="1"/>
  <c r="E249" i="1"/>
  <c r="J249" i="1" s="1"/>
  <c r="L249" i="1" s="1"/>
  <c r="E232" i="1"/>
  <c r="J232" i="1" s="1"/>
  <c r="L232" i="1" s="1"/>
  <c r="E219" i="1"/>
  <c r="C219" i="1"/>
  <c r="B219" i="1"/>
  <c r="J231" i="1"/>
  <c r="L231" i="1" s="1"/>
  <c r="I231" i="1"/>
  <c r="K231" i="1" s="1"/>
  <c r="E231" i="1"/>
  <c r="H213" i="1"/>
  <c r="L213" i="1" s="1"/>
  <c r="G213" i="1"/>
  <c r="K213" i="1" s="1"/>
  <c r="E201" i="1"/>
  <c r="K201" i="1" s="1"/>
  <c r="H215" i="1"/>
  <c r="G215" i="1"/>
  <c r="C215" i="1"/>
  <c r="B215" i="1"/>
  <c r="E195" i="1"/>
  <c r="C195" i="1"/>
  <c r="B195" i="1"/>
  <c r="H208" i="1"/>
  <c r="G208" i="1"/>
  <c r="E208" i="1"/>
  <c r="E165" i="1"/>
  <c r="J165" i="1" s="1"/>
  <c r="L165" i="1" s="1"/>
  <c r="E163" i="1"/>
  <c r="C163" i="1"/>
  <c r="J163" i="1" s="1"/>
  <c r="L163" i="1" s="1"/>
  <c r="B163" i="1"/>
  <c r="E161" i="1"/>
  <c r="I161" i="1" s="1"/>
  <c r="K161" i="1" s="1"/>
  <c r="E157" i="1"/>
  <c r="I157" i="1" s="1"/>
  <c r="K157" i="1" s="1"/>
  <c r="E154" i="1"/>
  <c r="I154" i="1" s="1"/>
  <c r="K154" i="1" s="1"/>
  <c r="C154" i="1"/>
  <c r="E158" i="1"/>
  <c r="E128" i="1"/>
  <c r="J128" i="1" s="1"/>
  <c r="H133" i="1"/>
  <c r="G133" i="1"/>
  <c r="E119" i="1"/>
  <c r="I119" i="1" s="1"/>
  <c r="J89" i="1"/>
  <c r="I89" i="1"/>
  <c r="E84" i="1"/>
  <c r="J84" i="1" s="1"/>
  <c r="H88" i="1"/>
  <c r="G88" i="1"/>
  <c r="I73" i="1"/>
  <c r="J73" i="1" s="1"/>
  <c r="G73" i="1"/>
  <c r="C69" i="1"/>
  <c r="J69" i="1" s="1"/>
  <c r="I69" i="1"/>
  <c r="J90" i="1"/>
  <c r="E46" i="1"/>
  <c r="J46" i="1" s="1"/>
  <c r="E48" i="1"/>
  <c r="J48" i="1" s="1"/>
  <c r="I52" i="1"/>
  <c r="J52" i="1"/>
  <c r="J218" i="1"/>
  <c r="H40" i="1"/>
  <c r="G40" i="1"/>
  <c r="E40" i="1"/>
  <c r="H53" i="1"/>
  <c r="G53" i="1"/>
  <c r="H19" i="1"/>
  <c r="G19" i="1"/>
  <c r="C19" i="1"/>
  <c r="B19" i="1"/>
  <c r="E23" i="1"/>
  <c r="C23" i="1"/>
  <c r="B23" i="1"/>
  <c r="E39" i="1"/>
  <c r="I39" i="1" s="1"/>
  <c r="E21" i="1"/>
  <c r="B21" i="1"/>
  <c r="C21" i="1" s="1"/>
  <c r="E4" i="1"/>
  <c r="J4" i="1" s="1"/>
  <c r="E236" i="1"/>
  <c r="J236" i="1" s="1"/>
  <c r="E233" i="1"/>
  <c r="I233" i="1" s="1"/>
  <c r="C233" i="1"/>
  <c r="I228" i="1"/>
  <c r="E228" i="1"/>
  <c r="C228" i="1"/>
  <c r="J228" i="1" s="1"/>
  <c r="J223" i="1"/>
  <c r="I223" i="1"/>
  <c r="E221" i="1"/>
  <c r="J221" i="1" s="1"/>
  <c r="E206" i="1"/>
  <c r="I206" i="1" s="1"/>
  <c r="C206" i="1"/>
  <c r="E191" i="1"/>
  <c r="I191" i="1" s="1"/>
  <c r="E150" i="1"/>
  <c r="I150" i="1" s="1"/>
  <c r="C150" i="1"/>
  <c r="E146" i="1"/>
  <c r="I146" i="1" s="1"/>
  <c r="E141" i="1"/>
  <c r="J141" i="1" s="1"/>
  <c r="H120" i="1"/>
  <c r="J120" i="1" s="1"/>
  <c r="G120" i="1"/>
  <c r="I120" i="1" s="1"/>
  <c r="E118" i="1"/>
  <c r="I118" i="1" s="1"/>
  <c r="E82" i="1"/>
  <c r="J82" i="1" s="1"/>
  <c r="E30" i="1"/>
  <c r="I30" i="1" s="1"/>
  <c r="C30" i="1"/>
  <c r="E28" i="1"/>
  <c r="I28" i="1" s="1"/>
  <c r="E18" i="1"/>
  <c r="I18" i="1" s="1"/>
  <c r="C18" i="1"/>
  <c r="G7" i="1"/>
  <c r="E7" i="1" s="1"/>
  <c r="C7" i="1"/>
  <c r="E143" i="1"/>
  <c r="J143" i="1" s="1"/>
  <c r="H24" i="1"/>
  <c r="G24" i="1"/>
  <c r="E24" i="1"/>
  <c r="J24" i="1" s="1"/>
  <c r="E3" i="1"/>
  <c r="I3" i="1" s="1"/>
  <c r="C3" i="1"/>
  <c r="J3" i="1" s="1"/>
  <c r="E212" i="1"/>
  <c r="I212" i="1" s="1"/>
  <c r="C212" i="1"/>
  <c r="E203" i="1"/>
  <c r="I203" i="1" s="1"/>
  <c r="C203" i="1"/>
  <c r="E184" i="1"/>
  <c r="I184" i="1" s="1"/>
  <c r="C184" i="1"/>
  <c r="E169" i="1"/>
  <c r="I169" i="1" s="1"/>
  <c r="C169" i="1"/>
  <c r="E168" i="1"/>
  <c r="I168" i="1" s="1"/>
  <c r="C168" i="1"/>
  <c r="E140" i="1"/>
  <c r="I140" i="1" s="1"/>
  <c r="C140" i="1"/>
  <c r="E135" i="1"/>
  <c r="I135" i="1" s="1"/>
  <c r="C135" i="1"/>
  <c r="J135" i="1" s="1"/>
  <c r="E131" i="1"/>
  <c r="I131" i="1" s="1"/>
  <c r="C131" i="1"/>
  <c r="E113" i="1"/>
  <c r="I113" i="1" s="1"/>
  <c r="C113" i="1"/>
  <c r="E111" i="1"/>
  <c r="I111" i="1" s="1"/>
  <c r="C111" i="1"/>
  <c r="E108" i="1"/>
  <c r="I108" i="1" s="1"/>
  <c r="C108" i="1"/>
  <c r="E91" i="1"/>
  <c r="I91" i="1" s="1"/>
  <c r="C91" i="1"/>
  <c r="E81" i="1"/>
  <c r="I81" i="1" s="1"/>
  <c r="C81" i="1"/>
  <c r="E77" i="1"/>
  <c r="I77" i="1" s="1"/>
  <c r="C77" i="1"/>
  <c r="J77" i="1" s="1"/>
  <c r="I74" i="1"/>
  <c r="E74" i="1"/>
  <c r="C74" i="1"/>
  <c r="E71" i="1"/>
  <c r="I71" i="1" s="1"/>
  <c r="C71" i="1"/>
  <c r="J71" i="1" s="1"/>
  <c r="E64" i="1"/>
  <c r="I64" i="1" s="1"/>
  <c r="C64" i="1"/>
  <c r="E61" i="1"/>
  <c r="I61" i="1" s="1"/>
  <c r="C61" i="1"/>
  <c r="E43" i="1"/>
  <c r="I43" i="1" s="1"/>
  <c r="C43" i="1"/>
  <c r="E20" i="1"/>
  <c r="I20" i="1" s="1"/>
  <c r="C20" i="1"/>
  <c r="E17" i="1"/>
  <c r="I17" i="1" s="1"/>
  <c r="C17" i="1"/>
  <c r="G8" i="1"/>
  <c r="E8" i="1" s="1"/>
  <c r="I8" i="1" s="1"/>
  <c r="C8" i="1"/>
  <c r="E101" i="1"/>
  <c r="I101" i="1" s="1"/>
  <c r="C101" i="1"/>
  <c r="E211" i="1"/>
  <c r="I211" i="1" s="1"/>
  <c r="C211" i="1"/>
  <c r="J211" i="1" s="1"/>
  <c r="E210" i="1"/>
  <c r="I210" i="1" s="1"/>
  <c r="C210" i="1"/>
  <c r="E190" i="1"/>
  <c r="I190" i="1" s="1"/>
  <c r="C190" i="1"/>
  <c r="E181" i="1"/>
  <c r="I181" i="1" s="1"/>
  <c r="C181" i="1"/>
  <c r="E136" i="1"/>
  <c r="I136" i="1" s="1"/>
  <c r="C136" i="1"/>
  <c r="E134" i="1"/>
  <c r="I134" i="1" s="1"/>
  <c r="C134" i="1"/>
  <c r="J134" i="1" s="1"/>
  <c r="E103" i="1"/>
  <c r="I103" i="1" s="1"/>
  <c r="C103" i="1"/>
  <c r="E72" i="1"/>
  <c r="I72" i="1" s="1"/>
  <c r="C72" i="1"/>
  <c r="E60" i="1"/>
  <c r="I60" i="1" s="1"/>
  <c r="C60" i="1"/>
  <c r="E59" i="1"/>
  <c r="I59" i="1" s="1"/>
  <c r="C59" i="1"/>
  <c r="E25" i="1"/>
  <c r="I25" i="1" s="1"/>
  <c r="C25" i="1"/>
  <c r="H247" i="1"/>
  <c r="G247" i="1"/>
  <c r="E247" i="1"/>
  <c r="I247" i="1" s="1"/>
  <c r="J227" i="1"/>
  <c r="I227" i="1"/>
  <c r="H227" i="1"/>
  <c r="G227" i="1"/>
  <c r="E227" i="1"/>
  <c r="H193" i="1"/>
  <c r="G193" i="1"/>
  <c r="E173" i="1"/>
  <c r="J173" i="1" s="1"/>
  <c r="E139" i="1"/>
  <c r="I139" i="1" s="1"/>
  <c r="E127" i="1"/>
  <c r="J127" i="1" s="1"/>
  <c r="E116" i="1"/>
  <c r="I116" i="1" s="1"/>
  <c r="I112" i="1"/>
  <c r="J112" i="1" s="1"/>
  <c r="G112" i="1"/>
  <c r="H112" i="1" s="1"/>
  <c r="J110" i="1"/>
  <c r="C110" i="1" s="1"/>
  <c r="I110" i="1"/>
  <c r="B110" i="1" s="1"/>
  <c r="E110" i="1"/>
  <c r="E109" i="1"/>
  <c r="C109" i="1"/>
  <c r="B109" i="1"/>
  <c r="E62" i="1"/>
  <c r="E240" i="1"/>
  <c r="J240" i="1" s="1"/>
  <c r="E239" i="1"/>
  <c r="I239" i="1" s="1"/>
  <c r="J235" i="1"/>
  <c r="I235" i="1"/>
  <c r="H226" i="1"/>
  <c r="G226" i="1"/>
  <c r="E185" i="1"/>
  <c r="I185" i="1" s="1"/>
  <c r="E177" i="1"/>
  <c r="I177" i="1" s="1"/>
  <c r="E144" i="1"/>
  <c r="I144" i="1" s="1"/>
  <c r="E130" i="1"/>
  <c r="C130" i="1"/>
  <c r="B130" i="1"/>
  <c r="I130" i="1" s="1"/>
  <c r="E123" i="1"/>
  <c r="C123" i="1"/>
  <c r="B123" i="1"/>
  <c r="E114" i="1"/>
  <c r="I114" i="1" s="1"/>
  <c r="C114" i="1"/>
  <c r="B114" i="1"/>
  <c r="E102" i="1"/>
  <c r="I102" i="1" s="1"/>
  <c r="E100" i="1"/>
  <c r="I100" i="1" s="1"/>
  <c r="C100" i="1"/>
  <c r="E94" i="1"/>
  <c r="J94" i="1" s="1"/>
  <c r="E92" i="1"/>
  <c r="I92" i="1" s="1"/>
  <c r="C92" i="1"/>
  <c r="E65" i="1"/>
  <c r="I65" i="1" s="1"/>
  <c r="C65" i="1"/>
  <c r="J65" i="1" s="1"/>
  <c r="E63" i="1"/>
  <c r="I63" i="1" s="1"/>
  <c r="C63" i="1"/>
  <c r="G55" i="1"/>
  <c r="H55" i="1" s="1"/>
  <c r="J54" i="1"/>
  <c r="I54" i="1" s="1"/>
  <c r="E54" i="1"/>
  <c r="C54" i="1"/>
  <c r="E51" i="1"/>
  <c r="I51" i="1" s="1"/>
  <c r="J44" i="1"/>
  <c r="I44" i="1"/>
  <c r="E35" i="1"/>
  <c r="I35" i="1" s="1"/>
  <c r="C35" i="1"/>
  <c r="E34" i="1"/>
  <c r="I34" i="1" s="1"/>
  <c r="J34" i="1" s="1"/>
  <c r="C34" i="1"/>
  <c r="E10" i="1"/>
  <c r="I10" i="1" s="1"/>
  <c r="J248" i="1"/>
  <c r="I248" i="1"/>
  <c r="E124" i="1"/>
  <c r="I124" i="1" s="1"/>
  <c r="C124" i="1"/>
  <c r="J124" i="1" s="1"/>
  <c r="E171" i="1"/>
  <c r="E16" i="1"/>
  <c r="I16" i="1" s="1"/>
  <c r="G244" i="1"/>
  <c r="E244" i="1"/>
  <c r="I244" i="1" s="1"/>
  <c r="C244" i="1"/>
  <c r="J243" i="1"/>
  <c r="E243" i="1"/>
  <c r="I243" i="1" s="1"/>
  <c r="G225" i="1"/>
  <c r="H225" i="1" s="1"/>
  <c r="E220" i="1"/>
  <c r="J220" i="1" s="1"/>
  <c r="H200" i="1"/>
  <c r="E200" i="1"/>
  <c r="G200" i="1" s="1"/>
  <c r="J196" i="1"/>
  <c r="I196" i="1"/>
  <c r="C196" i="1"/>
  <c r="E179" i="1"/>
  <c r="J179" i="1" s="1"/>
  <c r="E178" i="1"/>
  <c r="I178" i="1" s="1"/>
  <c r="C178" i="1"/>
  <c r="J159" i="1"/>
  <c r="I159" i="1"/>
  <c r="E151" i="1"/>
  <c r="J151" i="1" s="1"/>
  <c r="E145" i="1"/>
  <c r="I145" i="1" s="1"/>
  <c r="C145" i="1"/>
  <c r="J145" i="1" s="1"/>
  <c r="G122" i="1"/>
  <c r="E122" i="1" s="1"/>
  <c r="H122" i="1" s="1"/>
  <c r="H121" i="1"/>
  <c r="G121" i="1"/>
  <c r="C121" i="1"/>
  <c r="E104" i="1"/>
  <c r="I104" i="1" s="1"/>
  <c r="E79" i="1"/>
  <c r="I79" i="1" s="1"/>
  <c r="E75" i="1"/>
  <c r="I75" i="1" s="1"/>
  <c r="E229" i="1"/>
  <c r="I229" i="1" s="1"/>
  <c r="E172" i="1"/>
  <c r="I172" i="1" s="1"/>
  <c r="C172" i="1"/>
  <c r="H167" i="1"/>
  <c r="G167" i="1"/>
  <c r="I117" i="1"/>
  <c r="J117" i="1" s="1"/>
  <c r="C117" i="1"/>
  <c r="E50" i="1"/>
  <c r="I50" i="1" s="1"/>
  <c r="E41" i="1"/>
  <c r="I41" i="1" s="1"/>
  <c r="J18" i="1" l="1"/>
  <c r="E73" i="1"/>
  <c r="C73" i="1" s="1"/>
  <c r="J130" i="1"/>
  <c r="J91" i="1"/>
  <c r="J30" i="1"/>
  <c r="B40" i="1"/>
  <c r="J195" i="1"/>
  <c r="L195" i="1" s="1"/>
  <c r="J108" i="1"/>
  <c r="J181" i="1"/>
  <c r="J17" i="1"/>
  <c r="J244" i="1"/>
  <c r="J114" i="1"/>
  <c r="J185" i="1"/>
  <c r="J190" i="1"/>
  <c r="J113" i="1"/>
  <c r="J208" i="1"/>
  <c r="L208" i="1" s="1"/>
  <c r="J41" i="1"/>
  <c r="I21" i="1"/>
  <c r="H73" i="1"/>
  <c r="J154" i="1"/>
  <c r="L154" i="1" s="1"/>
  <c r="I232" i="1"/>
  <c r="K232" i="1" s="1"/>
  <c r="J139" i="1"/>
  <c r="J203" i="1"/>
  <c r="J233" i="1"/>
  <c r="B231" i="1"/>
  <c r="J63" i="1"/>
  <c r="J100" i="1"/>
  <c r="J72" i="1"/>
  <c r="J23" i="1"/>
  <c r="I141" i="1"/>
  <c r="J158" i="1"/>
  <c r="I158" i="1"/>
  <c r="E215" i="1"/>
  <c r="J215" i="1" s="1"/>
  <c r="L215" i="1" s="1"/>
  <c r="J25" i="1"/>
  <c r="J43" i="1"/>
  <c r="J169" i="1"/>
  <c r="I24" i="1"/>
  <c r="C40" i="1"/>
  <c r="J104" i="1"/>
  <c r="I151" i="1"/>
  <c r="J172" i="1"/>
  <c r="I4" i="1"/>
  <c r="J92" i="1"/>
  <c r="J102" i="1"/>
  <c r="J239" i="1"/>
  <c r="J103" i="1"/>
  <c r="J64" i="1"/>
  <c r="J111" i="1"/>
  <c r="J184" i="1"/>
  <c r="J191" i="1"/>
  <c r="J40" i="1"/>
  <c r="J157" i="1"/>
  <c r="L157" i="1" s="1"/>
  <c r="J10" i="1"/>
  <c r="J247" i="1"/>
  <c r="J35" i="1"/>
  <c r="J59" i="1"/>
  <c r="J101" i="1"/>
  <c r="J20" i="1"/>
  <c r="J81" i="1"/>
  <c r="J140" i="1"/>
  <c r="J206" i="1"/>
  <c r="J21" i="1"/>
  <c r="J119" i="1"/>
  <c r="J62" i="1"/>
  <c r="I62" i="1"/>
  <c r="J146" i="1"/>
  <c r="E19" i="1"/>
  <c r="I19" i="1" s="1"/>
  <c r="I40" i="1"/>
  <c r="C231" i="1"/>
  <c r="J60" i="1"/>
  <c r="J210" i="1"/>
  <c r="J74" i="1"/>
  <c r="J168" i="1"/>
  <c r="J150" i="1"/>
  <c r="I23" i="1"/>
  <c r="I163" i="1"/>
  <c r="K163" i="1" s="1"/>
  <c r="I219" i="1"/>
  <c r="K219" i="1" s="1"/>
  <c r="I249" i="1"/>
  <c r="K249" i="1" s="1"/>
  <c r="I123" i="1"/>
  <c r="J75" i="1"/>
  <c r="J123" i="1"/>
  <c r="J144" i="1"/>
  <c r="J136" i="1"/>
  <c r="J61" i="1"/>
  <c r="J131" i="1"/>
  <c r="J212" i="1"/>
  <c r="J219" i="1"/>
  <c r="L219" i="1" s="1"/>
  <c r="I109" i="1"/>
  <c r="J8" i="1"/>
  <c r="J19" i="1"/>
  <c r="I7" i="1"/>
  <c r="J7" i="1"/>
  <c r="I165" i="1"/>
  <c r="K165" i="1" s="1"/>
  <c r="I195" i="1"/>
  <c r="K195" i="1" s="1"/>
  <c r="J50" i="1"/>
  <c r="J229" i="1"/>
  <c r="I94" i="1"/>
  <c r="I173" i="1"/>
  <c r="I82" i="1"/>
  <c r="G249" i="1"/>
  <c r="I220" i="1"/>
  <c r="I221" i="1"/>
  <c r="J116" i="1"/>
  <c r="I236" i="1"/>
  <c r="I240" i="1"/>
  <c r="I143" i="1"/>
  <c r="I84" i="1"/>
  <c r="J79" i="1"/>
  <c r="I179" i="1"/>
  <c r="I127" i="1"/>
  <c r="J28" i="1"/>
  <c r="I218" i="1"/>
  <c r="I46" i="1"/>
  <c r="I128" i="1"/>
  <c r="I208" i="1"/>
  <c r="K208" i="1" s="1"/>
  <c r="J178" i="1"/>
  <c r="J109" i="1"/>
  <c r="J118" i="1"/>
  <c r="J39" i="1"/>
  <c r="J161" i="1"/>
  <c r="L161" i="1" s="1"/>
  <c r="J16" i="1"/>
  <c r="J177" i="1"/>
  <c r="I48" i="1"/>
  <c r="J51" i="1"/>
  <c r="I250" i="1"/>
  <c r="K250" i="1" s="1"/>
  <c r="I215" i="1" l="1"/>
  <c r="K215" i="1" s="1"/>
  <c r="B73" i="1"/>
</calcChain>
</file>

<file path=xl/sharedStrings.xml><?xml version="1.0" encoding="utf-8"?>
<sst xmlns="http://schemas.openxmlformats.org/spreadsheetml/2006/main" count="267" uniqueCount="265">
  <si>
    <t>iso3</t>
  </si>
  <si>
    <t>low</t>
  </si>
  <si>
    <t>up</t>
  </si>
  <si>
    <t>refy</t>
  </si>
  <si>
    <t>Refv</t>
  </si>
  <si>
    <t>decl_reduction</t>
  </si>
  <si>
    <t>decu_reduction</t>
  </si>
  <si>
    <t>CAN</t>
  </si>
  <si>
    <t>COK</t>
  </si>
  <si>
    <t>JPN</t>
  </si>
  <si>
    <t>NIU</t>
  </si>
  <si>
    <t>NZL</t>
  </si>
  <si>
    <t>PCN</t>
  </si>
  <si>
    <t>TKL</t>
  </si>
  <si>
    <t>TUV</t>
  </si>
  <si>
    <t>UMI</t>
  </si>
  <si>
    <t>WLF</t>
  </si>
  <si>
    <t>ASM</t>
  </si>
  <si>
    <t>BRN</t>
  </si>
  <si>
    <t>CCK</t>
  </si>
  <si>
    <t>FJI</t>
  </si>
  <si>
    <t>FSM</t>
  </si>
  <si>
    <t>GUM</t>
  </si>
  <si>
    <t>IDN</t>
  </si>
  <si>
    <t>KHM</t>
  </si>
  <si>
    <t>KIR</t>
  </si>
  <si>
    <t>LAO</t>
  </si>
  <si>
    <t>MHL</t>
  </si>
  <si>
    <t>MMR</t>
  </si>
  <si>
    <t>MNG</t>
  </si>
  <si>
    <t>MNP</t>
  </si>
  <si>
    <t>MYS</t>
  </si>
  <si>
    <t>NCL</t>
  </si>
  <si>
    <t>PHL</t>
  </si>
  <si>
    <t>PLW</t>
  </si>
  <si>
    <t>PNG</t>
  </si>
  <si>
    <t>PRK</t>
  </si>
  <si>
    <t>PYF</t>
  </si>
  <si>
    <t>SGP</t>
  </si>
  <si>
    <t>SLB</t>
  </si>
  <si>
    <t>THA</t>
  </si>
  <si>
    <t>TLS</t>
  </si>
  <si>
    <t>TON</t>
  </si>
  <si>
    <t>VNM</t>
  </si>
  <si>
    <t>VUT</t>
  </si>
  <si>
    <t>WSM</t>
  </si>
  <si>
    <t>AUS</t>
  </si>
  <si>
    <t>CXR</t>
  </si>
  <si>
    <t>HMD</t>
  </si>
  <si>
    <t>NFK</t>
  </si>
  <si>
    <t>NRU</t>
  </si>
  <si>
    <t>KOR</t>
  </si>
  <si>
    <t>ZAF</t>
  </si>
  <si>
    <t>ATA</t>
  </si>
  <si>
    <t>ABW</t>
  </si>
  <si>
    <t>AIA</t>
  </si>
  <si>
    <t>ARG</t>
  </si>
  <si>
    <t>ATG</t>
  </si>
  <si>
    <t>BES</t>
  </si>
  <si>
    <t>BHS</t>
  </si>
  <si>
    <t>2030 bau not promived</t>
  </si>
  <si>
    <t>BLM</t>
  </si>
  <si>
    <t>BLZ</t>
  </si>
  <si>
    <t>2027 bau not provided</t>
  </si>
  <si>
    <t>BMU</t>
  </si>
  <si>
    <t>BOL</t>
  </si>
  <si>
    <t>BRA</t>
  </si>
  <si>
    <t>BRB</t>
  </si>
  <si>
    <t>CHL</t>
  </si>
  <si>
    <t>COL</t>
  </si>
  <si>
    <t>CRI</t>
  </si>
  <si>
    <t>CUB</t>
  </si>
  <si>
    <t>CUW</t>
  </si>
  <si>
    <t>CYM</t>
  </si>
  <si>
    <t>DMA</t>
  </si>
  <si>
    <t>DOM</t>
  </si>
  <si>
    <t>ECU</t>
  </si>
  <si>
    <t>FLK</t>
  </si>
  <si>
    <t>GLP</t>
  </si>
  <si>
    <t>GRD</t>
  </si>
  <si>
    <t>GTM</t>
  </si>
  <si>
    <t>GUF</t>
  </si>
  <si>
    <t>GUY</t>
  </si>
  <si>
    <t>HND</t>
  </si>
  <si>
    <t>HTI</t>
  </si>
  <si>
    <t>JAM</t>
  </si>
  <si>
    <t>KNA</t>
  </si>
  <si>
    <t>LCA</t>
  </si>
  <si>
    <t>MAF</t>
  </si>
  <si>
    <t>MEX</t>
  </si>
  <si>
    <t>MSR</t>
  </si>
  <si>
    <t>MTQ</t>
  </si>
  <si>
    <t>NIC</t>
  </si>
  <si>
    <t>PAN</t>
  </si>
  <si>
    <t>PER</t>
  </si>
  <si>
    <t>PRI</t>
  </si>
  <si>
    <t>PRY</t>
  </si>
  <si>
    <t>SGS</t>
  </si>
  <si>
    <t>SLV</t>
  </si>
  <si>
    <t>SUR</t>
  </si>
  <si>
    <t>SXM</t>
  </si>
  <si>
    <t>TCA</t>
  </si>
  <si>
    <t>TTO</t>
  </si>
  <si>
    <t>URY</t>
  </si>
  <si>
    <t>VCT</t>
  </si>
  <si>
    <t>VEN</t>
  </si>
  <si>
    <t>VIR</t>
  </si>
  <si>
    <t>VGB</t>
  </si>
  <si>
    <t>ARE</t>
  </si>
  <si>
    <t>BHR</t>
  </si>
  <si>
    <t>DJI</t>
  </si>
  <si>
    <t>DZA</t>
  </si>
  <si>
    <t>EGY</t>
  </si>
  <si>
    <t>ESH</t>
  </si>
  <si>
    <t>IRN</t>
  </si>
  <si>
    <t>IRQ</t>
  </si>
  <si>
    <t>ISR</t>
  </si>
  <si>
    <t>JOR</t>
  </si>
  <si>
    <t>KWT</t>
  </si>
  <si>
    <t>LBN</t>
  </si>
  <si>
    <t>LBY</t>
  </si>
  <si>
    <t>MAR</t>
  </si>
  <si>
    <t>OMN</t>
  </si>
  <si>
    <t>PSE</t>
  </si>
  <si>
    <t>QAT</t>
  </si>
  <si>
    <t>SAU</t>
  </si>
  <si>
    <t>SYR</t>
  </si>
  <si>
    <t>TUN</t>
  </si>
  <si>
    <t>YEM</t>
  </si>
  <si>
    <t>BGR</t>
  </si>
  <si>
    <t>CYP</t>
  </si>
  <si>
    <t>CZE</t>
  </si>
  <si>
    <t>EST</t>
  </si>
  <si>
    <t>HUN</t>
  </si>
  <si>
    <t>LTU</t>
  </si>
  <si>
    <t>LVA</t>
  </si>
  <si>
    <t>POL</t>
  </si>
  <si>
    <t>ROU</t>
  </si>
  <si>
    <t>SVK</t>
  </si>
  <si>
    <t>SVN</t>
  </si>
  <si>
    <t>HRV</t>
  </si>
  <si>
    <t>MLT</t>
  </si>
  <si>
    <t>ALA</t>
  </si>
  <si>
    <t>AND</t>
  </si>
  <si>
    <t>AUT</t>
  </si>
  <si>
    <t>BEL</t>
  </si>
  <si>
    <t>CHE</t>
  </si>
  <si>
    <t>DEU</t>
  </si>
  <si>
    <t>DNK</t>
  </si>
  <si>
    <t>ESP</t>
  </si>
  <si>
    <t>FIN</t>
  </si>
  <si>
    <t>FRA</t>
  </si>
  <si>
    <t>FRO</t>
  </si>
  <si>
    <t>GIB</t>
  </si>
  <si>
    <t>GBR</t>
  </si>
  <si>
    <t>GGY</t>
  </si>
  <si>
    <t>GRC</t>
  </si>
  <si>
    <t>GRL</t>
  </si>
  <si>
    <t>IMN</t>
  </si>
  <si>
    <t>IRL</t>
  </si>
  <si>
    <t>ISL</t>
  </si>
  <si>
    <t>ITA</t>
  </si>
  <si>
    <t>JEY</t>
  </si>
  <si>
    <t>LIE</t>
  </si>
  <si>
    <t>LUX</t>
  </si>
  <si>
    <t>MCO</t>
  </si>
  <si>
    <t>NLD</t>
  </si>
  <si>
    <t>NOR</t>
  </si>
  <si>
    <t>PRT</t>
  </si>
  <si>
    <t>SJM</t>
  </si>
  <si>
    <t>SMR</t>
  </si>
  <si>
    <t>SPM</t>
  </si>
  <si>
    <t>SWE</t>
  </si>
  <si>
    <t>VAT</t>
  </si>
  <si>
    <t>AFG</t>
  </si>
  <si>
    <t>BGD</t>
  </si>
  <si>
    <t>MDV</t>
  </si>
  <si>
    <t>BTN</t>
  </si>
  <si>
    <t>LKA</t>
  </si>
  <si>
    <t>NPL</t>
  </si>
  <si>
    <t>PAK</t>
  </si>
  <si>
    <t>ALB</t>
  </si>
  <si>
    <t>ARM</t>
  </si>
  <si>
    <t>AZE</t>
  </si>
  <si>
    <t>BIH</t>
  </si>
  <si>
    <t>BLR</t>
  </si>
  <si>
    <t>GEO</t>
  </si>
  <si>
    <t>KAZ</t>
  </si>
  <si>
    <t>KGZ</t>
  </si>
  <si>
    <t>MDA</t>
  </si>
  <si>
    <t>MKD</t>
  </si>
  <si>
    <t>MNE</t>
  </si>
  <si>
    <t>RUS</t>
  </si>
  <si>
    <t>SRB</t>
  </si>
  <si>
    <t>TJK</t>
  </si>
  <si>
    <t>TKM</t>
  </si>
  <si>
    <t>TUR</t>
  </si>
  <si>
    <t>UKR</t>
  </si>
  <si>
    <t>UZB</t>
  </si>
  <si>
    <t>USA</t>
  </si>
  <si>
    <t>AGO</t>
  </si>
  <si>
    <t>ATF</t>
  </si>
  <si>
    <t>BEN</t>
  </si>
  <si>
    <t>BWA</t>
  </si>
  <si>
    <t>BFA</t>
  </si>
  <si>
    <t>BDI</t>
  </si>
  <si>
    <t>BVT</t>
  </si>
  <si>
    <t>CMR</t>
  </si>
  <si>
    <t>CPV</t>
  </si>
  <si>
    <t>CAF</t>
  </si>
  <si>
    <t>TCD</t>
  </si>
  <si>
    <t>COM</t>
  </si>
  <si>
    <t>COG</t>
  </si>
  <si>
    <t>COD</t>
  </si>
  <si>
    <t>CIV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</si>
  <si>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</si>
  <si>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</si>
  <si>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</si>
  <si>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</si>
  <si>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</si>
  <si>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</si>
  <si>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</si>
  <si>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</si>
  <si>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</si>
  <si>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IOT</t>
  </si>
  <si>
    <t>LSO</t>
  </si>
  <si>
    <t>LBR</t>
  </si>
  <si>
    <t>MDG</t>
  </si>
  <si>
    <t>MWI</t>
  </si>
  <si>
    <t>MLI</t>
  </si>
  <si>
    <t>MRT</t>
  </si>
  <si>
    <t>MUS</t>
  </si>
  <si>
    <t>MYT</t>
  </si>
  <si>
    <t>MOZ</t>
  </si>
  <si>
    <t>NAM</t>
  </si>
  <si>
    <t>NER</t>
  </si>
  <si>
    <t>NGA</t>
  </si>
  <si>
    <t>REU</t>
  </si>
  <si>
    <t>RWA</t>
  </si>
  <si>
    <t>STP</t>
  </si>
  <si>
    <t>SEN</t>
  </si>
  <si>
    <t>SYC</t>
  </si>
  <si>
    <t>SHN</t>
  </si>
  <si>
    <t>SLE</t>
  </si>
  <si>
    <t>SOM</t>
  </si>
  <si>
    <t>SSD</t>
  </si>
  <si>
    <t>SDN</t>
  </si>
  <si>
    <t>SWZ</t>
  </si>
  <si>
    <t>TZA</t>
  </si>
  <si>
    <t>TGO</t>
  </si>
  <si>
    <t>UGA</t>
  </si>
  <si>
    <t>ZMB</t>
  </si>
  <si>
    <t>ZWE</t>
  </si>
  <si>
    <t>CHN</t>
  </si>
  <si>
    <t>IND</t>
  </si>
  <si>
    <t>target_year</t>
  </si>
  <si>
    <t>HKG</t>
  </si>
  <si>
    <t>MAC</t>
  </si>
  <si>
    <t>TWN</t>
  </si>
  <si>
    <t>absolutel_emissions_2030</t>
  </si>
  <si>
    <t>absoluteh_emissions_2030</t>
  </si>
  <si>
    <t>not provided</t>
  </si>
  <si>
    <t>2020/2025</t>
  </si>
  <si>
    <t>?</t>
  </si>
  <si>
    <t>2030?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</si>
</sst>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e" xfId="0" builtinId="0"/>
    <cellStyle name="Norma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0"/>
  <sheetViews>
    <sheetView tabSelected="1" topLeftCell="A55" workbookViewId="0">
      <selection activeCell="G61" sqref="G61"/>
    </sheetView>
  </sheetViews>
  <sheetFormatPr defaultRowHeight="15" x14ac:dyDescent="0.25"/>
  <cols>
    <col min="1" max="1" width="6.140625" bestFit="1" customWidth="1"/>
    <col min="2" max="3" width="12" bestFit="1" customWidth="1"/>
    <col min="4" max="4" width="5" bestFit="1" customWidth="1"/>
    <col min="5" max="5" width="21.5703125" bestFit="1" customWidth="1"/>
    <col min="6" max="6" width="14" bestFit="1" customWidth="1"/>
    <col min="7" max="7" width="33" customWidth="1"/>
    <col min="8" max="8" width="27" customWidth="1"/>
    <col min="9" max="9" width="28.85546875" customWidth="1"/>
    <col min="10" max="10" width="33.2851562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255</v>
      </c>
      <c r="G1" s="1" t="s">
        <v>5</v>
      </c>
      <c r="H1" s="1" t="s">
        <v>6</v>
      </c>
      <c r="I1" s="1" t="s">
        <v>259</v>
      </c>
      <c r="J1" s="1" t="s">
        <v>260</v>
      </c>
    </row>
    <row r="2" spans="1:10" x14ac:dyDescent="0.25">
      <c r="A2" t="s">
        <v>54</v>
      </c>
    </row>
    <row r="3" spans="1:10" x14ac:dyDescent="0.25">
      <c r="A3" t="s">
        <v>174</v>
      </c>
      <c r="B3">
        <v>0.13600000000000001</v>
      </c>
      <c r="C3">
        <f>B3</f>
        <v>0.13600000000000001</v>
      </c>
      <c r="D3">
        <v>2030</v>
      </c>
      <c r="E3">
        <f>61034.25*12/44/(10^6)</f>
        <v>1.6645704545454543E-2</v>
      </c>
      <c r="F3">
        <v>2030</v>
      </c>
      <c r="I3">
        <f>(1-B3)*E3</f>
        <v>1.4381888727272725E-2</v>
      </c>
      <c r="J3">
        <f>(1-C3)*E3</f>
        <v>1.4381888727272725E-2</v>
      </c>
    </row>
    <row r="4" spans="1:10" x14ac:dyDescent="0.25">
      <c r="A4" t="s">
        <v>200</v>
      </c>
      <c r="B4">
        <v>0.35</v>
      </c>
      <c r="C4">
        <v>0.5</v>
      </c>
      <c r="D4">
        <v>2030</v>
      </c>
      <c r="E4">
        <f>193250*0.000001*12/44</f>
        <v>5.2704545454545455E-2</v>
      </c>
      <c r="F4">
        <v>2030</v>
      </c>
      <c r="I4">
        <f>(1-B4)*E4</f>
        <v>3.425795454545455E-2</v>
      </c>
      <c r="J4">
        <f>(1-C4)*E4</f>
        <v>2.6352272727272728E-2</v>
      </c>
    </row>
    <row r="5" spans="1:10" x14ac:dyDescent="0.25">
      <c r="A5" t="s">
        <v>55</v>
      </c>
    </row>
    <row r="6" spans="1:10" x14ac:dyDescent="0.25">
      <c r="A6" t="s">
        <v>142</v>
      </c>
    </row>
    <row r="7" spans="1:10" x14ac:dyDescent="0.25">
      <c r="A7" t="s">
        <v>181</v>
      </c>
      <c r="B7">
        <v>0.115</v>
      </c>
      <c r="C7">
        <f>B7</f>
        <v>0.115</v>
      </c>
      <c r="E7">
        <f>G7/B7</f>
        <v>1.6790513833992093E-3</v>
      </c>
      <c r="F7">
        <v>2030</v>
      </c>
      <c r="G7">
        <f>708*12/44/(10^6)</f>
        <v>1.9309090909090909E-4</v>
      </c>
      <c r="I7">
        <f>(1-B7)*E7</f>
        <v>1.4859604743083002E-3</v>
      </c>
      <c r="J7">
        <f>(1-C7)*E7</f>
        <v>1.4859604743083002E-3</v>
      </c>
    </row>
    <row r="8" spans="1:10" x14ac:dyDescent="0.25">
      <c r="A8" t="s">
        <v>143</v>
      </c>
      <c r="B8">
        <v>0.37</v>
      </c>
      <c r="C8">
        <f>B8</f>
        <v>0.37</v>
      </c>
      <c r="D8">
        <v>2030</v>
      </c>
      <c r="E8">
        <f>G8/B8</f>
        <v>1.4279852579852578E-4</v>
      </c>
      <c r="F8">
        <v>2030</v>
      </c>
      <c r="G8">
        <f>193.73*12/44/(10^6)</f>
        <v>5.2835454545454537E-5</v>
      </c>
      <c r="I8">
        <f>(1-B8)*E8</f>
        <v>8.9963071253071239E-5</v>
      </c>
      <c r="J8">
        <f>(1-C8)*E8</f>
        <v>8.9963071253071239E-5</v>
      </c>
    </row>
    <row r="9" spans="1:10" x14ac:dyDescent="0.25">
      <c r="A9" t="s">
        <v>108</v>
      </c>
    </row>
    <row r="10" spans="1:10" x14ac:dyDescent="0.25">
      <c r="A10" t="s">
        <v>56</v>
      </c>
      <c r="B10">
        <v>0.15</v>
      </c>
      <c r="C10">
        <v>0.3</v>
      </c>
      <c r="D10">
        <v>2013</v>
      </c>
      <c r="E10">
        <f>670*12/44/1000</f>
        <v>0.18272727272727271</v>
      </c>
      <c r="F10">
        <v>2030</v>
      </c>
      <c r="I10">
        <f>(1-B10)*E10</f>
        <v>0.1553181818181818</v>
      </c>
      <c r="J10">
        <f>(1-C10)*E10</f>
        <v>0.12790909090909089</v>
      </c>
    </row>
    <row r="11" spans="1:10" x14ac:dyDescent="0.25">
      <c r="A11" t="s">
        <v>182</v>
      </c>
    </row>
    <row r="12" spans="1:10" x14ac:dyDescent="0.25">
      <c r="A12" t="s">
        <v>17</v>
      </c>
      <c r="I12">
        <v>4.1049495088304699E-6</v>
      </c>
      <c r="J12">
        <v>4.1049495088304699E-6</v>
      </c>
    </row>
    <row r="13" spans="1:10" x14ac:dyDescent="0.25">
      <c r="A13" t="s">
        <v>53</v>
      </c>
    </row>
    <row r="14" spans="1:10" x14ac:dyDescent="0.25">
      <c r="A14" t="s">
        <v>201</v>
      </c>
    </row>
    <row r="15" spans="1:10" x14ac:dyDescent="0.25">
      <c r="A15" t="s">
        <v>57</v>
      </c>
      <c r="F15">
        <v>2030</v>
      </c>
    </row>
    <row r="16" spans="1:10" x14ac:dyDescent="0.25">
      <c r="A16" t="s">
        <v>46</v>
      </c>
      <c r="B16">
        <v>0.26</v>
      </c>
      <c r="C16">
        <v>0.28000000000000003</v>
      </c>
      <c r="D16">
        <v>2005</v>
      </c>
      <c r="E16">
        <f>548425.162301112*12/44/(10^6)</f>
        <v>0.14957049880939416</v>
      </c>
      <c r="F16">
        <v>2030</v>
      </c>
      <c r="I16">
        <f>(1-B16)*E16</f>
        <v>0.11068216911895168</v>
      </c>
      <c r="J16">
        <f>(1-C16)*E16</f>
        <v>0.10769075914276378</v>
      </c>
    </row>
    <row r="17" spans="1:10" x14ac:dyDescent="0.25">
      <c r="A17" t="s">
        <v>144</v>
      </c>
      <c r="B17">
        <v>0.4</v>
      </c>
      <c r="C17">
        <f>B17</f>
        <v>0.4</v>
      </c>
      <c r="D17">
        <v>1990</v>
      </c>
      <c r="E17">
        <f>68209.1255936716*12/44/(10^6)</f>
        <v>1.8602488798274072E-2</v>
      </c>
      <c r="I17">
        <f>(1-B17)*E17</f>
        <v>1.1161493278964443E-2</v>
      </c>
      <c r="J17">
        <f>(1-C17)*E17</f>
        <v>1.1161493278964443E-2</v>
      </c>
    </row>
    <row r="18" spans="1:10" x14ac:dyDescent="0.25">
      <c r="A18" t="s">
        <v>183</v>
      </c>
      <c r="B18">
        <v>0.35</v>
      </c>
      <c r="C18">
        <f>B18</f>
        <v>0.35</v>
      </c>
      <c r="D18">
        <v>1990</v>
      </c>
      <c r="E18">
        <f>69641*12/44/(10^6)</f>
        <v>1.8992999999999999E-2</v>
      </c>
      <c r="F18">
        <v>2030</v>
      </c>
      <c r="I18">
        <f>(1-B18)*E18</f>
        <v>1.2345450000000001E-2</v>
      </c>
      <c r="J18">
        <f>(1-C18)*E18</f>
        <v>1.2345450000000001E-2</v>
      </c>
    </row>
    <row r="19" spans="1:10" x14ac:dyDescent="0.25">
      <c r="A19" t="s">
        <v>205</v>
      </c>
      <c r="B19">
        <f>3/100</f>
        <v>0.03</v>
      </c>
      <c r="C19">
        <f>20/100</f>
        <v>0.2</v>
      </c>
      <c r="D19">
        <v>2030</v>
      </c>
      <c r="E19">
        <f>H19/C19</f>
        <v>2.0314090909090907E-2</v>
      </c>
      <c r="F19">
        <v>2030</v>
      </c>
      <c r="G19">
        <f>1958*0.000001*12/44</f>
        <v>5.3400000000000008E-4</v>
      </c>
      <c r="H19">
        <f>14897*0.000001*12/44</f>
        <v>4.0628181818181813E-3</v>
      </c>
      <c r="I19">
        <f>E19-G19</f>
        <v>1.9780090909090907E-2</v>
      </c>
      <c r="J19">
        <f>E19-H19</f>
        <v>1.6251272727272725E-2</v>
      </c>
    </row>
    <row r="20" spans="1:10" x14ac:dyDescent="0.25">
      <c r="A20" t="s">
        <v>145</v>
      </c>
      <c r="B20">
        <v>0.4</v>
      </c>
      <c r="C20">
        <f>B20</f>
        <v>0.4</v>
      </c>
      <c r="D20">
        <v>1990</v>
      </c>
      <c r="E20">
        <f>142117.727205359*12/44/(10^6)</f>
        <v>3.8759380146916086E-2</v>
      </c>
      <c r="I20">
        <f>(1-B20)*E20</f>
        <v>2.3255628088149651E-2</v>
      </c>
      <c r="J20">
        <f>(1-C20)*E20</f>
        <v>2.3255628088149651E-2</v>
      </c>
    </row>
    <row r="21" spans="1:10" x14ac:dyDescent="0.25">
      <c r="A21" t="s">
        <v>202</v>
      </c>
      <c r="B21">
        <f>3.5/100</f>
        <v>3.5000000000000003E-2</v>
      </c>
      <c r="C21">
        <f>(17.9)/100 +B21</f>
        <v>0.214</v>
      </c>
      <c r="D21">
        <v>2030</v>
      </c>
      <c r="E21">
        <f>22.5*0.001*12/44</f>
        <v>6.1363636363636368E-3</v>
      </c>
      <c r="F21">
        <v>2030</v>
      </c>
      <c r="I21">
        <f>(1-B21)*E21</f>
        <v>5.9215909090909093E-3</v>
      </c>
      <c r="J21">
        <f>(1-C21)*E21</f>
        <v>4.8231818181818185E-3</v>
      </c>
    </row>
    <row r="22" spans="1:10" x14ac:dyDescent="0.25">
      <c r="A22" t="s">
        <v>58</v>
      </c>
    </row>
    <row r="23" spans="1:10" x14ac:dyDescent="0.25">
      <c r="A23" t="s">
        <v>204</v>
      </c>
      <c r="B23">
        <f>6.6/100</f>
        <v>6.6000000000000003E-2</v>
      </c>
      <c r="C23">
        <f>18.2/100</f>
        <v>0.182</v>
      </c>
      <c r="D23">
        <v>2030</v>
      </c>
      <c r="E23">
        <f>118323*0.000001*12/44</f>
        <v>3.2269909090909092E-2</v>
      </c>
      <c r="F23">
        <v>2030</v>
      </c>
      <c r="I23">
        <f>(1-B23)*E23</f>
        <v>3.0140095090909091E-2</v>
      </c>
      <c r="J23">
        <f>(1-C23)*E23</f>
        <v>2.6396785636363638E-2</v>
      </c>
    </row>
    <row r="24" spans="1:10" x14ac:dyDescent="0.25">
      <c r="A24" t="s">
        <v>175</v>
      </c>
      <c r="B24">
        <v>0.05</v>
      </c>
      <c r="C24">
        <v>0.15</v>
      </c>
      <c r="D24">
        <v>2030</v>
      </c>
      <c r="E24">
        <f>234*12/44/1000</f>
        <v>6.3818181818181816E-2</v>
      </c>
      <c r="F24">
        <v>2030</v>
      </c>
      <c r="G24">
        <f>12*12/44/1000</f>
        <v>3.2727272727272731E-3</v>
      </c>
      <c r="H24">
        <f>36*12/44/1000</f>
        <v>9.8181818181818179E-3</v>
      </c>
      <c r="I24">
        <f>E24*(1-B24)</f>
        <v>6.0627272727272724E-2</v>
      </c>
      <c r="J24">
        <f>E24*(1-C24)</f>
        <v>5.4245454545454541E-2</v>
      </c>
    </row>
    <row r="25" spans="1:10" x14ac:dyDescent="0.25">
      <c r="A25" t="s">
        <v>129</v>
      </c>
      <c r="B25">
        <v>0.4</v>
      </c>
      <c r="C25">
        <f>B25</f>
        <v>0.4</v>
      </c>
      <c r="D25">
        <v>1990</v>
      </c>
      <c r="E25">
        <f>96316.2601680309*12/44/(10^6)</f>
        <v>2.6268070954917518E-2</v>
      </c>
      <c r="F25">
        <v>2030</v>
      </c>
      <c r="I25">
        <f>(1-B25)*E25</f>
        <v>1.5760842572950511E-2</v>
      </c>
      <c r="J25">
        <f>(1-C25)*E25</f>
        <v>1.5760842572950511E-2</v>
      </c>
    </row>
    <row r="26" spans="1:10" x14ac:dyDescent="0.25">
      <c r="A26" t="s">
        <v>109</v>
      </c>
    </row>
    <row r="27" spans="1:10" x14ac:dyDescent="0.25">
      <c r="A27" t="s">
        <v>59</v>
      </c>
      <c r="B27">
        <v>0.3</v>
      </c>
      <c r="C27">
        <v>0.3</v>
      </c>
      <c r="D27">
        <v>2030</v>
      </c>
      <c r="E27" t="s">
        <v>60</v>
      </c>
      <c r="F27">
        <v>2030</v>
      </c>
    </row>
    <row r="28" spans="1:10" x14ac:dyDescent="0.25">
      <c r="A28" t="s">
        <v>184</v>
      </c>
      <c r="B28">
        <v>-0.18</v>
      </c>
      <c r="C28">
        <v>0.03</v>
      </c>
      <c r="D28">
        <v>1990</v>
      </c>
      <c r="E28">
        <f>26619.96*12/44/(10^6)</f>
        <v>7.2599890909090907E-3</v>
      </c>
      <c r="F28">
        <v>2030</v>
      </c>
      <c r="I28">
        <f>(1-B28)*E28</f>
        <v>8.5667871272727264E-3</v>
      </c>
      <c r="J28">
        <f>(1-C28)*E28</f>
        <v>7.0421894181818181E-3</v>
      </c>
    </row>
    <row r="29" spans="1:10" x14ac:dyDescent="0.25">
      <c r="A29" t="s">
        <v>61</v>
      </c>
    </row>
    <row r="30" spans="1:10" x14ac:dyDescent="0.25">
      <c r="A30" t="s">
        <v>185</v>
      </c>
      <c r="B30">
        <v>0.28000000000000003</v>
      </c>
      <c r="C30">
        <f>B30</f>
        <v>0.28000000000000003</v>
      </c>
      <c r="D30">
        <v>1990</v>
      </c>
      <c r="E30">
        <f>139151.23*12/44/(10^6)</f>
        <v>3.7950335454545459E-2</v>
      </c>
      <c r="F30">
        <v>2030</v>
      </c>
      <c r="I30">
        <f>(1-B30)*E30</f>
        <v>2.7324241527272728E-2</v>
      </c>
      <c r="J30">
        <f>(1-C30)*E30</f>
        <v>2.7324241527272728E-2</v>
      </c>
    </row>
    <row r="31" spans="1:10" x14ac:dyDescent="0.25">
      <c r="A31" t="s">
        <v>62</v>
      </c>
      <c r="B31">
        <v>0.62</v>
      </c>
      <c r="C31">
        <v>0.62</v>
      </c>
      <c r="D31">
        <v>2027</v>
      </c>
      <c r="E31" t="s">
        <v>63</v>
      </c>
      <c r="F31">
        <v>2033</v>
      </c>
    </row>
    <row r="32" spans="1:10" x14ac:dyDescent="0.25">
      <c r="A32" t="s">
        <v>64</v>
      </c>
    </row>
    <row r="33" spans="1:10" x14ac:dyDescent="0.25">
      <c r="A33" t="s">
        <v>65</v>
      </c>
      <c r="F33">
        <v>2030</v>
      </c>
    </row>
    <row r="34" spans="1:10" x14ac:dyDescent="0.25">
      <c r="A34" t="s">
        <v>66</v>
      </c>
      <c r="B34">
        <v>0.43</v>
      </c>
      <c r="C34">
        <f>B34</f>
        <v>0.43</v>
      </c>
      <c r="D34">
        <v>2005</v>
      </c>
      <c r="E34">
        <f>2.1*12/44</f>
        <v>0.57272727272727275</v>
      </c>
      <c r="I34">
        <f>(1-B34)*E34</f>
        <v>0.3264545454545455</v>
      </c>
      <c r="J34">
        <f>I34</f>
        <v>0.3264545454545455</v>
      </c>
    </row>
    <row r="35" spans="1:10" x14ac:dyDescent="0.25">
      <c r="A35" t="s">
        <v>67</v>
      </c>
      <c r="B35">
        <v>0.23</v>
      </c>
      <c r="C35">
        <f>B35</f>
        <v>0.23</v>
      </c>
      <c r="D35">
        <v>2008</v>
      </c>
      <c r="E35">
        <f>1820*12/44/10^6</f>
        <v>4.9636363636363636E-4</v>
      </c>
      <c r="F35">
        <v>2030</v>
      </c>
      <c r="I35">
        <f>(1-B35)*E35</f>
        <v>3.8220000000000002E-4</v>
      </c>
      <c r="J35">
        <f>(1-C35)*E35</f>
        <v>3.8220000000000002E-4</v>
      </c>
    </row>
    <row r="36" spans="1:10" x14ac:dyDescent="0.25">
      <c r="A36" t="s">
        <v>18</v>
      </c>
    </row>
    <row r="37" spans="1:10" x14ac:dyDescent="0.25">
      <c r="A37" t="s">
        <v>177</v>
      </c>
    </row>
    <row r="38" spans="1:10" x14ac:dyDescent="0.25">
      <c r="A38" t="s">
        <v>206</v>
      </c>
    </row>
    <row r="39" spans="1:10" x14ac:dyDescent="0.25">
      <c r="A39" t="s">
        <v>203</v>
      </c>
      <c r="B39">
        <v>0.15</v>
      </c>
      <c r="C39">
        <v>0.15</v>
      </c>
      <c r="D39">
        <v>2010</v>
      </c>
      <c r="E39">
        <f>8307*0.000001*12/44</f>
        <v>2.2655454545454545E-3</v>
      </c>
      <c r="F39">
        <v>2030</v>
      </c>
      <c r="I39">
        <f>(1-B39)*E39</f>
        <v>1.9257136363636364E-3</v>
      </c>
      <c r="J39">
        <f>(1-C39)*E39</f>
        <v>1.9257136363636364E-3</v>
      </c>
    </row>
    <row r="40" spans="1:10" x14ac:dyDescent="0.25">
      <c r="A40" t="s">
        <v>209</v>
      </c>
      <c r="B40">
        <f>G40/E40</f>
        <v>2.9924194986113463E-2</v>
      </c>
      <c r="C40">
        <f>H40/E40</f>
        <v>4.0505219421995975E-2</v>
      </c>
      <c r="D40">
        <v>2030</v>
      </c>
      <c r="E40">
        <f>135743*0.000001*12/44</f>
        <v>3.7020818181818183E-2</v>
      </c>
      <c r="F40">
        <v>2030</v>
      </c>
      <c r="G40">
        <f>4062*0.000001*12/44</f>
        <v>1.1078181818181818E-3</v>
      </c>
      <c r="H40">
        <f>5498.3*0.000001*12/44</f>
        <v>1.4995363636363635E-3</v>
      </c>
      <c r="I40">
        <f>E40-G40</f>
        <v>3.5913E-2</v>
      </c>
      <c r="J40">
        <f>E40-H40</f>
        <v>3.5521281818181816E-2</v>
      </c>
    </row>
    <row r="41" spans="1:10" x14ac:dyDescent="0.25">
      <c r="A41" t="s">
        <v>7</v>
      </c>
      <c r="B41">
        <v>0.3</v>
      </c>
      <c r="C41">
        <v>0.3</v>
      </c>
      <c r="D41">
        <v>2005</v>
      </c>
      <c r="E41">
        <f>735*0.001*12/44</f>
        <v>0.20045454545454547</v>
      </c>
      <c r="F41">
        <v>2030</v>
      </c>
      <c r="I41">
        <f>(1-B41)*E41</f>
        <v>0.14031818181818181</v>
      </c>
      <c r="J41">
        <f>(1-C41)*E41</f>
        <v>0.14031818181818181</v>
      </c>
    </row>
    <row r="42" spans="1:10" x14ac:dyDescent="0.25">
      <c r="A42" t="s">
        <v>19</v>
      </c>
    </row>
    <row r="43" spans="1:10" x14ac:dyDescent="0.25">
      <c r="A43" t="s">
        <v>146</v>
      </c>
      <c r="B43">
        <v>0.5</v>
      </c>
      <c r="C43">
        <f>B43</f>
        <v>0.5</v>
      </c>
      <c r="D43">
        <v>1990</v>
      </c>
      <c r="E43">
        <f>53.3*12/44/1000</f>
        <v>1.4536363636363634E-2</v>
      </c>
      <c r="F43">
        <v>2030</v>
      </c>
      <c r="I43">
        <f>(1-B43)*E43</f>
        <v>7.2681818181818169E-3</v>
      </c>
      <c r="J43">
        <f>(1-C43)*E43</f>
        <v>7.2681818181818169E-3</v>
      </c>
    </row>
    <row r="44" spans="1:10" x14ac:dyDescent="0.25">
      <c r="A44" t="s">
        <v>68</v>
      </c>
      <c r="B44">
        <v>0.3</v>
      </c>
      <c r="C44">
        <v>0.45</v>
      </c>
      <c r="D44">
        <v>2007</v>
      </c>
      <c r="F44">
        <v>2030</v>
      </c>
      <c r="I44">
        <f>((1.02*102635084/1000000)/229646)*(1-0.3)*600210*12/44/1000</f>
        <v>5.2235645404541564E-2</v>
      </c>
      <c r="J44">
        <f>((1.02*102635084/1000000)/229646)*(1-0.45)*600210*12/44/1000</f>
        <v>4.1042292817854098E-2</v>
      </c>
    </row>
    <row r="45" spans="1:10" x14ac:dyDescent="0.25">
      <c r="A45" t="s">
        <v>253</v>
      </c>
      <c r="B45">
        <v>0.6</v>
      </c>
      <c r="C45">
        <v>0.65</v>
      </c>
      <c r="D45">
        <v>2005</v>
      </c>
      <c r="F45">
        <v>2030</v>
      </c>
    </row>
    <row r="46" spans="1:10" x14ac:dyDescent="0.25">
      <c r="A46" t="s">
        <v>214</v>
      </c>
      <c r="B46">
        <v>0.28000000000000003</v>
      </c>
      <c r="C46">
        <v>0.28000000000000003</v>
      </c>
      <c r="D46">
        <v>2030</v>
      </c>
      <c r="E46">
        <f>34235.25*0.000001*12/44</f>
        <v>9.3368863636363649E-3</v>
      </c>
      <c r="F46">
        <v>2030</v>
      </c>
      <c r="I46">
        <f>(1-B46)*E46</f>
        <v>6.7225581818181829E-3</v>
      </c>
      <c r="J46">
        <f>(1-C46)*E46</f>
        <v>6.7225581818181829E-3</v>
      </c>
    </row>
    <row r="47" spans="1:10" x14ac:dyDescent="0.25">
      <c r="A47" t="s">
        <v>207</v>
      </c>
      <c r="B47">
        <v>0</v>
      </c>
      <c r="C47">
        <v>0.32</v>
      </c>
      <c r="D47">
        <v>2035</v>
      </c>
      <c r="E47">
        <f>104*0.001*12/44</f>
        <v>2.8363636363636369E-2</v>
      </c>
      <c r="F47">
        <v>2035</v>
      </c>
      <c r="I47">
        <f>(1-B47)*90*0.001*12/44</f>
        <v>2.4545454545454547E-2</v>
      </c>
      <c r="J47">
        <f>(1-0.289)*90*0.001*12/44</f>
        <v>1.7451818181818183E-2</v>
      </c>
    </row>
    <row r="48" spans="1:10" x14ac:dyDescent="0.25">
      <c r="A48" t="s">
        <v>213</v>
      </c>
      <c r="B48">
        <v>0</v>
      </c>
      <c r="C48">
        <v>0.17</v>
      </c>
      <c r="D48">
        <v>2030</v>
      </c>
      <c r="E48">
        <f>430*0.001*12/44</f>
        <v>0.11727272727272728</v>
      </c>
      <c r="F48">
        <v>2030</v>
      </c>
      <c r="I48">
        <f>(1-B48)*E48</f>
        <v>0.11727272727272728</v>
      </c>
      <c r="J48">
        <f>(1-C48)*E48</f>
        <v>9.7336363636363638E-2</v>
      </c>
    </row>
    <row r="49" spans="1:10" x14ac:dyDescent="0.25">
      <c r="A49" t="s">
        <v>212</v>
      </c>
      <c r="B49">
        <v>0.54</v>
      </c>
      <c r="C49">
        <v>0.54</v>
      </c>
      <c r="D49">
        <v>2035</v>
      </c>
      <c r="E49">
        <f>34527*0.000001*12/44</f>
        <v>9.4164545454545438E-3</v>
      </c>
      <c r="F49">
        <v>2035</v>
      </c>
      <c r="I49">
        <f>(1-B49)*E49+0.00285</f>
        <v>7.1815690909090898E-3</v>
      </c>
      <c r="J49">
        <f>(1-C49)*E49 +0.00285</f>
        <v>7.1815690909090898E-3</v>
      </c>
    </row>
    <row r="50" spans="1:10" x14ac:dyDescent="0.25">
      <c r="A50" t="s">
        <v>8</v>
      </c>
      <c r="B50">
        <v>0.38</v>
      </c>
      <c r="C50">
        <v>0.81</v>
      </c>
      <c r="D50">
        <v>2006</v>
      </c>
      <c r="E50">
        <f>23655*0.000000001*12/44</f>
        <v>6.4513636363636376E-6</v>
      </c>
      <c r="F50">
        <v>2030</v>
      </c>
      <c r="I50">
        <f>(1-B50)*E50</f>
        <v>3.9998454545454555E-6</v>
      </c>
      <c r="J50">
        <f>(1-C50)*E50</f>
        <v>1.2257590909090908E-6</v>
      </c>
    </row>
    <row r="51" spans="1:10" x14ac:dyDescent="0.25">
      <c r="A51" t="s">
        <v>69</v>
      </c>
      <c r="B51">
        <v>0.2</v>
      </c>
      <c r="C51">
        <v>0.30000000000000004</v>
      </c>
      <c r="D51">
        <v>2030</v>
      </c>
      <c r="E51">
        <f>335*12/44/1000</f>
        <v>9.1363636363636355E-2</v>
      </c>
      <c r="F51">
        <v>2030</v>
      </c>
      <c r="I51">
        <f>(1-B51)*E51</f>
        <v>7.3090909090909081E-2</v>
      </c>
      <c r="J51">
        <f>(1-C51)*E51</f>
        <v>6.3954545454545444E-2</v>
      </c>
    </row>
    <row r="52" spans="1:10" x14ac:dyDescent="0.25">
      <c r="A52" t="s">
        <v>211</v>
      </c>
      <c r="B52">
        <v>0.84</v>
      </c>
      <c r="C52">
        <v>0.84</v>
      </c>
      <c r="D52">
        <v>2030</v>
      </c>
      <c r="E52">
        <f>523100*0.000000001*12/44</f>
        <v>1.4266363636363639E-4</v>
      </c>
      <c r="F52">
        <v>2030</v>
      </c>
      <c r="I52">
        <f>(1-B52)*E52</f>
        <v>2.2826181818181826E-5</v>
      </c>
      <c r="J52">
        <f>(1-C52)*E52</f>
        <v>2.2826181818181826E-5</v>
      </c>
    </row>
    <row r="53" spans="1:10" x14ac:dyDescent="0.25">
      <c r="A53" t="s">
        <v>208</v>
      </c>
      <c r="G53">
        <f>600*0.000000001*12/44</f>
        <v>1.6363636363636364E-7</v>
      </c>
      <c r="H53">
        <f>700*0.000000001*12/44</f>
        <v>1.9090909090909094E-7</v>
      </c>
    </row>
    <row r="54" spans="1:10" x14ac:dyDescent="0.25">
      <c r="A54" t="s">
        <v>70</v>
      </c>
      <c r="B54">
        <v>0.25</v>
      </c>
      <c r="C54">
        <f>B54</f>
        <v>0.25</v>
      </c>
      <c r="D54">
        <v>2012</v>
      </c>
      <c r="E54">
        <f>12441260*12/44/(10^9)</f>
        <v>3.3930709090909091E-3</v>
      </c>
      <c r="F54">
        <v>2030</v>
      </c>
      <c r="I54">
        <f>J54</f>
        <v>2.5565454545454546E-3</v>
      </c>
      <c r="J54">
        <f>9374000*12/44/(10^9)</f>
        <v>2.5565454545454546E-3</v>
      </c>
    </row>
    <row r="55" spans="1:10" x14ac:dyDescent="0.25">
      <c r="A55" t="s">
        <v>71</v>
      </c>
      <c r="F55" t="s">
        <v>264</v>
      </c>
      <c r="G55">
        <f>6*0.001*12/44</f>
        <v>1.6363636363636365E-3</v>
      </c>
      <c r="H55">
        <f>G55</f>
        <v>1.6363636363636365E-3</v>
      </c>
    </row>
    <row r="56" spans="1:10" x14ac:dyDescent="0.25">
      <c r="A56" t="s">
        <v>72</v>
      </c>
    </row>
    <row r="57" spans="1:10" x14ac:dyDescent="0.25">
      <c r="A57" t="s">
        <v>47</v>
      </c>
    </row>
    <row r="58" spans="1:10" x14ac:dyDescent="0.25">
      <c r="A58" t="s">
        <v>73</v>
      </c>
    </row>
    <row r="59" spans="1:10" x14ac:dyDescent="0.25">
      <c r="A59" t="s">
        <v>130</v>
      </c>
      <c r="B59">
        <v>0.4</v>
      </c>
      <c r="C59">
        <f>B59</f>
        <v>0.4</v>
      </c>
      <c r="D59">
        <v>1990</v>
      </c>
      <c r="E59">
        <f>5948.87595286243*12/44/(10^6)</f>
        <v>1.6224207144170265E-3</v>
      </c>
      <c r="F59">
        <v>2030</v>
      </c>
      <c r="I59">
        <f>(1-B59)*E59</f>
        <v>9.7345242865021588E-4</v>
      </c>
      <c r="J59">
        <f>(1-C59)*E59</f>
        <v>9.7345242865021588E-4</v>
      </c>
    </row>
    <row r="60" spans="1:10" x14ac:dyDescent="0.25">
      <c r="A60" t="s">
        <v>131</v>
      </c>
      <c r="B60">
        <v>0.4</v>
      </c>
      <c r="C60">
        <f>B60</f>
        <v>0.4</v>
      </c>
      <c r="D60">
        <v>1990</v>
      </c>
      <c r="E60">
        <f>192708.234047972*12/44/(10^6)</f>
        <v>5.2556791103992355E-2</v>
      </c>
      <c r="F60">
        <v>2030</v>
      </c>
      <c r="I60">
        <f>(1-B60)*E60</f>
        <v>3.1534074662395412E-2</v>
      </c>
      <c r="J60">
        <f>(1-C60)*E60</f>
        <v>3.1534074662395412E-2</v>
      </c>
    </row>
    <row r="61" spans="1:10" x14ac:dyDescent="0.25">
      <c r="A61" t="s">
        <v>147</v>
      </c>
      <c r="B61">
        <v>0.4</v>
      </c>
      <c r="C61">
        <f>B61</f>
        <v>0.4</v>
      </c>
      <c r="D61">
        <v>1990</v>
      </c>
      <c r="E61">
        <f>1223530.68320513*12/44/(10^6)</f>
        <v>0.33369018632867181</v>
      </c>
      <c r="I61">
        <f>(1-B61)*E61</f>
        <v>0.20021411179720308</v>
      </c>
      <c r="J61">
        <f>(1-C61)*E61</f>
        <v>0.20021411179720308</v>
      </c>
    </row>
    <row r="62" spans="1:10" x14ac:dyDescent="0.25">
      <c r="A62" t="s">
        <v>110</v>
      </c>
      <c r="B62">
        <v>0.4</v>
      </c>
      <c r="C62">
        <v>0.60000000000000009</v>
      </c>
      <c r="D62">
        <v>2030</v>
      </c>
      <c r="E62">
        <f>4475*0.000001*12/44</f>
        <v>1.2204545454545454E-3</v>
      </c>
      <c r="F62">
        <v>2030</v>
      </c>
      <c r="I62">
        <f>(1-B62)*E62</f>
        <v>7.3227272727272724E-4</v>
      </c>
      <c r="J62">
        <f>(1-C62)*E62</f>
        <v>4.8818181818181805E-4</v>
      </c>
    </row>
    <row r="63" spans="1:10" x14ac:dyDescent="0.25">
      <c r="A63" t="s">
        <v>74</v>
      </c>
      <c r="B63">
        <v>0.44700000000000001</v>
      </c>
      <c r="C63">
        <f>B63</f>
        <v>0.44700000000000001</v>
      </c>
      <c r="D63">
        <v>2014</v>
      </c>
      <c r="E63">
        <f>164.5*12/44/(10^6)</f>
        <v>4.4863636363636367E-5</v>
      </c>
      <c r="F63">
        <v>2030</v>
      </c>
      <c r="I63">
        <f>(1-B63)*E63</f>
        <v>2.4809590909090907E-5</v>
      </c>
      <c r="J63">
        <f>(1-C63)*E63</f>
        <v>2.4809590909090907E-5</v>
      </c>
    </row>
    <row r="64" spans="1:10" x14ac:dyDescent="0.25">
      <c r="A64" t="s">
        <v>148</v>
      </c>
      <c r="B64">
        <v>0.4</v>
      </c>
      <c r="C64">
        <f>B64</f>
        <v>0.4</v>
      </c>
      <c r="D64">
        <v>1990</v>
      </c>
      <c r="E64">
        <f>75303.2530343026*12/44/(10^6)</f>
        <v>2.053725082753707E-2</v>
      </c>
      <c r="I64">
        <f>(1-B64)*E64</f>
        <v>1.2322350496522241E-2</v>
      </c>
      <c r="J64">
        <f>(1-C64)*E64</f>
        <v>1.2322350496522241E-2</v>
      </c>
    </row>
    <row r="65" spans="1:10" x14ac:dyDescent="0.25">
      <c r="A65" t="s">
        <v>75</v>
      </c>
      <c r="B65">
        <v>0.25</v>
      </c>
      <c r="C65">
        <f>B65</f>
        <v>0.25</v>
      </c>
      <c r="D65">
        <v>2010</v>
      </c>
      <c r="E65">
        <f>3.6*9897983*12/44/(10^9)</f>
        <v>9.7180196727272745E-3</v>
      </c>
      <c r="F65">
        <v>2030</v>
      </c>
      <c r="I65">
        <f>(1-B65)*E65</f>
        <v>7.2885147545454559E-3</v>
      </c>
      <c r="J65">
        <f>(1-C65)*E65</f>
        <v>7.2885147545454559E-3</v>
      </c>
    </row>
    <row r="66" spans="1:10" x14ac:dyDescent="0.25">
      <c r="A66" t="s">
        <v>111</v>
      </c>
      <c r="B66">
        <v>7.0000000000000007E-2</v>
      </c>
      <c r="C66">
        <v>0.22</v>
      </c>
      <c r="D66">
        <v>2030</v>
      </c>
      <c r="E66" t="s">
        <v>60</v>
      </c>
      <c r="F66">
        <v>2030</v>
      </c>
    </row>
    <row r="67" spans="1:10" x14ac:dyDescent="0.25">
      <c r="A67" t="s">
        <v>76</v>
      </c>
      <c r="B67">
        <v>0.20399999999999999</v>
      </c>
      <c r="C67">
        <v>0.45800000000000002</v>
      </c>
      <c r="D67">
        <v>2025</v>
      </c>
    </row>
    <row r="68" spans="1:10" x14ac:dyDescent="0.25">
      <c r="A68" t="s">
        <v>112</v>
      </c>
      <c r="F68">
        <v>2030</v>
      </c>
    </row>
    <row r="69" spans="1:10" x14ac:dyDescent="0.25">
      <c r="A69" t="s">
        <v>216</v>
      </c>
      <c r="B69">
        <f>39/100</f>
        <v>0.39</v>
      </c>
      <c r="C69">
        <f>80.6/100</f>
        <v>0.80599999999999994</v>
      </c>
      <c r="D69">
        <v>2030</v>
      </c>
      <c r="E69">
        <f>6.331*0.001*12/44</f>
        <v>1.726636363636364E-3</v>
      </c>
      <c r="F69">
        <v>2030</v>
      </c>
      <c r="I69">
        <f>(1-B69)*E69</f>
        <v>1.0532481818181819E-3</v>
      </c>
      <c r="J69">
        <f>(1-C69)*E69</f>
        <v>3.3496745454545475E-4</v>
      </c>
    </row>
    <row r="70" spans="1:10" x14ac:dyDescent="0.25">
      <c r="A70" t="s">
        <v>113</v>
      </c>
    </row>
    <row r="71" spans="1:10" x14ac:dyDescent="0.25">
      <c r="A71" t="s">
        <v>149</v>
      </c>
      <c r="B71">
        <v>0.4</v>
      </c>
      <c r="C71">
        <f>B71</f>
        <v>0.4</v>
      </c>
      <c r="D71">
        <v>1990</v>
      </c>
      <c r="E71">
        <f>260444.435139123*12/44/(10^6)</f>
        <v>7.1030300492488097E-2</v>
      </c>
      <c r="I71">
        <f>(1-B71)*E71</f>
        <v>4.2618180295492858E-2</v>
      </c>
      <c r="J71">
        <f>(1-C71)*E71</f>
        <v>4.2618180295492858E-2</v>
      </c>
    </row>
    <row r="72" spans="1:10" x14ac:dyDescent="0.25">
      <c r="A72" t="s">
        <v>132</v>
      </c>
      <c r="B72">
        <v>0.4</v>
      </c>
      <c r="C72">
        <f>B72</f>
        <v>0.4</v>
      </c>
      <c r="D72">
        <v>1990</v>
      </c>
      <c r="E72">
        <f>31805.7426465149*12/44/(10^6)</f>
        <v>8.6742934490495176E-3</v>
      </c>
      <c r="F72">
        <v>2030</v>
      </c>
      <c r="I72">
        <f>(1-B72)*E72</f>
        <v>5.2045760694297101E-3</v>
      </c>
      <c r="J72">
        <f>(1-C72)*E72</f>
        <v>5.2045760694297101E-3</v>
      </c>
    </row>
    <row r="73" spans="1:10" x14ac:dyDescent="0.25">
      <c r="A73" t="s">
        <v>217</v>
      </c>
      <c r="B73">
        <f>G73/E73</f>
        <v>0.63749999999999996</v>
      </c>
      <c r="C73">
        <f>G73/E73</f>
        <v>0.63749999999999996</v>
      </c>
      <c r="D73">
        <v>2030</v>
      </c>
      <c r="E73">
        <f>G73+I73</f>
        <v>0.1090909090909091</v>
      </c>
      <c r="F73">
        <v>2030</v>
      </c>
      <c r="G73">
        <f>255*0.001*12/44</f>
        <v>6.9545454545454549E-2</v>
      </c>
      <c r="H73">
        <f>G73</f>
        <v>6.9545454545454549E-2</v>
      </c>
      <c r="I73">
        <f>145*0.001*12/44</f>
        <v>3.9545454545454543E-2</v>
      </c>
      <c r="J73">
        <f>I73</f>
        <v>3.9545454545454543E-2</v>
      </c>
    </row>
    <row r="74" spans="1:10" x14ac:dyDescent="0.25">
      <c r="A74" t="s">
        <v>150</v>
      </c>
      <c r="B74">
        <v>0.4</v>
      </c>
      <c r="C74">
        <f>B74</f>
        <v>0.4</v>
      </c>
      <c r="D74">
        <v>1990</v>
      </c>
      <c r="E74">
        <f>56653.8998044188*12/44/(10^6)</f>
        <v>1.5451063583023309E-2</v>
      </c>
      <c r="I74">
        <f>(1-B74)*E74</f>
        <v>9.2706381498139853E-3</v>
      </c>
      <c r="J74">
        <f>(1-C74)*E74</f>
        <v>9.2706381498139853E-3</v>
      </c>
    </row>
    <row r="75" spans="1:10" x14ac:dyDescent="0.25">
      <c r="A75" t="s">
        <v>20</v>
      </c>
      <c r="B75">
        <v>0.1</v>
      </c>
      <c r="C75">
        <v>0.3</v>
      </c>
      <c r="D75">
        <v>2013</v>
      </c>
      <c r="E75">
        <f>2500*10^-6*12/44</f>
        <v>6.8181818181818176E-4</v>
      </c>
      <c r="F75">
        <v>2030</v>
      </c>
      <c r="I75">
        <f>(1-B75)*E75</f>
        <v>6.1363636363636362E-4</v>
      </c>
      <c r="J75">
        <f>(1-C75)*E75</f>
        <v>4.7727272727272722E-4</v>
      </c>
    </row>
    <row r="76" spans="1:10" x14ac:dyDescent="0.25">
      <c r="A76" t="s">
        <v>77</v>
      </c>
    </row>
    <row r="77" spans="1:10" x14ac:dyDescent="0.25">
      <c r="A77" t="s">
        <v>151</v>
      </c>
      <c r="B77">
        <v>0.4</v>
      </c>
      <c r="C77">
        <f>B77</f>
        <v>0.4</v>
      </c>
      <c r="D77">
        <v>1990</v>
      </c>
      <c r="E77">
        <f>531764.126532144*12/44/(10^6)</f>
        <v>0.14502657996331203</v>
      </c>
      <c r="I77">
        <f>(1-B77)*E77</f>
        <v>8.7015947977987215E-2</v>
      </c>
      <c r="J77">
        <f>(1-C77)*E77</f>
        <v>8.7015947977987215E-2</v>
      </c>
    </row>
    <row r="78" spans="1:10" x14ac:dyDescent="0.25">
      <c r="A78" t="s">
        <v>152</v>
      </c>
    </row>
    <row r="79" spans="1:10" x14ac:dyDescent="0.25">
      <c r="A79" t="s">
        <v>21</v>
      </c>
      <c r="B79">
        <v>0.28000000000000003</v>
      </c>
      <c r="C79">
        <v>0.35</v>
      </c>
      <c r="D79">
        <v>2000</v>
      </c>
      <c r="E79">
        <f>150000*10^-9*12/44</f>
        <v>4.0909090909090915E-5</v>
      </c>
      <c r="F79">
        <v>2025</v>
      </c>
      <c r="I79">
        <f>(1-B79)*E79</f>
        <v>2.9454545454545456E-5</v>
      </c>
      <c r="J79">
        <f>(1-C79)*E79</f>
        <v>2.6590909090909096E-5</v>
      </c>
    </row>
    <row r="80" spans="1:10" x14ac:dyDescent="0.25">
      <c r="A80" t="s">
        <v>218</v>
      </c>
      <c r="D80">
        <v>2025</v>
      </c>
      <c r="F80">
        <v>2025</v>
      </c>
    </row>
    <row r="81" spans="1:10" x14ac:dyDescent="0.25">
      <c r="A81" t="s">
        <v>154</v>
      </c>
      <c r="B81">
        <v>0.4</v>
      </c>
      <c r="C81">
        <f>B81</f>
        <v>0.4</v>
      </c>
      <c r="D81">
        <v>1990</v>
      </c>
      <c r="E81">
        <f>785291.273875175*12/44/(10^6)</f>
        <v>0.21417034742050228</v>
      </c>
      <c r="I81">
        <f>(1-B81)*E81</f>
        <v>0.12850220845230137</v>
      </c>
      <c r="J81">
        <f>(1-C81)*E81</f>
        <v>0.12850220845230137</v>
      </c>
    </row>
    <row r="82" spans="1:10" x14ac:dyDescent="0.25">
      <c r="A82" t="s">
        <v>186</v>
      </c>
      <c r="B82">
        <v>0.15</v>
      </c>
      <c r="C82">
        <v>0.25</v>
      </c>
      <c r="D82">
        <v>2030</v>
      </c>
      <c r="E82">
        <f>38.42*12/44/1000</f>
        <v>1.0478181818181819E-2</v>
      </c>
      <c r="F82">
        <v>2030</v>
      </c>
      <c r="I82">
        <f>(1-B82)*E82</f>
        <v>8.9064545454545455E-3</v>
      </c>
      <c r="J82">
        <f>(1-C82)*E82</f>
        <v>7.8586363636363645E-3</v>
      </c>
    </row>
    <row r="83" spans="1:10" x14ac:dyDescent="0.25">
      <c r="A83" t="s">
        <v>155</v>
      </c>
    </row>
    <row r="84" spans="1:10" x14ac:dyDescent="0.25">
      <c r="A84" t="s">
        <v>220</v>
      </c>
      <c r="B84">
        <v>0.15</v>
      </c>
      <c r="C84">
        <v>0.45</v>
      </c>
      <c r="D84">
        <v>2030</v>
      </c>
      <c r="E84">
        <f>73.95*0.001*12/44</f>
        <v>2.0168181818181818E-2</v>
      </c>
      <c r="F84">
        <v>2030</v>
      </c>
      <c r="I84">
        <f>(1-B84)*E84</f>
        <v>1.7142954545454545E-2</v>
      </c>
      <c r="J84">
        <f>(1-C84)*E84</f>
        <v>1.10925E-2</v>
      </c>
    </row>
    <row r="85" spans="1:10" x14ac:dyDescent="0.25">
      <c r="A85" t="s">
        <v>153</v>
      </c>
    </row>
    <row r="86" spans="1:10" x14ac:dyDescent="0.25">
      <c r="A86" t="s">
        <v>221</v>
      </c>
      <c r="B86">
        <v>0</v>
      </c>
      <c r="C86">
        <v>0.13</v>
      </c>
      <c r="D86">
        <v>1994</v>
      </c>
      <c r="E86">
        <f>54*0.001*12/44</f>
        <v>1.4727272727272728E-2</v>
      </c>
      <c r="F86">
        <v>2030</v>
      </c>
      <c r="I86">
        <f>(1-B86)*E86</f>
        <v>1.4727272727272728E-2</v>
      </c>
      <c r="J86">
        <f>(1-C86)*E86</f>
        <v>1.2812727272727273E-2</v>
      </c>
    </row>
    <row r="87" spans="1:10" x14ac:dyDescent="0.25">
      <c r="A87" t="s">
        <v>78</v>
      </c>
    </row>
    <row r="88" spans="1:10" x14ac:dyDescent="0.25">
      <c r="A88" t="s">
        <v>219</v>
      </c>
      <c r="F88">
        <v>2030</v>
      </c>
      <c r="G88">
        <f>(104+330.5)*12/44*0.000001</f>
        <v>1.1849999999999999E-4</v>
      </c>
      <c r="H88">
        <f>(104+330.5+397.7+707+629.6+193.3+413.7)*12/44*0.000001</f>
        <v>7.5703636363636364E-4</v>
      </c>
    </row>
    <row r="89" spans="1:10" x14ac:dyDescent="0.25">
      <c r="A89" t="s">
        <v>222</v>
      </c>
      <c r="F89">
        <v>2030</v>
      </c>
      <c r="I89">
        <f>30510*12/44*0.000001</f>
        <v>8.3209090909090889E-3</v>
      </c>
      <c r="J89">
        <f>30510*12/44*0.000001</f>
        <v>8.3209090909090889E-3</v>
      </c>
    </row>
    <row r="90" spans="1:10" x14ac:dyDescent="0.25">
      <c r="A90" t="s">
        <v>215</v>
      </c>
      <c r="B90">
        <v>0.2</v>
      </c>
      <c r="C90">
        <v>0.2</v>
      </c>
      <c r="D90">
        <v>2010</v>
      </c>
      <c r="E90">
        <f>25.72*12/44/1000</f>
        <v>7.0145454545454547E-3</v>
      </c>
      <c r="F90">
        <v>2030</v>
      </c>
      <c r="I90">
        <f>(1-B90)*E90</f>
        <v>5.6116363636363638E-3</v>
      </c>
      <c r="J90">
        <f>(1-C90)*E90</f>
        <v>5.6116363636363638E-3</v>
      </c>
    </row>
    <row r="91" spans="1:10" x14ac:dyDescent="0.25">
      <c r="A91" t="s">
        <v>156</v>
      </c>
      <c r="B91">
        <v>0.4</v>
      </c>
      <c r="C91">
        <f>B91</f>
        <v>0.4</v>
      </c>
      <c r="D91">
        <v>1990</v>
      </c>
      <c r="E91">
        <f>102821.249383727*12/44/(10^6)</f>
        <v>2.804215892283464E-2</v>
      </c>
      <c r="I91">
        <f>(1-B91)*E91</f>
        <v>1.6825295353700784E-2</v>
      </c>
      <c r="J91">
        <f>(1-C91)*E91</f>
        <v>1.6825295353700784E-2</v>
      </c>
    </row>
    <row r="92" spans="1:10" x14ac:dyDescent="0.25">
      <c r="A92" t="s">
        <v>79</v>
      </c>
      <c r="B92">
        <v>0.4</v>
      </c>
      <c r="C92">
        <f>B92</f>
        <v>0.4</v>
      </c>
      <c r="D92">
        <v>2010</v>
      </c>
      <c r="E92">
        <f>251649*12/44/(10^9)</f>
        <v>6.863154545454545E-5</v>
      </c>
      <c r="F92">
        <v>2030</v>
      </c>
      <c r="I92">
        <f>(1-B92)*E92</f>
        <v>4.1178927272727269E-5</v>
      </c>
      <c r="J92">
        <f>(1-C92)*E92</f>
        <v>4.1178927272727269E-5</v>
      </c>
    </row>
    <row r="93" spans="1:10" x14ac:dyDescent="0.25">
      <c r="A93" t="s">
        <v>157</v>
      </c>
    </row>
    <row r="94" spans="1:10" x14ac:dyDescent="0.25">
      <c r="A94" t="s">
        <v>80</v>
      </c>
      <c r="B94">
        <v>0.112</v>
      </c>
      <c r="C94">
        <v>0.22600000000000001</v>
      </c>
      <c r="D94">
        <v>2030</v>
      </c>
      <c r="E94">
        <f>53.85*12/44/(10^3)</f>
        <v>1.4686363636363638E-2</v>
      </c>
      <c r="F94">
        <v>2030</v>
      </c>
      <c r="I94">
        <f>(1-B94)*E94</f>
        <v>1.3041490909090911E-2</v>
      </c>
      <c r="J94">
        <f>(1-C94)*E94</f>
        <v>1.1367245454545457E-2</v>
      </c>
    </row>
    <row r="95" spans="1:10" x14ac:dyDescent="0.25">
      <c r="A95" t="s">
        <v>81</v>
      </c>
    </row>
    <row r="96" spans="1:10" x14ac:dyDescent="0.25">
      <c r="A96" t="s">
        <v>22</v>
      </c>
    </row>
    <row r="97" spans="1:10" x14ac:dyDescent="0.25">
      <c r="A97" t="s">
        <v>82</v>
      </c>
    </row>
    <row r="98" spans="1:10" x14ac:dyDescent="0.25">
      <c r="A98" t="s">
        <v>256</v>
      </c>
    </row>
    <row r="99" spans="1:10" x14ac:dyDescent="0.25">
      <c r="A99" t="s">
        <v>48</v>
      </c>
    </row>
    <row r="100" spans="1:10" x14ac:dyDescent="0.25">
      <c r="A100" t="s">
        <v>83</v>
      </c>
      <c r="B100">
        <v>0.15</v>
      </c>
      <c r="C100">
        <f>B100</f>
        <v>0.15</v>
      </c>
      <c r="D100">
        <v>2030</v>
      </c>
      <c r="E100">
        <f>28922*12/44/(10^6)</f>
        <v>7.8878181818181816E-3</v>
      </c>
      <c r="I100">
        <f>(1-B100)*E100</f>
        <v>6.7046454545454538E-3</v>
      </c>
      <c r="J100">
        <f>(1-C100)*E100</f>
        <v>6.7046454545454538E-3</v>
      </c>
    </row>
    <row r="101" spans="1:10" x14ac:dyDescent="0.25">
      <c r="A101" t="s">
        <v>140</v>
      </c>
      <c r="B101">
        <v>0.4</v>
      </c>
      <c r="C101">
        <f>B101</f>
        <v>0.4</v>
      </c>
      <c r="D101">
        <v>1990</v>
      </c>
      <c r="E101">
        <f>24795.9322540955*12/44/(10^6)</f>
        <v>6.7625269783896814E-3</v>
      </c>
      <c r="F101">
        <v>2030</v>
      </c>
      <c r="I101">
        <f>(1-B101)*E101</f>
        <v>4.0575161870338083E-3</v>
      </c>
      <c r="J101">
        <f>(1-C101)*E101</f>
        <v>4.0575161870338083E-3</v>
      </c>
    </row>
    <row r="102" spans="1:10" x14ac:dyDescent="0.25">
      <c r="A102" t="s">
        <v>84</v>
      </c>
      <c r="B102">
        <v>0.05</v>
      </c>
      <c r="C102">
        <v>0.26</v>
      </c>
      <c r="D102">
        <v>2030</v>
      </c>
      <c r="E102">
        <f>20.85*12/44/1000</f>
        <v>5.6863636363636361E-3</v>
      </c>
      <c r="F102">
        <v>2030</v>
      </c>
      <c r="I102">
        <f>(1-B102)*E102</f>
        <v>5.4020454545454536E-3</v>
      </c>
      <c r="J102">
        <f>(1-C102)*E102</f>
        <v>4.2079090909090903E-3</v>
      </c>
    </row>
    <row r="103" spans="1:10" x14ac:dyDescent="0.25">
      <c r="A103" t="s">
        <v>133</v>
      </c>
      <c r="B103">
        <v>0.4</v>
      </c>
      <c r="C103">
        <f>B103</f>
        <v>0.4</v>
      </c>
      <c r="D103">
        <v>1990</v>
      </c>
      <c r="E103">
        <f>95635.7404048474*12/44/(10^6)</f>
        <v>2.6082474655867469E-2</v>
      </c>
      <c r="F103">
        <v>2030</v>
      </c>
      <c r="I103">
        <f>(1-B103)*E103</f>
        <v>1.564948479352048E-2</v>
      </c>
      <c r="J103">
        <f>(1-C103)*E103</f>
        <v>1.564948479352048E-2</v>
      </c>
    </row>
    <row r="104" spans="1:10" x14ac:dyDescent="0.25">
      <c r="A104" t="s">
        <v>23</v>
      </c>
      <c r="B104">
        <v>0.28999999999999998</v>
      </c>
      <c r="C104">
        <v>0.41</v>
      </c>
      <c r="D104">
        <v>2030</v>
      </c>
      <c r="E104">
        <f>2.881*12/44</f>
        <v>0.78572727272727261</v>
      </c>
      <c r="I104">
        <f>(1-B104)*E104</f>
        <v>0.55786636363636355</v>
      </c>
      <c r="J104">
        <f>(1-C104)*E104</f>
        <v>0.46357909090909089</v>
      </c>
    </row>
    <row r="105" spans="1:10" x14ac:dyDescent="0.25">
      <c r="A105" t="s">
        <v>158</v>
      </c>
    </row>
    <row r="106" spans="1:10" x14ac:dyDescent="0.25">
      <c r="A106" t="s">
        <v>254</v>
      </c>
      <c r="B106">
        <v>0.33</v>
      </c>
      <c r="C106">
        <v>0.35</v>
      </c>
      <c r="D106">
        <v>2005</v>
      </c>
      <c r="F106">
        <v>2030</v>
      </c>
    </row>
    <row r="107" spans="1:10" x14ac:dyDescent="0.25">
      <c r="A107" t="s">
        <v>224</v>
      </c>
    </row>
    <row r="108" spans="1:10" x14ac:dyDescent="0.25">
      <c r="A108" t="s">
        <v>159</v>
      </c>
      <c r="B108">
        <v>0.4</v>
      </c>
      <c r="C108">
        <f>B108</f>
        <v>0.4</v>
      </c>
      <c r="D108">
        <v>1990</v>
      </c>
      <c r="E108">
        <f>52933.6866846542*12/44/(10^6)</f>
        <v>1.4436460004905692E-2</v>
      </c>
      <c r="I108">
        <f>(1-B108)*E108</f>
        <v>8.6618760029434153E-3</v>
      </c>
      <c r="J108">
        <f>(1-C108)*E108</f>
        <v>8.6618760029434153E-3</v>
      </c>
    </row>
    <row r="109" spans="1:10" x14ac:dyDescent="0.25">
      <c r="A109" t="s">
        <v>114</v>
      </c>
      <c r="B109">
        <f>4/100</f>
        <v>0.04</v>
      </c>
      <c r="C109">
        <f>12/100</f>
        <v>0.12</v>
      </c>
      <c r="D109">
        <v>2030</v>
      </c>
      <c r="E109">
        <f>820.2959375*12/44/1000</f>
        <v>0.22371707386363637</v>
      </c>
      <c r="F109">
        <v>2030</v>
      </c>
      <c r="I109">
        <f>E109*(1-B109)</f>
        <v>0.21476839090909092</v>
      </c>
      <c r="J109">
        <f>E109*(1-C109)</f>
        <v>0.19687102500000001</v>
      </c>
    </row>
    <row r="110" spans="1:10" x14ac:dyDescent="0.25">
      <c r="A110" t="s">
        <v>115</v>
      </c>
      <c r="B110">
        <f>1-I110/E110</f>
        <v>5.4051964935087682E-2</v>
      </c>
      <c r="C110">
        <f>1-J110/E110</f>
        <v>0.16215940832352471</v>
      </c>
      <c r="D110">
        <v>2030</v>
      </c>
      <c r="E110">
        <f>284615*12/44*0.000001</f>
        <v>7.762227272727272E-2</v>
      </c>
      <c r="F110">
        <v>2030</v>
      </c>
      <c r="I110">
        <f>269231*12/44*0.000001</f>
        <v>7.3426636363636361E-2</v>
      </c>
      <c r="J110">
        <f>238462*12/44*0.000001</f>
        <v>6.5035090909090904E-2</v>
      </c>
    </row>
    <row r="111" spans="1:10" x14ac:dyDescent="0.25">
      <c r="A111" t="s">
        <v>160</v>
      </c>
      <c r="B111">
        <v>0.4</v>
      </c>
      <c r="C111">
        <f>B111</f>
        <v>0.4</v>
      </c>
      <c r="D111">
        <v>1990</v>
      </c>
      <c r="E111">
        <f>4713*12/44/1000000</f>
        <v>1.2853636363636364E-3</v>
      </c>
      <c r="I111">
        <f>(1-B111)*E111</f>
        <v>7.7121818181818177E-4</v>
      </c>
      <c r="J111">
        <f>(1-C111)*E111</f>
        <v>7.7121818181818177E-4</v>
      </c>
    </row>
    <row r="112" spans="1:10" x14ac:dyDescent="0.25">
      <c r="A112" t="s">
        <v>116</v>
      </c>
      <c r="F112">
        <v>2030</v>
      </c>
      <c r="G112">
        <f>23.85*12/44/1000</f>
        <v>6.5045454545454556E-3</v>
      </c>
      <c r="H112">
        <f>G112</f>
        <v>6.5045454545454556E-3</v>
      </c>
      <c r="I112">
        <f>81.65*12/44/1000</f>
        <v>2.2268181818181819E-2</v>
      </c>
      <c r="J112">
        <f>I112</f>
        <v>2.2268181818181819E-2</v>
      </c>
    </row>
    <row r="113" spans="1:10" x14ac:dyDescent="0.25">
      <c r="A113" t="s">
        <v>161</v>
      </c>
      <c r="B113">
        <v>0.4</v>
      </c>
      <c r="C113">
        <f>B113</f>
        <v>0.4</v>
      </c>
      <c r="D113">
        <v>1990</v>
      </c>
      <c r="E113">
        <f>515446.319238695*12/44/(10^6)</f>
        <v>0.14057626888328045</v>
      </c>
      <c r="I113">
        <f>(1-B113)*E113</f>
        <v>8.4345761329968266E-2</v>
      </c>
      <c r="J113">
        <f>(1-C113)*E113</f>
        <v>8.4345761329968266E-2</v>
      </c>
    </row>
    <row r="114" spans="1:10" x14ac:dyDescent="0.25">
      <c r="A114" t="s">
        <v>85</v>
      </c>
      <c r="B114">
        <f>7.8/100</f>
        <v>7.8E-2</v>
      </c>
      <c r="C114">
        <f>10/100</f>
        <v>0.1</v>
      </c>
      <c r="D114">
        <v>2030</v>
      </c>
      <c r="E114">
        <f>14492*12/44*0.000001</f>
        <v>3.9523636363636367E-3</v>
      </c>
      <c r="F114">
        <v>2030</v>
      </c>
      <c r="I114">
        <f>(1-B114)*E114</f>
        <v>3.6440792727272732E-3</v>
      </c>
      <c r="J114">
        <f>(1-C114)*E114</f>
        <v>3.5571272727272733E-3</v>
      </c>
    </row>
    <row r="115" spans="1:10" x14ac:dyDescent="0.25">
      <c r="A115" t="s">
        <v>162</v>
      </c>
    </row>
    <row r="116" spans="1:10" x14ac:dyDescent="0.25">
      <c r="A116" t="s">
        <v>117</v>
      </c>
      <c r="B116">
        <v>1.4999999999999999E-2</v>
      </c>
      <c r="C116">
        <v>0.14000000000000001</v>
      </c>
      <c r="D116">
        <v>2030</v>
      </c>
      <c r="E116">
        <f>51028*12/44/(10^6)</f>
        <v>1.3916727272727272E-2</v>
      </c>
      <c r="F116">
        <v>2030</v>
      </c>
      <c r="I116">
        <f>(1-B116)*E116</f>
        <v>1.3707976363636363E-2</v>
      </c>
      <c r="J116">
        <f>(1-C116)*E116</f>
        <v>1.1968385454545453E-2</v>
      </c>
    </row>
    <row r="117" spans="1:10" x14ac:dyDescent="0.25">
      <c r="A117" t="s">
        <v>9</v>
      </c>
      <c r="B117">
        <v>0.254</v>
      </c>
      <c r="C117">
        <f>B117</f>
        <v>0.254</v>
      </c>
      <c r="D117">
        <v>2005</v>
      </c>
      <c r="F117">
        <v>2030</v>
      </c>
      <c r="I117">
        <f>1.042*12/44</f>
        <v>0.2841818181818182</v>
      </c>
      <c r="J117">
        <f>I117</f>
        <v>0.2841818181818182</v>
      </c>
    </row>
    <row r="118" spans="1:10" x14ac:dyDescent="0.25">
      <c r="A118" t="s">
        <v>187</v>
      </c>
      <c r="B118">
        <v>0.15</v>
      </c>
      <c r="C118">
        <v>0.25</v>
      </c>
      <c r="D118">
        <v>1990</v>
      </c>
      <c r="E118">
        <f>293.49*12/44/1000</f>
        <v>8.0042727272727279E-2</v>
      </c>
      <c r="F118">
        <v>2030</v>
      </c>
      <c r="I118">
        <f>(1-B118)*E118</f>
        <v>6.8036318181818184E-2</v>
      </c>
      <c r="J118">
        <f>(1-C118)*E118</f>
        <v>6.0032045454545463E-2</v>
      </c>
    </row>
    <row r="119" spans="1:10" x14ac:dyDescent="0.25">
      <c r="A119" t="s">
        <v>223</v>
      </c>
      <c r="B119">
        <v>0.3</v>
      </c>
      <c r="C119">
        <v>0.3</v>
      </c>
      <c r="D119">
        <v>2030</v>
      </c>
      <c r="E119">
        <f>143*0.001*12/44</f>
        <v>3.9000000000000007E-2</v>
      </c>
      <c r="F119">
        <v>2030</v>
      </c>
      <c r="I119">
        <f>(1-B119)*E119</f>
        <v>2.7300000000000005E-2</v>
      </c>
      <c r="J119">
        <f>(1-C119)*E119</f>
        <v>2.7300000000000005E-2</v>
      </c>
    </row>
    <row r="120" spans="1:10" x14ac:dyDescent="0.25">
      <c r="A120" t="s">
        <v>188</v>
      </c>
      <c r="B120">
        <v>0.1149</v>
      </c>
      <c r="C120">
        <v>0.30890000000000001</v>
      </c>
      <c r="D120">
        <v>2030</v>
      </c>
      <c r="F120">
        <v>2030</v>
      </c>
      <c r="G120">
        <f>2247*0.000001*12/44</f>
        <v>6.1281818181818182E-4</v>
      </c>
      <c r="H120">
        <f>7403*0.000001*12/44</f>
        <v>2.019E-3</v>
      </c>
      <c r="I120">
        <f>G120/B120-G120</f>
        <v>4.7206733918822696E-3</v>
      </c>
      <c r="J120">
        <f>H120/C120-H120</f>
        <v>4.5170958238912266E-3</v>
      </c>
    </row>
    <row r="121" spans="1:10" x14ac:dyDescent="0.25">
      <c r="A121" t="s">
        <v>24</v>
      </c>
      <c r="B121">
        <v>0.27</v>
      </c>
      <c r="C121">
        <f>B121</f>
        <v>0.27</v>
      </c>
      <c r="D121">
        <v>2030</v>
      </c>
      <c r="G121">
        <f>(3100+7897)*12/44/1000000</f>
        <v>2.9991818181818179E-3</v>
      </c>
      <c r="H121">
        <f>(3100+7897)*12/44/1000000</f>
        <v>2.9991818181818179E-3</v>
      </c>
    </row>
    <row r="122" spans="1:10" x14ac:dyDescent="0.25">
      <c r="A122" t="s">
        <v>25</v>
      </c>
      <c r="B122">
        <v>0.128</v>
      </c>
      <c r="C122">
        <v>0.61799999999999999</v>
      </c>
      <c r="D122">
        <v>2030</v>
      </c>
      <c r="E122">
        <f>G122/B122</f>
        <v>2.1498579545454548E-5</v>
      </c>
      <c r="F122">
        <v>2030</v>
      </c>
      <c r="G122">
        <f>10090*12/44/(10^9)</f>
        <v>2.751818181818182E-6</v>
      </c>
      <c r="H122">
        <f>E122*C122</f>
        <v>1.3286122159090911E-5</v>
      </c>
    </row>
    <row r="123" spans="1:10" x14ac:dyDescent="0.25">
      <c r="A123" t="s">
        <v>86</v>
      </c>
      <c r="B123">
        <f>35/100</f>
        <v>0.35</v>
      </c>
      <c r="C123">
        <f>35/100</f>
        <v>0.35</v>
      </c>
      <c r="D123">
        <v>2030</v>
      </c>
      <c r="E123">
        <f>836*0.000001*12/44</f>
        <v>2.2799999999999999E-4</v>
      </c>
      <c r="F123">
        <v>2030</v>
      </c>
      <c r="I123">
        <f>(1-B123)*E123</f>
        <v>1.482E-4</v>
      </c>
      <c r="J123">
        <f>(1-C123)*E123</f>
        <v>1.482E-4</v>
      </c>
    </row>
    <row r="124" spans="1:10" x14ac:dyDescent="0.25">
      <c r="A124" t="s">
        <v>51</v>
      </c>
      <c r="B124">
        <v>0.37</v>
      </c>
      <c r="C124">
        <f>B124</f>
        <v>0.37</v>
      </c>
      <c r="D124">
        <v>1</v>
      </c>
      <c r="E124">
        <f>850.6*12/44/1000</f>
        <v>0.23198181818181821</v>
      </c>
      <c r="F124">
        <v>2030</v>
      </c>
      <c r="I124">
        <f>(1-B124)*E124</f>
        <v>0.14614854545454548</v>
      </c>
      <c r="J124">
        <f>(1-C124)*E124</f>
        <v>0.14614854545454548</v>
      </c>
    </row>
    <row r="125" spans="1:10" x14ac:dyDescent="0.25">
      <c r="A125" t="s">
        <v>118</v>
      </c>
    </row>
    <row r="126" spans="1:10" x14ac:dyDescent="0.25">
      <c r="A126" t="s">
        <v>26</v>
      </c>
      <c r="F126" t="s">
        <v>262</v>
      </c>
    </row>
    <row r="127" spans="1:10" x14ac:dyDescent="0.25">
      <c r="A127" t="s">
        <v>119</v>
      </c>
      <c r="B127">
        <v>0.15</v>
      </c>
      <c r="C127">
        <v>0.30000000000000004</v>
      </c>
      <c r="D127">
        <v>2030</v>
      </c>
      <c r="E127">
        <f>43721*12/44/(10^6)</f>
        <v>1.1923909090909091E-2</v>
      </c>
      <c r="F127">
        <v>2030</v>
      </c>
      <c r="I127">
        <f>(1-B127)*E127</f>
        <v>1.0135322727272727E-2</v>
      </c>
      <c r="J127">
        <f>(1-C127)*E127</f>
        <v>8.3467363636363628E-3</v>
      </c>
    </row>
    <row r="128" spans="1:10" x14ac:dyDescent="0.25">
      <c r="A128" t="s">
        <v>226</v>
      </c>
      <c r="B128">
        <v>0.1</v>
      </c>
      <c r="C128">
        <v>0.1</v>
      </c>
      <c r="D128">
        <v>2030</v>
      </c>
      <c r="E128">
        <f>5302000*0.000000001*12/44</f>
        <v>1.446E-3</v>
      </c>
      <c r="F128">
        <v>2030</v>
      </c>
      <c r="I128">
        <f>(1-B128)*E128</f>
        <v>1.3014000000000001E-3</v>
      </c>
      <c r="J128">
        <f>(1-C128)*E128</f>
        <v>1.3014000000000001E-3</v>
      </c>
    </row>
    <row r="129" spans="1:10" x14ac:dyDescent="0.25">
      <c r="A129" t="s">
        <v>120</v>
      </c>
    </row>
    <row r="130" spans="1:10" x14ac:dyDescent="0.25">
      <c r="A130" t="s">
        <v>87</v>
      </c>
      <c r="B130">
        <f>0.23+0.04</f>
        <v>0.27</v>
      </c>
      <c r="C130">
        <f>0.23+0.04</f>
        <v>0.27</v>
      </c>
      <c r="D130">
        <v>2030</v>
      </c>
      <c r="E130">
        <f>816*0.000001*12/44</f>
        <v>2.2254545454545454E-4</v>
      </c>
      <c r="F130">
        <v>2030</v>
      </c>
      <c r="I130">
        <f>(1-B130)*E130</f>
        <v>1.624581818181818E-4</v>
      </c>
      <c r="J130">
        <f>(1-C130)*E130</f>
        <v>1.624581818181818E-4</v>
      </c>
    </row>
    <row r="131" spans="1:10" x14ac:dyDescent="0.25">
      <c r="A131" t="s">
        <v>163</v>
      </c>
      <c r="B131">
        <v>0.4</v>
      </c>
      <c r="C131">
        <f>B131</f>
        <v>0.4</v>
      </c>
      <c r="D131">
        <v>1990</v>
      </c>
      <c r="E131">
        <f>228.7*12/44/(10^6)</f>
        <v>6.2372727272727262E-5</v>
      </c>
      <c r="F131">
        <v>2030</v>
      </c>
      <c r="I131">
        <f>(1-B131)*E131</f>
        <v>3.7423636363636357E-5</v>
      </c>
      <c r="J131">
        <f>(1-C131)*E131</f>
        <v>3.7423636363636357E-5</v>
      </c>
    </row>
    <row r="132" spans="1:10" x14ac:dyDescent="0.25">
      <c r="A132" t="s">
        <v>178</v>
      </c>
      <c r="B132">
        <v>7.0000000000000007E-2</v>
      </c>
      <c r="C132">
        <v>0.23</v>
      </c>
      <c r="D132">
        <v>2030</v>
      </c>
      <c r="F132">
        <v>2030</v>
      </c>
    </row>
    <row r="133" spans="1:10" x14ac:dyDescent="0.25">
      <c r="A133" t="s">
        <v>225</v>
      </c>
      <c r="B133">
        <v>0.1</v>
      </c>
      <c r="C133">
        <v>0.35</v>
      </c>
      <c r="E133" t="s">
        <v>261</v>
      </c>
      <c r="F133">
        <v>2030</v>
      </c>
      <c r="G133">
        <f>(12+24)*0.000001*12/44</f>
        <v>9.8181818181818175E-6</v>
      </c>
      <c r="H133">
        <f>(12+24)*0.000001*12/44</f>
        <v>9.8181818181818175E-6</v>
      </c>
    </row>
    <row r="134" spans="1:10" x14ac:dyDescent="0.25">
      <c r="A134" t="s">
        <v>134</v>
      </c>
      <c r="B134">
        <v>0.4</v>
      </c>
      <c r="C134">
        <f>B134</f>
        <v>0.4</v>
      </c>
      <c r="D134">
        <v>1990</v>
      </c>
      <c r="E134">
        <f>44427.7737458232*12/44/(10^6)</f>
        <v>1.2116665567042691E-2</v>
      </c>
      <c r="F134">
        <v>2030</v>
      </c>
      <c r="I134">
        <f>(1-B134)*E134</f>
        <v>7.2699993402256143E-3</v>
      </c>
      <c r="J134">
        <f>(1-C134)*E134</f>
        <v>7.2699993402256143E-3</v>
      </c>
    </row>
    <row r="135" spans="1:10" x14ac:dyDescent="0.25">
      <c r="A135" t="s">
        <v>164</v>
      </c>
      <c r="B135">
        <v>0.4</v>
      </c>
      <c r="C135">
        <f>B135</f>
        <v>0.4</v>
      </c>
      <c r="D135">
        <v>1990</v>
      </c>
      <c r="E135">
        <f>13234.1158841522*12/44/(10^6)</f>
        <v>3.6093043320415091E-3</v>
      </c>
      <c r="I135">
        <f>(1-B135)*E135</f>
        <v>2.1655825992249055E-3</v>
      </c>
      <c r="J135">
        <f>(1-C135)*E135</f>
        <v>2.1655825992249055E-3</v>
      </c>
    </row>
    <row r="136" spans="1:10" x14ac:dyDescent="0.25">
      <c r="A136" t="s">
        <v>135</v>
      </c>
      <c r="B136">
        <v>0.4</v>
      </c>
      <c r="C136">
        <f>B136</f>
        <v>0.4</v>
      </c>
      <c r="D136">
        <v>1990</v>
      </c>
      <c r="E136">
        <f>6346.37087084949*12/44/(10^6)</f>
        <v>1.7308284193225882E-3</v>
      </c>
      <c r="F136">
        <v>2030</v>
      </c>
      <c r="I136">
        <f>(1-B136)*E136</f>
        <v>1.0384970515935528E-3</v>
      </c>
      <c r="J136">
        <f>(1-C136)*E136</f>
        <v>1.0384970515935528E-3</v>
      </c>
    </row>
    <row r="137" spans="1:10" x14ac:dyDescent="0.25">
      <c r="A137" t="s">
        <v>257</v>
      </c>
    </row>
    <row r="138" spans="1:10" x14ac:dyDescent="0.25">
      <c r="A138" t="s">
        <v>88</v>
      </c>
    </row>
    <row r="139" spans="1:10" x14ac:dyDescent="0.25">
      <c r="A139" t="s">
        <v>121</v>
      </c>
      <c r="B139">
        <v>0.13</v>
      </c>
      <c r="C139">
        <v>0.32</v>
      </c>
      <c r="D139">
        <v>2030</v>
      </c>
      <c r="E139">
        <f>171*12/44/1000</f>
        <v>4.6636363636363636E-2</v>
      </c>
      <c r="F139">
        <v>2030</v>
      </c>
      <c r="I139">
        <f>(1-B139)*E139</f>
        <v>4.057363636363636E-2</v>
      </c>
      <c r="J139">
        <f>(1-C139)*E139</f>
        <v>3.1712727272727267E-2</v>
      </c>
    </row>
    <row r="140" spans="1:10" x14ac:dyDescent="0.25">
      <c r="A140" t="s">
        <v>165</v>
      </c>
      <c r="B140">
        <v>0.5</v>
      </c>
      <c r="C140">
        <f>B140</f>
        <v>0.5</v>
      </c>
      <c r="D140">
        <v>1990</v>
      </c>
      <c r="E140">
        <f>110*12/44/(10^6)</f>
        <v>3.0000000000000001E-5</v>
      </c>
      <c r="F140">
        <v>2030</v>
      </c>
      <c r="I140">
        <f>(1-B140)*E140</f>
        <v>1.5E-5</v>
      </c>
      <c r="J140">
        <f>(1-C140)*E140</f>
        <v>1.5E-5</v>
      </c>
    </row>
    <row r="141" spans="1:10" x14ac:dyDescent="0.25">
      <c r="A141" t="s">
        <v>189</v>
      </c>
      <c r="B141">
        <v>0.64</v>
      </c>
      <c r="C141">
        <v>0.78</v>
      </c>
      <c r="D141">
        <v>1990</v>
      </c>
      <c r="E141">
        <f>37.53*0.001*12/44</f>
        <v>1.0235454545454546E-2</v>
      </c>
      <c r="F141">
        <v>2030</v>
      </c>
      <c r="I141">
        <f>(1-B141)*E141</f>
        <v>3.6847636363636365E-3</v>
      </c>
      <c r="J141">
        <f>(1-C141)*E141</f>
        <v>2.2518E-3</v>
      </c>
    </row>
    <row r="142" spans="1:10" x14ac:dyDescent="0.25">
      <c r="A142" t="s">
        <v>227</v>
      </c>
      <c r="B142">
        <v>0.14000000000000001</v>
      </c>
      <c r="C142">
        <v>0.14000000000000001</v>
      </c>
      <c r="D142">
        <v>2030</v>
      </c>
      <c r="E142">
        <f>214.206*0.001*12/44</f>
        <v>5.8419818181818177E-2</v>
      </c>
      <c r="F142">
        <v>2030</v>
      </c>
      <c r="I142">
        <f>(1-B142)*E142</f>
        <v>5.0241043636363635E-2</v>
      </c>
      <c r="J142">
        <f>(1-C142)*E142</f>
        <v>5.0241043636363635E-2</v>
      </c>
    </row>
    <row r="143" spans="1:10" x14ac:dyDescent="0.25">
      <c r="A143" t="s">
        <v>176</v>
      </c>
      <c r="B143">
        <v>0.1</v>
      </c>
      <c r="C143">
        <v>0.24</v>
      </c>
      <c r="D143">
        <v>2030</v>
      </c>
      <c r="E143">
        <f>3.3*12/44/1000</f>
        <v>8.9999999999999987E-4</v>
      </c>
      <c r="F143">
        <v>2030</v>
      </c>
      <c r="I143">
        <f>(1-B143)*E143</f>
        <v>8.0999999999999985E-4</v>
      </c>
      <c r="J143">
        <f>(1-C143)*E143</f>
        <v>6.8399999999999993E-4</v>
      </c>
    </row>
    <row r="144" spans="1:10" x14ac:dyDescent="0.25">
      <c r="A144" t="s">
        <v>89</v>
      </c>
      <c r="B144">
        <v>0.22</v>
      </c>
      <c r="C144">
        <v>0.36</v>
      </c>
      <c r="D144">
        <v>2030</v>
      </c>
      <c r="E144">
        <f>973*12/44/1000</f>
        <v>0.26536363636363636</v>
      </c>
      <c r="F144">
        <v>2030</v>
      </c>
      <c r="I144">
        <f>(1-B144)*E144</f>
        <v>0.20698363636363637</v>
      </c>
      <c r="J144">
        <f>(1-C144)*E144</f>
        <v>0.16983272727272727</v>
      </c>
    </row>
    <row r="145" spans="1:12" x14ac:dyDescent="0.25">
      <c r="A145" t="s">
        <v>27</v>
      </c>
      <c r="B145">
        <v>0.45</v>
      </c>
      <c r="C145">
        <f>B145</f>
        <v>0.45</v>
      </c>
      <c r="D145">
        <v>2010</v>
      </c>
      <c r="E145">
        <f>185*12/44/(10^6)</f>
        <v>5.0454545454545451E-5</v>
      </c>
      <c r="F145">
        <v>2030</v>
      </c>
      <c r="I145">
        <f>(1-B145)*E145</f>
        <v>2.775E-5</v>
      </c>
      <c r="J145">
        <f>(1-C145)*E145</f>
        <v>2.775E-5</v>
      </c>
    </row>
    <row r="146" spans="1:12" x14ac:dyDescent="0.25">
      <c r="A146" t="s">
        <v>190</v>
      </c>
      <c r="B146">
        <v>0.30000000000000004</v>
      </c>
      <c r="C146">
        <v>0.36</v>
      </c>
      <c r="D146">
        <v>2030</v>
      </c>
      <c r="E146">
        <f>17663*12/44/(10^6)</f>
        <v>4.8171818181818177E-3</v>
      </c>
      <c r="F146">
        <v>2030</v>
      </c>
      <c r="I146">
        <f>(1-B146)*E146</f>
        <v>3.3720272727272723E-3</v>
      </c>
      <c r="J146">
        <f>(1-C146)*E146</f>
        <v>3.0829963636363634E-3</v>
      </c>
    </row>
    <row r="147" spans="1:12" x14ac:dyDescent="0.25">
      <c r="A147" t="s">
        <v>229</v>
      </c>
      <c r="F147">
        <v>2030</v>
      </c>
      <c r="I147">
        <f>(6336)*0.000001*12/44</f>
        <v>1.7279999999999997E-3</v>
      </c>
      <c r="J147">
        <f>(6336)*0.000001*12/44</f>
        <v>1.7279999999999997E-3</v>
      </c>
      <c r="K147">
        <f>I147*44*1000/12</f>
        <v>6.3359999999999985</v>
      </c>
      <c r="L147">
        <f>J147*44*1000/12</f>
        <v>6.3359999999999985</v>
      </c>
    </row>
    <row r="148" spans="1:12" x14ac:dyDescent="0.25">
      <c r="A148" t="s">
        <v>141</v>
      </c>
    </row>
    <row r="149" spans="1:12" x14ac:dyDescent="0.25">
      <c r="A149" t="s">
        <v>28</v>
      </c>
      <c r="F149">
        <v>2030</v>
      </c>
    </row>
    <row r="150" spans="1:12" x14ac:dyDescent="0.25">
      <c r="A150" t="s">
        <v>191</v>
      </c>
      <c r="B150">
        <v>0.30000000000000004</v>
      </c>
      <c r="C150">
        <f>B150</f>
        <v>0.30000000000000004</v>
      </c>
      <c r="D150">
        <v>1990</v>
      </c>
      <c r="E150">
        <f>5239*12/44/(10^6)</f>
        <v>1.4288181818181817E-3</v>
      </c>
      <c r="I150">
        <f>(1-B150)*E150</f>
        <v>1.0001727272727272E-3</v>
      </c>
      <c r="J150">
        <f>(1-C150)*E150</f>
        <v>1.0001727272727272E-3</v>
      </c>
    </row>
    <row r="151" spans="1:12" x14ac:dyDescent="0.25">
      <c r="A151" t="s">
        <v>29</v>
      </c>
      <c r="B151">
        <v>0.14000000000000001</v>
      </c>
      <c r="C151">
        <v>0.14000000000000001</v>
      </c>
      <c r="D151">
        <v>2030</v>
      </c>
      <c r="E151">
        <f>51.2*12/44/1000</f>
        <v>1.3963636363636367E-2</v>
      </c>
      <c r="F151">
        <v>2030</v>
      </c>
      <c r="I151">
        <f>((1-B151)*E151)+(L151*12/44/1000)</f>
        <v>1.2008727272727275E-2</v>
      </c>
      <c r="J151">
        <f>((1-C151)*E151)+(L151*12/44/1000)</f>
        <v>1.2008727272727275E-2</v>
      </c>
    </row>
    <row r="152" spans="1:12" x14ac:dyDescent="0.25">
      <c r="A152" t="s">
        <v>30</v>
      </c>
    </row>
    <row r="153" spans="1:12" x14ac:dyDescent="0.25">
      <c r="A153" t="s">
        <v>233</v>
      </c>
      <c r="E153" t="s">
        <v>261</v>
      </c>
      <c r="F153">
        <v>2030</v>
      </c>
      <c r="K153">
        <f>G153*44*1000/12</f>
        <v>0</v>
      </c>
      <c r="L153">
        <f>H153*44*1000/12</f>
        <v>0</v>
      </c>
    </row>
    <row r="154" spans="1:12" x14ac:dyDescent="0.25">
      <c r="A154" t="s">
        <v>230</v>
      </c>
      <c r="B154">
        <f>0.12*0.223</f>
        <v>2.6759999999999999E-2</v>
      </c>
      <c r="C154">
        <f>0.223</f>
        <v>0.223</v>
      </c>
      <c r="D154">
        <v>2030</v>
      </c>
      <c r="E154">
        <f>18.84*0.001*12/44</f>
        <v>5.1381818181818186E-3</v>
      </c>
      <c r="F154">
        <v>2030</v>
      </c>
      <c r="I154">
        <f>(1-B154)*E154</f>
        <v>5.000684072727273E-3</v>
      </c>
      <c r="J154">
        <f>(1-C154)*E154</f>
        <v>3.9923672727272732E-3</v>
      </c>
      <c r="K154">
        <f>I154*44*1000/12</f>
        <v>18.335841600000002</v>
      </c>
      <c r="L154">
        <f>J154*44*1000/12</f>
        <v>14.638680000000001</v>
      </c>
    </row>
    <row r="155" spans="1:12" x14ac:dyDescent="0.25">
      <c r="A155" t="s">
        <v>90</v>
      </c>
    </row>
    <row r="156" spans="1:12" x14ac:dyDescent="0.25">
      <c r="A156" t="s">
        <v>91</v>
      </c>
    </row>
    <row r="157" spans="1:12" x14ac:dyDescent="0.25">
      <c r="A157" t="s">
        <v>231</v>
      </c>
      <c r="C157">
        <v>0.3</v>
      </c>
      <c r="D157">
        <v>2030</v>
      </c>
      <c r="E157">
        <f>7*0.001*12/44</f>
        <v>1.9090909090909091E-3</v>
      </c>
      <c r="F157">
        <v>2030</v>
      </c>
      <c r="I157">
        <f>(1-B157)*E157</f>
        <v>1.9090909090909091E-3</v>
      </c>
      <c r="J157">
        <f>(1-C157)*E157</f>
        <v>1.3363636363636364E-3</v>
      </c>
      <c r="K157">
        <f>I157*44*1000/12</f>
        <v>7</v>
      </c>
      <c r="L157">
        <f>J157*44*1000/12</f>
        <v>4.9000000000000004</v>
      </c>
    </row>
    <row r="158" spans="1:12" x14ac:dyDescent="0.25">
      <c r="A158" t="s">
        <v>228</v>
      </c>
      <c r="D158">
        <v>2030</v>
      </c>
      <c r="E158">
        <f>(15*(42000-29000)/25 +29000)*0.000001*12/44</f>
        <v>1.0036363636363637E-2</v>
      </c>
      <c r="F158">
        <v>2040</v>
      </c>
      <c r="I158">
        <f>E158-(14000*0.000001*12/44)</f>
        <v>6.2181818181818189E-3</v>
      </c>
      <c r="J158">
        <f>E158-(16000*0.000001*12/44)</f>
        <v>5.6727272727272729E-3</v>
      </c>
    </row>
    <row r="159" spans="1:12" x14ac:dyDescent="0.25">
      <c r="A159" t="s">
        <v>31</v>
      </c>
      <c r="B159">
        <v>0.35</v>
      </c>
      <c r="C159">
        <v>0.45</v>
      </c>
      <c r="D159">
        <v>2005</v>
      </c>
      <c r="F159">
        <v>2030</v>
      </c>
      <c r="I159">
        <f>(((288.663/1000)*(12/44))/543.578)*(1-0.3)*2.6*1000</f>
        <v>0.26359016804145191</v>
      </c>
      <c r="J159">
        <f>(((288.663/1000)*(12/44))/543.578)*(1-0.45)*2.6*1000</f>
        <v>0.20710656060399796</v>
      </c>
    </row>
    <row r="160" spans="1:12" x14ac:dyDescent="0.25">
      <c r="A160" t="s">
        <v>232</v>
      </c>
      <c r="K160">
        <f>I160*44*1000/12</f>
        <v>0</v>
      </c>
      <c r="L160">
        <f>J160*44*1000/12</f>
        <v>0</v>
      </c>
    </row>
    <row r="161" spans="1:12" x14ac:dyDescent="0.25">
      <c r="A161" t="s">
        <v>234</v>
      </c>
      <c r="B161">
        <v>0.88600000000000001</v>
      </c>
      <c r="C161">
        <v>0.88600000000000001</v>
      </c>
      <c r="D161">
        <v>2030</v>
      </c>
      <c r="E161">
        <f>22647*0.000001*12/44</f>
        <v>6.1764545454545457E-3</v>
      </c>
      <c r="F161">
        <v>2030</v>
      </c>
      <c r="I161">
        <f>(1-B161)*E161</f>
        <v>7.0411581818181814E-4</v>
      </c>
      <c r="J161">
        <f>(1-C161)*E161</f>
        <v>7.0411581818181814E-4</v>
      </c>
      <c r="K161">
        <f>I161*44*1000/12</f>
        <v>2.5817580000000002</v>
      </c>
      <c r="L161">
        <f>J161*44*1000/12</f>
        <v>2.5817580000000002</v>
      </c>
    </row>
    <row r="162" spans="1:12" x14ac:dyDescent="0.25">
      <c r="A162" t="s">
        <v>32</v>
      </c>
    </row>
    <row r="163" spans="1:12" x14ac:dyDescent="0.25">
      <c r="A163" t="s">
        <v>235</v>
      </c>
      <c r="B163">
        <f>3.5/100</f>
        <v>3.5000000000000003E-2</v>
      </c>
      <c r="C163">
        <f>34.6/100</f>
        <v>0.34600000000000003</v>
      </c>
      <c r="D163">
        <v>2030</v>
      </c>
      <c r="E163">
        <f>96468*0.000001*12/44</f>
        <v>2.6309454545454546E-2</v>
      </c>
      <c r="F163">
        <v>2030</v>
      </c>
      <c r="I163">
        <f>(1-B163)*E163</f>
        <v>2.5388623636363634E-2</v>
      </c>
      <c r="J163">
        <f>(1-C163)*E163</f>
        <v>1.720638327272727E-2</v>
      </c>
      <c r="K163">
        <f>I163*44*1000/12</f>
        <v>93.091619999999978</v>
      </c>
      <c r="L163">
        <f>J163*44*1000/12</f>
        <v>63.090071999999992</v>
      </c>
    </row>
    <row r="164" spans="1:12" x14ac:dyDescent="0.25">
      <c r="A164" t="s">
        <v>49</v>
      </c>
    </row>
    <row r="165" spans="1:12" x14ac:dyDescent="0.25">
      <c r="A165" t="s">
        <v>236</v>
      </c>
      <c r="B165">
        <v>0.2</v>
      </c>
      <c r="C165">
        <v>0.45</v>
      </c>
      <c r="D165">
        <v>2030</v>
      </c>
      <c r="E165">
        <f>900*0.001*12/44</f>
        <v>0.24545454545454548</v>
      </c>
      <c r="F165">
        <v>2030</v>
      </c>
      <c r="I165">
        <f>(1-B165)*E165</f>
        <v>0.19636363636363641</v>
      </c>
      <c r="J165">
        <f>(1-C165)*E165</f>
        <v>0.13500000000000004</v>
      </c>
      <c r="K165">
        <f>I165*44*1000/12</f>
        <v>720.00000000000011</v>
      </c>
      <c r="L165">
        <f>J165*44*1000/12</f>
        <v>495.00000000000006</v>
      </c>
    </row>
    <row r="166" spans="1:12" x14ac:dyDescent="0.25">
      <c r="A166" t="s">
        <v>92</v>
      </c>
    </row>
    <row r="167" spans="1:12" x14ac:dyDescent="0.25">
      <c r="A167" t="s">
        <v>10</v>
      </c>
      <c r="F167">
        <v>2020</v>
      </c>
      <c r="G167">
        <f>1.2*0.000001*12/44</f>
        <v>3.2727272727272728E-7</v>
      </c>
      <c r="H167">
        <f>3.1*0.000001*12/44</f>
        <v>8.4545454545454537E-7</v>
      </c>
    </row>
    <row r="168" spans="1:12" x14ac:dyDescent="0.25">
      <c r="A168" t="s">
        <v>166</v>
      </c>
      <c r="B168">
        <v>0.4</v>
      </c>
      <c r="C168">
        <f>B168</f>
        <v>0.4</v>
      </c>
      <c r="D168">
        <v>1990</v>
      </c>
      <c r="E168">
        <f>214862.600925736*12/44/(10^6)</f>
        <v>5.8598891161564366E-2</v>
      </c>
      <c r="I168">
        <f>(1-B168)*E168</f>
        <v>3.5159334696938618E-2</v>
      </c>
      <c r="J168">
        <f>(1-C168)*E168</f>
        <v>3.5159334696938618E-2</v>
      </c>
    </row>
    <row r="169" spans="1:12" x14ac:dyDescent="0.25">
      <c r="A169" t="s">
        <v>167</v>
      </c>
      <c r="B169">
        <v>0.4</v>
      </c>
      <c r="C169">
        <f>B169</f>
        <v>0.4</v>
      </c>
      <c r="D169">
        <v>1990</v>
      </c>
      <c r="E169">
        <f>52*12/44/1000</f>
        <v>1.4181818181818181E-2</v>
      </c>
      <c r="F169">
        <v>2030</v>
      </c>
      <c r="I169">
        <f>(1-B169)*E169-(21.2*12/1000/44)</f>
        <v>2.7272727272727284E-3</v>
      </c>
      <c r="J169">
        <f>(1-C169)*E169-(21.2*12/1000/44)</f>
        <v>2.7272727272727284E-3</v>
      </c>
    </row>
    <row r="170" spans="1:12" x14ac:dyDescent="0.25">
      <c r="A170" t="s">
        <v>179</v>
      </c>
    </row>
    <row r="171" spans="1:12" x14ac:dyDescent="0.25">
      <c r="A171" t="s">
        <v>50</v>
      </c>
      <c r="D171">
        <v>2030</v>
      </c>
      <c r="E171">
        <f>80*0.000001*12/44</f>
        <v>2.1818181818181818E-5</v>
      </c>
    </row>
    <row r="172" spans="1:12" x14ac:dyDescent="0.25">
      <c r="A172" t="s">
        <v>11</v>
      </c>
      <c r="B172">
        <v>0.3</v>
      </c>
      <c r="C172">
        <f>B172</f>
        <v>0.3</v>
      </c>
      <c r="D172">
        <v>2005</v>
      </c>
      <c r="E172">
        <f>48239.9215772009*12/44/(10^6)</f>
        <v>1.3156342248327518E-2</v>
      </c>
      <c r="F172">
        <v>2030</v>
      </c>
      <c r="I172">
        <f>(1-B172)*E172</f>
        <v>9.2094395738292617E-3</v>
      </c>
      <c r="J172">
        <f>(1-C172)*E172</f>
        <v>9.2094395738292617E-3</v>
      </c>
    </row>
    <row r="173" spans="1:12" x14ac:dyDescent="0.25">
      <c r="A173" t="s">
        <v>122</v>
      </c>
      <c r="B173">
        <v>0.02</v>
      </c>
      <c r="C173">
        <v>0.02</v>
      </c>
      <c r="D173">
        <v>2030</v>
      </c>
      <c r="E173">
        <f>90524*0.000001*12/44</f>
        <v>2.4688363636363633E-2</v>
      </c>
      <c r="F173">
        <v>2030</v>
      </c>
      <c r="I173">
        <f>(1-B173)*E173</f>
        <v>2.4194596363636359E-2</v>
      </c>
      <c r="J173">
        <f>(1-C173)*E173</f>
        <v>2.4194596363636359E-2</v>
      </c>
    </row>
    <row r="174" spans="1:12" x14ac:dyDescent="0.25">
      <c r="A174" t="s">
        <v>180</v>
      </c>
    </row>
    <row r="175" spans="1:12" x14ac:dyDescent="0.25">
      <c r="A175" t="s">
        <v>93</v>
      </c>
    </row>
    <row r="176" spans="1:12" x14ac:dyDescent="0.25">
      <c r="A176" t="s">
        <v>12</v>
      </c>
    </row>
    <row r="177" spans="1:12" x14ac:dyDescent="0.25">
      <c r="A177" t="s">
        <v>94</v>
      </c>
      <c r="B177">
        <v>0.2</v>
      </c>
      <c r="C177">
        <v>0.30000000000000004</v>
      </c>
      <c r="D177">
        <v>2030</v>
      </c>
      <c r="E177">
        <f>298.3*12/44/1000</f>
        <v>8.1354545454545457E-2</v>
      </c>
      <c r="F177">
        <v>2030</v>
      </c>
      <c r="I177">
        <f>(1-B177)*E177</f>
        <v>6.5083636363636371E-2</v>
      </c>
      <c r="J177">
        <f>(1-C177)*E177</f>
        <v>5.6948181818181814E-2</v>
      </c>
    </row>
    <row r="178" spans="1:12" x14ac:dyDescent="0.25">
      <c r="A178" t="s">
        <v>33</v>
      </c>
      <c r="B178">
        <v>0.7</v>
      </c>
      <c r="C178">
        <f>B178</f>
        <v>0.7</v>
      </c>
      <c r="D178">
        <v>2030</v>
      </c>
      <c r="E178">
        <f>87.1*12/44/1000</f>
        <v>2.3754545454545452E-2</v>
      </c>
      <c r="I178">
        <f>E178*(1-B178)</f>
        <v>7.1263636363636364E-3</v>
      </c>
      <c r="J178">
        <f>E178*(1-C178)</f>
        <v>7.1263636363636364E-3</v>
      </c>
    </row>
    <row r="179" spans="1:12" x14ac:dyDescent="0.25">
      <c r="A179" t="s">
        <v>34</v>
      </c>
      <c r="B179">
        <v>0.22</v>
      </c>
      <c r="C179">
        <v>0.22</v>
      </c>
      <c r="D179">
        <v>2005</v>
      </c>
      <c r="E179">
        <f>88000*0.000000001*12/44</f>
        <v>2.4000000000000001E-5</v>
      </c>
      <c r="F179">
        <v>2025</v>
      </c>
      <c r="I179">
        <f>(1-B179)*E179</f>
        <v>1.872E-5</v>
      </c>
      <c r="J179">
        <f>(1-C179)*E179</f>
        <v>1.872E-5</v>
      </c>
    </row>
    <row r="180" spans="1:12" x14ac:dyDescent="0.25">
      <c r="A180" t="s">
        <v>35</v>
      </c>
      <c r="F180">
        <v>2030</v>
      </c>
    </row>
    <row r="181" spans="1:12" x14ac:dyDescent="0.25">
      <c r="A181" t="s">
        <v>136</v>
      </c>
      <c r="B181">
        <v>0.4</v>
      </c>
      <c r="C181">
        <f>B181</f>
        <v>0.4</v>
      </c>
      <c r="D181">
        <v>1990</v>
      </c>
      <c r="E181">
        <f>440865.483333249*12/44/(10^6)</f>
        <v>0.12023604090906791</v>
      </c>
      <c r="F181">
        <v>2030</v>
      </c>
      <c r="I181">
        <f>(1-B181)*E181</f>
        <v>7.2141624545440736E-2</v>
      </c>
      <c r="J181">
        <f>(1-C181)*E181</f>
        <v>7.2141624545440736E-2</v>
      </c>
    </row>
    <row r="182" spans="1:12" x14ac:dyDescent="0.25">
      <c r="A182" t="s">
        <v>95</v>
      </c>
    </row>
    <row r="183" spans="1:12" x14ac:dyDescent="0.25">
      <c r="A183" t="s">
        <v>36</v>
      </c>
    </row>
    <row r="184" spans="1:12" x14ac:dyDescent="0.25">
      <c r="A184" t="s">
        <v>168</v>
      </c>
      <c r="B184">
        <v>0.4</v>
      </c>
      <c r="C184">
        <f>B184</f>
        <v>0.4</v>
      </c>
      <c r="D184">
        <v>1990</v>
      </c>
      <c r="E184">
        <f>60920.3886411082*12/44/(10^6)</f>
        <v>1.6614651447574961E-2</v>
      </c>
      <c r="I184">
        <f>(1-B184)*E184</f>
        <v>9.9687908685449755E-3</v>
      </c>
      <c r="J184">
        <f>(1-C184)*E184</f>
        <v>9.9687908685449755E-3</v>
      </c>
    </row>
    <row r="185" spans="1:12" x14ac:dyDescent="0.25">
      <c r="A185" t="s">
        <v>96</v>
      </c>
      <c r="B185">
        <v>0.1</v>
      </c>
      <c r="C185">
        <v>0.2</v>
      </c>
      <c r="D185">
        <v>2030</v>
      </c>
      <c r="E185">
        <f>416*12/44/1000</f>
        <v>0.11345454545454545</v>
      </c>
      <c r="F185">
        <v>2030</v>
      </c>
      <c r="I185">
        <f>(1-B185)*E185</f>
        <v>0.1021090909090909</v>
      </c>
      <c r="J185">
        <f>(1-C185)*E185</f>
        <v>9.0763636363636366E-2</v>
      </c>
    </row>
    <row r="186" spans="1:12" x14ac:dyDescent="0.25">
      <c r="A186" t="s">
        <v>123</v>
      </c>
    </row>
    <row r="187" spans="1:12" x14ac:dyDescent="0.25">
      <c r="A187" t="s">
        <v>37</v>
      </c>
    </row>
    <row r="188" spans="1:12" x14ac:dyDescent="0.25">
      <c r="A188" t="s">
        <v>124</v>
      </c>
    </row>
    <row r="189" spans="1:12" x14ac:dyDescent="0.25">
      <c r="A189" t="s">
        <v>237</v>
      </c>
      <c r="K189">
        <f>I189*44*1000/12</f>
        <v>0</v>
      </c>
      <c r="L189">
        <f>J189*44*1000/12</f>
        <v>0</v>
      </c>
    </row>
    <row r="190" spans="1:12" x14ac:dyDescent="0.25">
      <c r="A190" t="s">
        <v>137</v>
      </c>
      <c r="B190">
        <v>0.4</v>
      </c>
      <c r="C190">
        <f>B190</f>
        <v>0.4</v>
      </c>
      <c r="D190">
        <v>1990</v>
      </c>
      <c r="E190">
        <f>223431.198390702*12/44/(10^6)</f>
        <v>6.0935781379282357E-2</v>
      </c>
      <c r="F190">
        <v>2030</v>
      </c>
      <c r="I190">
        <f>(1-B190)*E190</f>
        <v>3.6561468827569416E-2</v>
      </c>
      <c r="J190">
        <f>(1-C190)*E190</f>
        <v>3.6561468827569416E-2</v>
      </c>
    </row>
    <row r="191" spans="1:12" x14ac:dyDescent="0.25">
      <c r="A191" t="s">
        <v>192</v>
      </c>
      <c r="B191">
        <v>0.25</v>
      </c>
      <c r="C191">
        <v>0.3</v>
      </c>
      <c r="D191">
        <v>1990</v>
      </c>
      <c r="E191">
        <f>3532352.49709504*12/44/(10^6)</f>
        <v>0.96336886284410173</v>
      </c>
      <c r="F191">
        <v>2030</v>
      </c>
      <c r="I191">
        <f>(1-B191)*E191</f>
        <v>0.72252664713307624</v>
      </c>
      <c r="J191">
        <f>(1-C191)*E191</f>
        <v>0.67435820399087121</v>
      </c>
    </row>
    <row r="192" spans="1:12" x14ac:dyDescent="0.25">
      <c r="A192" t="s">
        <v>238</v>
      </c>
      <c r="F192">
        <v>2030</v>
      </c>
      <c r="K192">
        <f>G192*44*1000/12</f>
        <v>0</v>
      </c>
      <c r="L192">
        <f>H192*44*1000/12</f>
        <v>0</v>
      </c>
    </row>
    <row r="193" spans="1:12" x14ac:dyDescent="0.25">
      <c r="A193" t="s">
        <v>125</v>
      </c>
      <c r="F193">
        <v>2030</v>
      </c>
      <c r="G193">
        <f>130*0.001*12/44</f>
        <v>3.5454545454545454E-2</v>
      </c>
      <c r="H193">
        <f>130*0.001*12/44</f>
        <v>3.5454545454545454E-2</v>
      </c>
    </row>
    <row r="194" spans="1:12" x14ac:dyDescent="0.25">
      <c r="A194" t="s">
        <v>246</v>
      </c>
      <c r="K194">
        <f>I194*44*1000/12</f>
        <v>0</v>
      </c>
      <c r="L194">
        <f>J194*44*1000/12</f>
        <v>0</v>
      </c>
    </row>
    <row r="195" spans="1:12" x14ac:dyDescent="0.25">
      <c r="A195" t="s">
        <v>240</v>
      </c>
      <c r="B195">
        <f>5/100</f>
        <v>0.05</v>
      </c>
      <c r="C195">
        <f>21/100</f>
        <v>0.21</v>
      </c>
      <c r="D195">
        <v>2030</v>
      </c>
      <c r="E195">
        <f>37500*0.000001*12/44</f>
        <v>1.0227272727272725E-2</v>
      </c>
      <c r="F195">
        <v>2030</v>
      </c>
      <c r="I195">
        <f>(1-B195)*E195</f>
        <v>9.7159090909090893E-3</v>
      </c>
      <c r="J195">
        <f>(1-C195)*E195</f>
        <v>8.0795454545454538E-3</v>
      </c>
      <c r="K195">
        <f>I195*44*1000/12</f>
        <v>35.624999999999993</v>
      </c>
      <c r="L195">
        <f>J195*44*1000/12</f>
        <v>29.625</v>
      </c>
    </row>
    <row r="196" spans="1:12" x14ac:dyDescent="0.25">
      <c r="A196" t="s">
        <v>38</v>
      </c>
      <c r="B196">
        <v>0.36</v>
      </c>
      <c r="C196">
        <f>B196</f>
        <v>0.36</v>
      </c>
      <c r="D196">
        <v>2005</v>
      </c>
      <c r="F196" t="s">
        <v>263</v>
      </c>
      <c r="I196">
        <f>75.7755*12/44/1000</f>
        <v>2.0666045454545454E-2</v>
      </c>
      <c r="J196">
        <f>75.7755471840543*12/44/1000</f>
        <v>2.0666058322923904E-2</v>
      </c>
    </row>
    <row r="197" spans="1:12" x14ac:dyDescent="0.25">
      <c r="A197" t="s">
        <v>97</v>
      </c>
    </row>
    <row r="198" spans="1:12" x14ac:dyDescent="0.25">
      <c r="A198" t="s">
        <v>242</v>
      </c>
      <c r="K198">
        <f>I198*44*1000/12</f>
        <v>0</v>
      </c>
      <c r="L198">
        <f>J198*44*1000/12</f>
        <v>0</v>
      </c>
    </row>
    <row r="199" spans="1:12" x14ac:dyDescent="0.25">
      <c r="A199" t="s">
        <v>169</v>
      </c>
    </row>
    <row r="200" spans="1:12" x14ac:dyDescent="0.25">
      <c r="A200" t="s">
        <v>39</v>
      </c>
      <c r="B200">
        <v>0.30000000000000004</v>
      </c>
      <c r="C200">
        <v>0.45</v>
      </c>
      <c r="D200">
        <v>2015</v>
      </c>
      <c r="E200">
        <f>H200/C200</f>
        <v>1.8863636363636366E-5</v>
      </c>
      <c r="F200">
        <v>2030</v>
      </c>
      <c r="G200">
        <f>E200*B200</f>
        <v>5.6590909090909109E-6</v>
      </c>
      <c r="H200">
        <f>31125*0.000000001*12/44</f>
        <v>8.4886363636363642E-6</v>
      </c>
    </row>
    <row r="201" spans="1:12" x14ac:dyDescent="0.25">
      <c r="A201" t="s">
        <v>243</v>
      </c>
      <c r="D201">
        <v>2030</v>
      </c>
      <c r="E201">
        <f>6.551*0.001*12/44</f>
        <v>1.7866363636363637E-3</v>
      </c>
      <c r="F201">
        <v>2030</v>
      </c>
      <c r="K201">
        <f>E201*44*1000/12</f>
        <v>6.5509999999999993</v>
      </c>
      <c r="L201">
        <f>J201*44*1000/12</f>
        <v>0</v>
      </c>
    </row>
    <row r="202" spans="1:12" x14ac:dyDescent="0.25">
      <c r="A202" t="s">
        <v>98</v>
      </c>
    </row>
    <row r="203" spans="1:12" x14ac:dyDescent="0.25">
      <c r="A203" t="s">
        <v>170</v>
      </c>
      <c r="B203">
        <v>0.2</v>
      </c>
      <c r="C203">
        <f>B203</f>
        <v>0.2</v>
      </c>
      <c r="D203">
        <v>2005</v>
      </c>
      <c r="E203">
        <f>0.213*12/44/1000</f>
        <v>5.8090909090909086E-5</v>
      </c>
      <c r="F203">
        <v>2030</v>
      </c>
      <c r="I203">
        <f>(1-B203)*E203</f>
        <v>4.6472727272727269E-5</v>
      </c>
      <c r="J203">
        <f>(1-C203)*E203</f>
        <v>4.6472727272727269E-5</v>
      </c>
    </row>
    <row r="204" spans="1:12" x14ac:dyDescent="0.25">
      <c r="A204" t="s">
        <v>244</v>
      </c>
      <c r="K204">
        <f>I204*44*1000/12</f>
        <v>0</v>
      </c>
      <c r="L204">
        <f>J204*44*1000/12</f>
        <v>0</v>
      </c>
    </row>
    <row r="205" spans="1:12" x14ac:dyDescent="0.25">
      <c r="A205" t="s">
        <v>171</v>
      </c>
    </row>
    <row r="206" spans="1:12" x14ac:dyDescent="0.25">
      <c r="A206" t="s">
        <v>193</v>
      </c>
      <c r="B206">
        <v>9.8000000000000004E-2</v>
      </c>
      <c r="C206">
        <f>B206</f>
        <v>9.8000000000000004E-2</v>
      </c>
      <c r="D206">
        <v>1990</v>
      </c>
      <c r="E206">
        <f>69.17*12/44/1000</f>
        <v>1.8864545454545453E-2</v>
      </c>
      <c r="F206">
        <v>2030</v>
      </c>
      <c r="I206">
        <f>(1-B206)*E206</f>
        <v>1.7015820000000001E-2</v>
      </c>
      <c r="J206">
        <f>(1-C206)*E206</f>
        <v>1.7015820000000001E-2</v>
      </c>
    </row>
    <row r="207" spans="1:12" x14ac:dyDescent="0.25">
      <c r="A207" t="s">
        <v>245</v>
      </c>
      <c r="K207">
        <f>I207*44*1000/12</f>
        <v>0</v>
      </c>
      <c r="L207">
        <f>J207*44*1000/12</f>
        <v>0</v>
      </c>
    </row>
    <row r="208" spans="1:12" x14ac:dyDescent="0.25">
      <c r="A208" t="s">
        <v>239</v>
      </c>
      <c r="D208">
        <v>2030</v>
      </c>
      <c r="E208">
        <f>240*0.000001*12/44</f>
        <v>6.545454545454545E-5</v>
      </c>
      <c r="F208">
        <v>2030</v>
      </c>
      <c r="G208">
        <f>57*0.000001*12/44</f>
        <v>1.5545454545454544E-5</v>
      </c>
      <c r="H208">
        <f>57*0.000001*12/44</f>
        <v>1.5545454545454544E-5</v>
      </c>
      <c r="I208">
        <f>E208-G208</f>
        <v>4.990909090909091E-5</v>
      </c>
      <c r="J208">
        <f>E208-H208</f>
        <v>4.990909090909091E-5</v>
      </c>
      <c r="K208">
        <f>I208*44*1000/12</f>
        <v>0.18300000000000002</v>
      </c>
      <c r="L208">
        <f>J208*44*1000/12</f>
        <v>0.18300000000000002</v>
      </c>
    </row>
    <row r="209" spans="1:12" x14ac:dyDescent="0.25">
      <c r="A209" t="s">
        <v>99</v>
      </c>
    </row>
    <row r="210" spans="1:12" x14ac:dyDescent="0.25">
      <c r="A210" t="s">
        <v>138</v>
      </c>
      <c r="B210">
        <v>0.4</v>
      </c>
      <c r="C210">
        <f>B210</f>
        <v>0.4</v>
      </c>
      <c r="D210">
        <v>1990</v>
      </c>
      <c r="E210">
        <f>64594.7037660804*12/44/(10^6)</f>
        <v>1.7616737390749201E-2</v>
      </c>
      <c r="F210">
        <v>2030</v>
      </c>
      <c r="I210">
        <f>(1-B210)*E210</f>
        <v>1.057004243444952E-2</v>
      </c>
      <c r="J210">
        <f>(1-C210)*E210</f>
        <v>1.057004243444952E-2</v>
      </c>
    </row>
    <row r="211" spans="1:12" x14ac:dyDescent="0.25">
      <c r="A211" t="s">
        <v>139</v>
      </c>
      <c r="B211">
        <v>0.4</v>
      </c>
      <c r="C211">
        <f>B211</f>
        <v>0.4</v>
      </c>
      <c r="D211">
        <v>1990</v>
      </c>
      <c r="E211">
        <f>16960.2796127174*12/44/(10^6)</f>
        <v>4.6255308034683822E-3</v>
      </c>
      <c r="F211">
        <v>2030</v>
      </c>
      <c r="I211">
        <f>(1-B211)*E211</f>
        <v>2.7753184820810293E-3</v>
      </c>
      <c r="J211">
        <f>(1-C211)*E211</f>
        <v>2.7753184820810293E-3</v>
      </c>
    </row>
    <row r="212" spans="1:12" x14ac:dyDescent="0.25">
      <c r="A212" t="s">
        <v>172</v>
      </c>
      <c r="B212">
        <v>0.4</v>
      </c>
      <c r="C212">
        <f>B212</f>
        <v>0.4</v>
      </c>
      <c r="D212">
        <v>1990</v>
      </c>
      <c r="E212">
        <f>34027.3367375819*12/44/(10^6)</f>
        <v>9.2801827466132449E-3</v>
      </c>
      <c r="I212">
        <f>(1-B212)*E212</f>
        <v>5.5681096479679466E-3</v>
      </c>
      <c r="J212">
        <f>(1-C212)*E212</f>
        <v>5.5681096479679466E-3</v>
      </c>
    </row>
    <row r="213" spans="1:12" x14ac:dyDescent="0.25">
      <c r="A213" t="s">
        <v>247</v>
      </c>
      <c r="G213">
        <f>(0.94+0.03)*0.001*12/44</f>
        <v>2.6454545454545453E-4</v>
      </c>
      <c r="H213">
        <f>(0.94+0.03)*0.001*12/44</f>
        <v>2.6454545454545453E-4</v>
      </c>
      <c r="K213">
        <f>G213*44*1000/12</f>
        <v>0.96999999999999986</v>
      </c>
      <c r="L213">
        <f>H213*44*1000/12</f>
        <v>0.96999999999999986</v>
      </c>
    </row>
    <row r="214" spans="1:12" x14ac:dyDescent="0.25">
      <c r="A214" t="s">
        <v>100</v>
      </c>
    </row>
    <row r="215" spans="1:12" x14ac:dyDescent="0.25">
      <c r="A215" t="s">
        <v>241</v>
      </c>
      <c r="B215">
        <f>29/100</f>
        <v>0.28999999999999998</v>
      </c>
      <c r="C215">
        <f>29/100</f>
        <v>0.28999999999999998</v>
      </c>
      <c r="D215">
        <v>2030</v>
      </c>
      <c r="E215">
        <f>G215/B215</f>
        <v>1.7680250783699061E-4</v>
      </c>
      <c r="F215">
        <v>2030</v>
      </c>
      <c r="G215">
        <f>188*0.000001*12/44</f>
        <v>5.127272727272727E-5</v>
      </c>
      <c r="H215">
        <f>188*0.000001*12/44</f>
        <v>5.127272727272727E-5</v>
      </c>
      <c r="I215">
        <f>E215-G215</f>
        <v>1.2552978056426333E-4</v>
      </c>
      <c r="J215">
        <f>E215-H215</f>
        <v>1.2552978056426333E-4</v>
      </c>
      <c r="K215">
        <f>I215*44*1000/12</f>
        <v>0.46027586206896554</v>
      </c>
      <c r="L215">
        <f>J215*44*1000/12</f>
        <v>0.46027586206896554</v>
      </c>
    </row>
    <row r="216" spans="1:12" x14ac:dyDescent="0.25">
      <c r="A216" t="s">
        <v>126</v>
      </c>
    </row>
    <row r="217" spans="1:12" x14ac:dyDescent="0.25">
      <c r="A217" t="s">
        <v>101</v>
      </c>
    </row>
    <row r="218" spans="1:12" x14ac:dyDescent="0.25">
      <c r="A218" t="s">
        <v>210</v>
      </c>
      <c r="B218">
        <v>0.182</v>
      </c>
      <c r="C218">
        <v>0.71</v>
      </c>
      <c r="D218">
        <v>2030</v>
      </c>
      <c r="E218">
        <f>28659.37*0.000001*12/44</f>
        <v>7.8161918181818175E-3</v>
      </c>
      <c r="F218">
        <v>2030</v>
      </c>
      <c r="I218">
        <f>(1-B218)*E218</f>
        <v>6.393644907272727E-3</v>
      </c>
      <c r="J218">
        <f>(1-C218)*E218</f>
        <v>2.2666956272727272E-3</v>
      </c>
    </row>
    <row r="219" spans="1:12" x14ac:dyDescent="0.25">
      <c r="A219" t="s">
        <v>249</v>
      </c>
      <c r="B219">
        <f>11.14/100</f>
        <v>0.1114</v>
      </c>
      <c r="C219">
        <f>31.14/100</f>
        <v>0.31140000000000001</v>
      </c>
      <c r="D219">
        <v>2030</v>
      </c>
      <c r="E219">
        <f>38861.36*0.000001*12/44</f>
        <v>1.0598552727272727E-2</v>
      </c>
      <c r="F219">
        <v>2030</v>
      </c>
      <c r="I219">
        <f>(1-B219)*E219</f>
        <v>9.4178739534545464E-3</v>
      </c>
      <c r="J219">
        <f>(1-C219)*E219</f>
        <v>7.298163408E-3</v>
      </c>
      <c r="K219">
        <f>I219*44*1000/12</f>
        <v>34.532204495999999</v>
      </c>
      <c r="L219">
        <f>J219*44*1000/12</f>
        <v>26.759932496000001</v>
      </c>
    </row>
    <row r="220" spans="1:12" x14ac:dyDescent="0.25">
      <c r="A220" t="s">
        <v>40</v>
      </c>
      <c r="B220">
        <v>0.2</v>
      </c>
      <c r="C220">
        <v>0.25</v>
      </c>
      <c r="D220">
        <v>2030</v>
      </c>
      <c r="E220">
        <f>555*12/44/1000</f>
        <v>0.15136363636363637</v>
      </c>
      <c r="F220">
        <v>2030</v>
      </c>
      <c r="I220">
        <f>(1-B220)*E220</f>
        <v>0.1210909090909091</v>
      </c>
      <c r="J220">
        <f>(1-C220)*E220</f>
        <v>0.11352272727272728</v>
      </c>
    </row>
    <row r="221" spans="1:12" x14ac:dyDescent="0.25">
      <c r="A221" t="s">
        <v>194</v>
      </c>
      <c r="B221">
        <v>0.1</v>
      </c>
      <c r="C221">
        <v>0.35</v>
      </c>
      <c r="D221">
        <v>1990</v>
      </c>
      <c r="E221">
        <f>25.5*12/44/1000</f>
        <v>6.9545454545454546E-3</v>
      </c>
      <c r="I221">
        <f>(1-B221)*E221</f>
        <v>6.2590909090909095E-3</v>
      </c>
      <c r="J221">
        <f>(1-C221)*E221</f>
        <v>4.5204545454545454E-3</v>
      </c>
    </row>
    <row r="222" spans="1:12" x14ac:dyDescent="0.25">
      <c r="A222" t="s">
        <v>13</v>
      </c>
    </row>
    <row r="223" spans="1:12" x14ac:dyDescent="0.25">
      <c r="A223" t="s">
        <v>195</v>
      </c>
      <c r="D223">
        <v>2000</v>
      </c>
      <c r="F223">
        <v>2030</v>
      </c>
      <c r="I223">
        <f>135833*0.000001*12/44</f>
        <v>3.7045363636363633E-2</v>
      </c>
      <c r="J223">
        <f>135833*0.000001*12/44</f>
        <v>3.7045363636363633E-2</v>
      </c>
    </row>
    <row r="224" spans="1:12" x14ac:dyDescent="0.25">
      <c r="A224" t="s">
        <v>41</v>
      </c>
    </row>
    <row r="225" spans="1:12" x14ac:dyDescent="0.25">
      <c r="A225" t="s">
        <v>42</v>
      </c>
      <c r="F225">
        <v>2030</v>
      </c>
      <c r="G225">
        <f>27*0.000001*12/44</f>
        <v>7.3636363636363631E-6</v>
      </c>
      <c r="H225">
        <f>G225</f>
        <v>7.3636363636363631E-6</v>
      </c>
    </row>
    <row r="226" spans="1:12" x14ac:dyDescent="0.25">
      <c r="A226" t="s">
        <v>102</v>
      </c>
      <c r="B226">
        <v>0.3</v>
      </c>
      <c r="C226">
        <v>0.15</v>
      </c>
      <c r="D226">
        <v>2030</v>
      </c>
      <c r="G226">
        <f>1700000*12/44/(10^9)</f>
        <v>4.6363636363636366E-4</v>
      </c>
      <c r="H226">
        <f>103000000*12/44/(10^9)</f>
        <v>2.809090909090909E-2</v>
      </c>
    </row>
    <row r="227" spans="1:12" x14ac:dyDescent="0.25">
      <c r="A227" t="s">
        <v>127</v>
      </c>
      <c r="D227">
        <v>2010</v>
      </c>
      <c r="E227">
        <f>68.2*12/44/1000</f>
        <v>1.8600000000000002E-2</v>
      </c>
      <c r="F227">
        <v>2030</v>
      </c>
      <c r="G227">
        <f>6*12/44/1000</f>
        <v>1.6363636363636365E-3</v>
      </c>
      <c r="H227">
        <f>26*12/44/1000</f>
        <v>7.0909090909090904E-3</v>
      </c>
      <c r="I227">
        <f>62.2*12/44/1000</f>
        <v>1.6963636363636365E-2</v>
      </c>
      <c r="J227">
        <f>42.4*12/44/1000</f>
        <v>1.1563636363636363E-2</v>
      </c>
    </row>
    <row r="228" spans="1:12" x14ac:dyDescent="0.25">
      <c r="A228" t="s">
        <v>196</v>
      </c>
      <c r="B228">
        <v>0.21</v>
      </c>
      <c r="C228">
        <f>B228</f>
        <v>0.21</v>
      </c>
      <c r="D228">
        <v>2030</v>
      </c>
      <c r="E228">
        <f>1175*12/44/1000</f>
        <v>0.32045454545454544</v>
      </c>
      <c r="F228">
        <v>2030</v>
      </c>
      <c r="I228">
        <f>(1-B228)*E228</f>
        <v>0.25315909090909089</v>
      </c>
      <c r="J228">
        <f>(1-C228)*E228</f>
        <v>0.25315909090909089</v>
      </c>
    </row>
    <row r="229" spans="1:12" x14ac:dyDescent="0.25">
      <c r="A229" t="s">
        <v>14</v>
      </c>
      <c r="B229">
        <v>0.6</v>
      </c>
      <c r="C229">
        <v>0.6</v>
      </c>
      <c r="D229">
        <v>2010</v>
      </c>
      <c r="E229">
        <f>20*12/44*0.000001</f>
        <v>5.4545454545454536E-6</v>
      </c>
      <c r="F229">
        <v>2025</v>
      </c>
      <c r="I229">
        <f>(1-B229)*E229</f>
        <v>2.1818181818181815E-6</v>
      </c>
      <c r="J229">
        <f>(1-C229)*E229</f>
        <v>2.1818181818181815E-6</v>
      </c>
    </row>
    <row r="230" spans="1:12" x14ac:dyDescent="0.25">
      <c r="A230" t="s">
        <v>258</v>
      </c>
    </row>
    <row r="231" spans="1:12" x14ac:dyDescent="0.25">
      <c r="A231" t="s">
        <v>248</v>
      </c>
      <c r="B231">
        <f>1-I231/E231</f>
        <v>9.2385341233267582E-2</v>
      </c>
      <c r="C231">
        <f>1-J231/E231</f>
        <v>0.15494705946894893</v>
      </c>
      <c r="D231">
        <v>2030</v>
      </c>
      <c r="E231">
        <f>145824*0.000001*12/44</f>
        <v>3.9770181818181816E-2</v>
      </c>
      <c r="F231">
        <v>2030</v>
      </c>
      <c r="I231">
        <f>132352*12/44*0.000001</f>
        <v>3.6095999999999996E-2</v>
      </c>
      <c r="J231">
        <f>123229*12/44*0.000001</f>
        <v>3.3607909090909084E-2</v>
      </c>
      <c r="K231">
        <f>I231*44*1000/12</f>
        <v>132.352</v>
      </c>
      <c r="L231">
        <f>J231*44*1000/12</f>
        <v>123.22899999999998</v>
      </c>
    </row>
    <row r="232" spans="1:12" x14ac:dyDescent="0.25">
      <c r="A232" t="s">
        <v>250</v>
      </c>
      <c r="B232">
        <v>0.22</v>
      </c>
      <c r="C232">
        <v>0.22</v>
      </c>
      <c r="D232">
        <v>2030</v>
      </c>
      <c r="E232">
        <f>77.3*0.001*12/44</f>
        <v>2.1081818181818181E-2</v>
      </c>
      <c r="F232">
        <v>2030</v>
      </c>
      <c r="I232">
        <f>(1-B232)*E232</f>
        <v>1.6443818181818181E-2</v>
      </c>
      <c r="J232">
        <f>(1-C232)*E232</f>
        <v>1.6443818181818181E-2</v>
      </c>
      <c r="K232">
        <f>I232*44*1000/12</f>
        <v>60.29399999999999</v>
      </c>
      <c r="L232">
        <f>J232*44*1000/12</f>
        <v>60.29399999999999</v>
      </c>
    </row>
    <row r="233" spans="1:12" x14ac:dyDescent="0.25">
      <c r="A233" t="s">
        <v>197</v>
      </c>
      <c r="B233">
        <v>0.4</v>
      </c>
      <c r="C233">
        <f>B233</f>
        <v>0.4</v>
      </c>
      <c r="D233">
        <v>1990</v>
      </c>
      <c r="E233">
        <f>874.6*12/44/1000</f>
        <v>0.23852727272727273</v>
      </c>
      <c r="I233">
        <f>(1-B233)*E233</f>
        <v>0.14311636363636362</v>
      </c>
      <c r="J233">
        <f>(1-C233)*E233</f>
        <v>0.14311636363636362</v>
      </c>
    </row>
    <row r="234" spans="1:12" x14ac:dyDescent="0.25">
      <c r="A234" t="s">
        <v>15</v>
      </c>
    </row>
    <row r="235" spans="1:12" x14ac:dyDescent="0.25">
      <c r="A235" t="s">
        <v>103</v>
      </c>
      <c r="B235">
        <v>0.25</v>
      </c>
      <c r="C235">
        <v>0.4</v>
      </c>
      <c r="D235">
        <v>1990</v>
      </c>
      <c r="F235">
        <v>2030</v>
      </c>
      <c r="I235">
        <f>(10900-13200+840*25+39*298)*0.000001*12/44</f>
        <v>8.2696363636363627E-3</v>
      </c>
      <c r="J235">
        <f>(10900-19200+840*25+39*298)*0.000001*12/44</f>
        <v>6.6332727272727272E-3</v>
      </c>
    </row>
    <row r="236" spans="1:12" x14ac:dyDescent="0.25">
      <c r="A236" t="s">
        <v>199</v>
      </c>
      <c r="B236">
        <v>0.26</v>
      </c>
      <c r="C236">
        <v>0.28000000000000003</v>
      </c>
      <c r="D236">
        <v>2005</v>
      </c>
      <c r="E236">
        <f>6223.064*0.001*12/44</f>
        <v>1.6971992727272729</v>
      </c>
      <c r="F236">
        <v>2025</v>
      </c>
      <c r="I236">
        <f>(1-B236)*E236</f>
        <v>1.2559274618181819</v>
      </c>
      <c r="J236">
        <f>(1-C236)*E236</f>
        <v>1.2219834763636364</v>
      </c>
    </row>
    <row r="237" spans="1:12" x14ac:dyDescent="0.25">
      <c r="A237" t="s">
        <v>198</v>
      </c>
    </row>
    <row r="238" spans="1:12" x14ac:dyDescent="0.25">
      <c r="A238" t="s">
        <v>173</v>
      </c>
    </row>
    <row r="239" spans="1:12" x14ac:dyDescent="0.25">
      <c r="A239" t="s">
        <v>104</v>
      </c>
      <c r="B239">
        <v>0.22</v>
      </c>
      <c r="C239">
        <v>0.22</v>
      </c>
      <c r="D239">
        <v>2025</v>
      </c>
      <c r="E239">
        <f>604*0.000001*12/44</f>
        <v>1.6472727272727271E-4</v>
      </c>
      <c r="F239">
        <v>2025</v>
      </c>
      <c r="I239">
        <f>(1-B239)*E239</f>
        <v>1.2848727272727272E-4</v>
      </c>
      <c r="J239">
        <f>(1-C239)*E239</f>
        <v>1.2848727272727272E-4</v>
      </c>
    </row>
    <row r="240" spans="1:12" x14ac:dyDescent="0.25">
      <c r="A240" t="s">
        <v>105</v>
      </c>
      <c r="B240">
        <v>0.2</v>
      </c>
      <c r="C240">
        <v>0.2</v>
      </c>
      <c r="D240">
        <v>2030</v>
      </c>
      <c r="E240">
        <f>342*0.001*12/44</f>
        <v>9.3272727272727271E-2</v>
      </c>
      <c r="F240">
        <v>2030</v>
      </c>
      <c r="I240">
        <f>(1-B240)*E240</f>
        <v>7.461818181818182E-2</v>
      </c>
      <c r="J240">
        <f>(1-C240)*E240</f>
        <v>7.461818181818182E-2</v>
      </c>
    </row>
    <row r="241" spans="1:12" x14ac:dyDescent="0.25">
      <c r="A241" t="s">
        <v>107</v>
      </c>
    </row>
    <row r="242" spans="1:12" x14ac:dyDescent="0.25">
      <c r="A242" t="s">
        <v>106</v>
      </c>
    </row>
    <row r="243" spans="1:12" x14ac:dyDescent="0.25">
      <c r="A243" t="s">
        <v>43</v>
      </c>
      <c r="B243">
        <v>0.08</v>
      </c>
      <c r="C243">
        <v>0.25</v>
      </c>
      <c r="D243">
        <v>2030</v>
      </c>
      <c r="E243">
        <f>787.4*12/44/1000</f>
        <v>0.21474545454545452</v>
      </c>
      <c r="F243">
        <v>2030</v>
      </c>
      <c r="I243">
        <f>(1-B243)*E243</f>
        <v>0.19756581818181818</v>
      </c>
      <c r="J243">
        <f>(1-C243)*E243</f>
        <v>0.16105909090909087</v>
      </c>
    </row>
    <row r="244" spans="1:12" x14ac:dyDescent="0.25">
      <c r="A244" t="s">
        <v>44</v>
      </c>
      <c r="B244">
        <v>0.30000000000000004</v>
      </c>
      <c r="C244">
        <f>B244</f>
        <v>0.30000000000000004</v>
      </c>
      <c r="D244">
        <v>1</v>
      </c>
      <c r="E244">
        <f>240*12/44/10^6</f>
        <v>6.545454545454545E-5</v>
      </c>
      <c r="F244">
        <v>2030</v>
      </c>
      <c r="G244">
        <f>72*12/44/10^6</f>
        <v>1.9636363636363635E-5</v>
      </c>
      <c r="I244">
        <f>(1-B244)*E244</f>
        <v>4.5818181818181815E-5</v>
      </c>
      <c r="J244">
        <f>(1-C244)*E244</f>
        <v>4.5818181818181815E-5</v>
      </c>
    </row>
    <row r="245" spans="1:12" x14ac:dyDescent="0.25">
      <c r="A245" t="s">
        <v>16</v>
      </c>
    </row>
    <row r="246" spans="1:12" x14ac:dyDescent="0.25">
      <c r="A246" t="s">
        <v>45</v>
      </c>
      <c r="F246">
        <v>2025</v>
      </c>
    </row>
    <row r="247" spans="1:12" x14ac:dyDescent="0.25">
      <c r="A247" t="s">
        <v>128</v>
      </c>
      <c r="B247">
        <v>0.01</v>
      </c>
      <c r="C247">
        <v>0.14000000000000001</v>
      </c>
      <c r="D247">
        <v>2030</v>
      </c>
      <c r="E247">
        <f>43.81*0.001*12/44</f>
        <v>1.1948181818181818E-2</v>
      </c>
      <c r="F247">
        <v>2030</v>
      </c>
      <c r="G247">
        <f>0.46*0.001*12/44</f>
        <v>1.2545454545454546E-4</v>
      </c>
      <c r="H247">
        <f>6.13*0.001*12/44</f>
        <v>1.6718181818181819E-3</v>
      </c>
      <c r="I247">
        <f>(1-B247)*E247</f>
        <v>1.1828699999999999E-2</v>
      </c>
      <c r="J247">
        <f>(1-C247)*E247</f>
        <v>1.0275436363636363E-2</v>
      </c>
    </row>
    <row r="248" spans="1:12" x14ac:dyDescent="0.25">
      <c r="A248" t="s">
        <v>52</v>
      </c>
      <c r="D248">
        <v>1</v>
      </c>
      <c r="F248">
        <v>2030</v>
      </c>
      <c r="I248">
        <f>614*12/44/1000</f>
        <v>0.16745454545454547</v>
      </c>
      <c r="J248">
        <f>398*12/44/1000</f>
        <v>0.10854545454545454</v>
      </c>
    </row>
    <row r="249" spans="1:12" x14ac:dyDescent="0.25">
      <c r="A249" t="s">
        <v>251</v>
      </c>
      <c r="B249">
        <v>0.25</v>
      </c>
      <c r="C249">
        <v>0.47</v>
      </c>
      <c r="D249">
        <v>2010</v>
      </c>
      <c r="E249">
        <f>121.69*12/44/1000</f>
        <v>3.3188181818181818E-2</v>
      </c>
      <c r="F249">
        <v>2030</v>
      </c>
      <c r="G249">
        <f>B249*E249</f>
        <v>8.2970454545454545E-3</v>
      </c>
      <c r="H249">
        <f>38000*0.000001*12/44</f>
        <v>1.0363636363636363E-2</v>
      </c>
      <c r="I249">
        <f>(1-B249)*E249</f>
        <v>2.4891136363636365E-2</v>
      </c>
      <c r="J249">
        <f>(1-C249)*E249</f>
        <v>1.7589736363636366E-2</v>
      </c>
      <c r="K249">
        <f>I249*44*1000/12</f>
        <v>91.267499999999998</v>
      </c>
      <c r="L249">
        <f>J249*44*1000/12</f>
        <v>64.495700000000014</v>
      </c>
    </row>
    <row r="250" spans="1:12" x14ac:dyDescent="0.25">
      <c r="A250" t="s">
        <v>252</v>
      </c>
      <c r="C250">
        <v>0.33</v>
      </c>
      <c r="D250">
        <v>2030</v>
      </c>
      <c r="E250">
        <f>3.313*0.000000001*12/44*21353000</f>
        <v>1.9293406090909092E-2</v>
      </c>
      <c r="F250">
        <v>2030</v>
      </c>
      <c r="G250">
        <f>17316*0.000001*12/44</f>
        <v>4.7225454545454541E-3</v>
      </c>
      <c r="H250">
        <f>17316*0.000001*12/44</f>
        <v>4.7225454545454541E-3</v>
      </c>
      <c r="I250">
        <f>(1-B250)*E250</f>
        <v>1.9293406090909092E-2</v>
      </c>
      <c r="J250">
        <f>(1-C250)*E250</f>
        <v>1.2926582080909091E-2</v>
      </c>
      <c r="K250">
        <f>I250*44*1000/12</f>
        <v>70.742488999999992</v>
      </c>
      <c r="L250">
        <f>J250*44*1000/12</f>
        <v>47.397467630000001</v>
      </c>
    </row>
  </sheetData>
  <autoFilter ref="A1:J250" xr:uid="{00000000-0009-0000-0000-000000000000}"/>
  <sortState xmlns:xlrd2="http://schemas.microsoft.com/office/spreadsheetml/2017/richdata2" ref="A2:L25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emicap</vt:lpstr>
    </vt:vector>
  </TitlesOfParts>
  <Company>Fondazione Eni Enrico Mattei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Drouet</dc:creator>
  <cp:lastModifiedBy>Paolo Gazzotti</cp:lastModifiedBy>
  <dcterms:created xsi:type="dcterms:W3CDTF">2016-09-07T11:59:03Z</dcterms:created>
  <dcterms:modified xsi:type="dcterms:W3CDTF">2020-05-15T07:01:28Z</dcterms:modified>
</cp:coreProperties>
</file>